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srvfile01\Daten\Allgemeine.Daten\F &amp; E\001_Excel_Bemessungstools\011_EVO-GRIP\"/>
    </mc:Choice>
  </mc:AlternateContent>
  <xr:revisionPtr revIDLastSave="0" documentId="8_{8C797FAA-FD0D-4102-AA8E-C7CE79A86EEC}" xr6:coauthVersionLast="47" xr6:coauthVersionMax="47" xr10:uidLastSave="{00000000-0000-0000-0000-000000000000}"/>
  <workbookProtection workbookAlgorithmName="SHA-512" workbookHashValue="5+zCAeibW0MWiSSdDIpZhXuFUGnQaND8IaR7iigaNVlxAK2+K1E+hu1Y02/J7TUmF0Dp0mEyvITWhFsl/XqBgA==" workbookSaltValue="btPtsQSc0Bva/ZmLt8ueig==" workbookSpinCount="100000" lockStructure="1"/>
  <bookViews>
    <workbookView xWindow="-28920" yWindow="-120" windowWidth="29040" windowHeight="15720" xr2:uid="{19C0B670-CF7D-4D62-A89E-F040A96D6383}"/>
  </bookViews>
  <sheets>
    <sheet name="Belastungstabelle_Website" sheetId="20" r:id="rId1"/>
    <sheet name="Herleitung" sheetId="25" state="hidden" r:id="rId2"/>
    <sheet name="Übersetzungen" sheetId="21" state="hidden" r:id="rId3"/>
    <sheet name="EN" sheetId="22" state="hidden" r:id="rId4"/>
    <sheet name="FR" sheetId="23" state="hidden" r:id="rId5"/>
    <sheet name="ES" sheetId="24" state="hidden" r:id="rId6"/>
  </sheets>
  <definedNames>
    <definedName name="_xlnm.Print_Area" localSheetId="0">Belastungstabelle_Website!$A$1:$J$97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25" l="1"/>
  <c r="K30" i="25"/>
  <c r="K29" i="25"/>
  <c r="K28" i="25"/>
  <c r="K27" i="25"/>
  <c r="K26" i="25"/>
  <c r="J25" i="25"/>
  <c r="J24" i="25"/>
  <c r="J23" i="25"/>
  <c r="J22" i="25"/>
  <c r="J21" i="25"/>
  <c r="J20" i="25"/>
  <c r="J19" i="25"/>
  <c r="J18" i="25"/>
  <c r="J17" i="25"/>
  <c r="I74" i="20" l="1"/>
  <c r="H74" i="20"/>
  <c r="G74" i="20"/>
  <c r="J45" i="20"/>
  <c r="I45" i="20"/>
  <c r="H45" i="20"/>
  <c r="J14" i="20"/>
  <c r="I14" i="20"/>
  <c r="H14" i="20"/>
  <c r="A94" i="20"/>
  <c r="A34" i="20"/>
  <c r="D11" i="20" l="1"/>
  <c r="D10" i="20"/>
  <c r="D70" i="20"/>
  <c r="Q39" i="25" l="1"/>
  <c r="R39" i="25" s="1"/>
  <c r="A3" i="25"/>
  <c r="H15" i="25" s="1"/>
  <c r="Q38" i="25"/>
  <c r="W38" i="25"/>
  <c r="W39" i="25" s="1"/>
  <c r="L63" i="25" l="1"/>
  <c r="I15" i="25"/>
  <c r="J15" i="25"/>
  <c r="W40" i="25"/>
  <c r="W55" i="25" l="1"/>
  <c r="W62" i="25" s="1"/>
  <c r="W59" i="25" l="1"/>
  <c r="W57" i="25"/>
  <c r="W58" i="25"/>
  <c r="W60" i="25"/>
  <c r="W61" i="25"/>
  <c r="B7" i="20" l="1"/>
  <c r="C7" i="25" s="1"/>
  <c r="A3" i="20" l="1"/>
  <c r="C10" i="25" l="1"/>
  <c r="L17" i="25" s="1"/>
  <c r="C9" i="25"/>
  <c r="C8" i="25"/>
  <c r="T54" i="25" s="1"/>
  <c r="A10" i="20"/>
  <c r="A9" i="20"/>
  <c r="A8" i="20"/>
  <c r="E74" i="20"/>
  <c r="C74" i="20"/>
  <c r="M137" i="25"/>
  <c r="L137" i="25"/>
  <c r="K137" i="25"/>
  <c r="B144" i="25"/>
  <c r="D137" i="25"/>
  <c r="C137" i="25"/>
  <c r="B137" i="25"/>
  <c r="I73" i="20"/>
  <c r="F74" i="20"/>
  <c r="F73" i="20"/>
  <c r="D74" i="20"/>
  <c r="B74" i="20"/>
  <c r="D71" i="20"/>
  <c r="B71" i="20"/>
  <c r="B69" i="20"/>
  <c r="B42" i="20"/>
  <c r="B40" i="20"/>
  <c r="A71" i="20"/>
  <c r="A70" i="20"/>
  <c r="A69" i="20"/>
  <c r="B68" i="20"/>
  <c r="A68" i="20"/>
  <c r="A67" i="20"/>
  <c r="G45" i="20"/>
  <c r="G44" i="20"/>
  <c r="G13" i="20"/>
  <c r="G14" i="20"/>
  <c r="H44" i="20"/>
  <c r="M89" i="25"/>
  <c r="L89" i="25"/>
  <c r="K89" i="25"/>
  <c r="D89" i="25"/>
  <c r="C89" i="25"/>
  <c r="B89" i="25"/>
  <c r="G114" i="25"/>
  <c r="G115" i="25"/>
  <c r="G116" i="25"/>
  <c r="G117" i="25"/>
  <c r="G118" i="25"/>
  <c r="G119" i="25"/>
  <c r="G120" i="25"/>
  <c r="G121" i="25"/>
  <c r="G122" i="25"/>
  <c r="G123" i="25"/>
  <c r="G124" i="25"/>
  <c r="G125" i="25"/>
  <c r="G126" i="25"/>
  <c r="G127" i="25"/>
  <c r="G113" i="25"/>
  <c r="J44" i="20"/>
  <c r="E45" i="20"/>
  <c r="C45" i="20"/>
  <c r="D45" i="20"/>
  <c r="B45" i="20"/>
  <c r="B14" i="20"/>
  <c r="B96" i="25"/>
  <c r="D42" i="20"/>
  <c r="A42" i="20"/>
  <c r="D41" i="20"/>
  <c r="A41" i="20"/>
  <c r="A40" i="20"/>
  <c r="B39" i="20"/>
  <c r="A39" i="20"/>
  <c r="A38" i="20"/>
  <c r="B70" i="20"/>
  <c r="B5" i="20"/>
  <c r="B114" i="25"/>
  <c r="B115" i="25"/>
  <c r="B116" i="25"/>
  <c r="B117" i="25"/>
  <c r="B118" i="25"/>
  <c r="B119" i="25"/>
  <c r="B120" i="25"/>
  <c r="B121" i="25"/>
  <c r="B122" i="25"/>
  <c r="B123" i="25"/>
  <c r="B124" i="25"/>
  <c r="B125" i="25"/>
  <c r="B126" i="25"/>
  <c r="B127" i="25"/>
  <c r="B113" i="25"/>
  <c r="E66" i="25"/>
  <c r="E67" i="25"/>
  <c r="E68" i="25"/>
  <c r="E69" i="25"/>
  <c r="E70" i="25"/>
  <c r="E71" i="25"/>
  <c r="E72" i="25"/>
  <c r="E73" i="25"/>
  <c r="E74" i="25"/>
  <c r="E75" i="25"/>
  <c r="E76" i="25"/>
  <c r="E77" i="25"/>
  <c r="E78" i="25"/>
  <c r="E79" i="25"/>
  <c r="E65" i="25"/>
  <c r="B41" i="20" l="1"/>
  <c r="A11" i="20" l="1"/>
  <c r="A7" i="20"/>
  <c r="A6" i="20"/>
  <c r="A5" i="20"/>
  <c r="A4" i="20"/>
  <c r="D42" i="25"/>
  <c r="D54" i="25" s="1"/>
  <c r="D70" i="25"/>
  <c r="D71" i="25"/>
  <c r="D72" i="25"/>
  <c r="D73" i="25"/>
  <c r="D74" i="25"/>
  <c r="D75" i="25"/>
  <c r="D76" i="25"/>
  <c r="D77" i="25"/>
  <c r="D78" i="25"/>
  <c r="D79" i="25"/>
  <c r="D69" i="25"/>
  <c r="C42" i="25"/>
  <c r="C44" i="25" s="1"/>
  <c r="C45" i="25" s="1"/>
  <c r="F70" i="25" s="1"/>
  <c r="J174" i="25"/>
  <c r="J173" i="25"/>
  <c r="J172" i="25"/>
  <c r="J171" i="25"/>
  <c r="J170" i="25"/>
  <c r="J169" i="25"/>
  <c r="J168" i="25"/>
  <c r="J167" i="25"/>
  <c r="J166" i="25"/>
  <c r="J165" i="25"/>
  <c r="J164" i="25"/>
  <c r="J163" i="25"/>
  <c r="J162" i="25"/>
  <c r="J161" i="25"/>
  <c r="J160" i="25"/>
  <c r="J13" i="20"/>
  <c r="Q158" i="25"/>
  <c r="C6" i="25"/>
  <c r="B49" i="25"/>
  <c r="B50" i="25" s="1"/>
  <c r="B42" i="25"/>
  <c r="B44" i="25" s="1"/>
  <c r="B45" i="25" s="1"/>
  <c r="D66" i="25"/>
  <c r="D67" i="25"/>
  <c r="D68" i="25"/>
  <c r="D65" i="25"/>
  <c r="E14" i="20"/>
  <c r="D14" i="20"/>
  <c r="C14" i="20"/>
  <c r="I174" i="25"/>
  <c r="C174" i="25"/>
  <c r="B174" i="25"/>
  <c r="A174" i="25"/>
  <c r="I173" i="25"/>
  <c r="C173" i="25"/>
  <c r="B173" i="25"/>
  <c r="A173" i="25"/>
  <c r="I172" i="25"/>
  <c r="C172" i="25"/>
  <c r="B172" i="25"/>
  <c r="A172" i="25"/>
  <c r="I171" i="25"/>
  <c r="C171" i="25"/>
  <c r="B171" i="25"/>
  <c r="A171" i="25"/>
  <c r="I170" i="25"/>
  <c r="C170" i="25"/>
  <c r="B170" i="25"/>
  <c r="A170" i="25"/>
  <c r="I169" i="25"/>
  <c r="C169" i="25"/>
  <c r="B169" i="25"/>
  <c r="A169" i="25"/>
  <c r="I168" i="25"/>
  <c r="C168" i="25"/>
  <c r="B168" i="25"/>
  <c r="A168" i="25"/>
  <c r="I167" i="25"/>
  <c r="C167" i="25"/>
  <c r="B167" i="25"/>
  <c r="A167" i="25"/>
  <c r="I166" i="25"/>
  <c r="C166" i="25"/>
  <c r="B166" i="25"/>
  <c r="A166" i="25"/>
  <c r="I165" i="25"/>
  <c r="C165" i="25"/>
  <c r="B165" i="25"/>
  <c r="A165" i="25"/>
  <c r="I164" i="25"/>
  <c r="C164" i="25"/>
  <c r="B164" i="25"/>
  <c r="A164" i="25"/>
  <c r="I163" i="25"/>
  <c r="C163" i="25"/>
  <c r="B163" i="25"/>
  <c r="A163" i="25"/>
  <c r="I162" i="25"/>
  <c r="C162" i="25"/>
  <c r="B162" i="25"/>
  <c r="A162" i="25"/>
  <c r="I161" i="25"/>
  <c r="C161" i="25"/>
  <c r="B161" i="25"/>
  <c r="A161" i="25"/>
  <c r="I160" i="25"/>
  <c r="C160" i="25"/>
  <c r="B160" i="25"/>
  <c r="A160" i="25"/>
  <c r="M156" i="25"/>
  <c r="W12" i="25" s="1"/>
  <c r="D149" i="25"/>
  <c r="C149" i="25"/>
  <c r="B149" i="25"/>
  <c r="M146" i="25"/>
  <c r="L146" i="25"/>
  <c r="K146" i="25"/>
  <c r="M145" i="25"/>
  <c r="L145" i="25"/>
  <c r="K145" i="25"/>
  <c r="B145" i="25"/>
  <c r="K147" i="25" s="1"/>
  <c r="P144" i="25"/>
  <c r="D144" i="25"/>
  <c r="D145" i="25" s="1"/>
  <c r="M147" i="25" s="1"/>
  <c r="C144" i="25"/>
  <c r="C145" i="25" s="1"/>
  <c r="L147" i="25" s="1"/>
  <c r="D143" i="25"/>
  <c r="C143" i="25"/>
  <c r="B143" i="25"/>
  <c r="D142" i="25"/>
  <c r="C142" i="25"/>
  <c r="B142" i="25"/>
  <c r="M139" i="25"/>
  <c r="M140" i="25" s="1"/>
  <c r="L139" i="25"/>
  <c r="L140" i="25" s="1"/>
  <c r="K139" i="25"/>
  <c r="K140" i="25" s="1"/>
  <c r="D139" i="25"/>
  <c r="D140" i="25" s="1"/>
  <c r="C139" i="25"/>
  <c r="C140" i="25" s="1"/>
  <c r="B139" i="25"/>
  <c r="B140" i="25" s="1"/>
  <c r="F163" i="25" s="1"/>
  <c r="M138" i="25"/>
  <c r="L138" i="25"/>
  <c r="K138" i="25"/>
  <c r="D138" i="25"/>
  <c r="C138" i="25"/>
  <c r="B138" i="25"/>
  <c r="H127" i="25"/>
  <c r="C127" i="25"/>
  <c r="A127" i="25"/>
  <c r="H126" i="25"/>
  <c r="C126" i="25"/>
  <c r="A126" i="25"/>
  <c r="H125" i="25"/>
  <c r="C125" i="25"/>
  <c r="A125" i="25"/>
  <c r="H124" i="25"/>
  <c r="C124" i="25"/>
  <c r="A124" i="25"/>
  <c r="H123" i="25"/>
  <c r="C123" i="25"/>
  <c r="A123" i="25"/>
  <c r="H122" i="25"/>
  <c r="C122" i="25"/>
  <c r="A122" i="25"/>
  <c r="H121" i="25"/>
  <c r="C121" i="25"/>
  <c r="A121" i="25"/>
  <c r="H120" i="25"/>
  <c r="C120" i="25"/>
  <c r="A120" i="25"/>
  <c r="H119" i="25"/>
  <c r="C119" i="25"/>
  <c r="A119" i="25"/>
  <c r="H118" i="25"/>
  <c r="C118" i="25"/>
  <c r="A118" i="25"/>
  <c r="H117" i="25"/>
  <c r="C117" i="25"/>
  <c r="A117" i="25"/>
  <c r="H116" i="25"/>
  <c r="C116" i="25"/>
  <c r="A116" i="25"/>
  <c r="H115" i="25"/>
  <c r="C115" i="25"/>
  <c r="A115" i="25"/>
  <c r="H114" i="25"/>
  <c r="C114" i="25"/>
  <c r="A114" i="25"/>
  <c r="H113" i="25"/>
  <c r="C113" i="25"/>
  <c r="A113" i="25"/>
  <c r="I109" i="25"/>
  <c r="D101" i="25"/>
  <c r="C101" i="25"/>
  <c r="B101" i="25"/>
  <c r="M98" i="25"/>
  <c r="L98" i="25"/>
  <c r="K98" i="25"/>
  <c r="B97" i="25"/>
  <c r="M99" i="25" s="1"/>
  <c r="P96" i="25"/>
  <c r="D96" i="25"/>
  <c r="D97" i="25" s="1"/>
  <c r="C96" i="25"/>
  <c r="C97" i="25" s="1"/>
  <c r="M95" i="25"/>
  <c r="L95" i="25"/>
  <c r="K95" i="25"/>
  <c r="D95" i="25"/>
  <c r="C95" i="25"/>
  <c r="B95" i="25"/>
  <c r="D94" i="25"/>
  <c r="C94" i="25"/>
  <c r="B94" i="25"/>
  <c r="M91" i="25"/>
  <c r="M92" i="25" s="1"/>
  <c r="L91" i="25"/>
  <c r="L92" i="25" s="1"/>
  <c r="K91" i="25"/>
  <c r="K92" i="25" s="1"/>
  <c r="D91" i="25"/>
  <c r="D92" i="25" s="1"/>
  <c r="C91" i="25"/>
  <c r="C92" i="25" s="1"/>
  <c r="D117" i="25" s="1"/>
  <c r="B91" i="25"/>
  <c r="B92" i="25" s="1"/>
  <c r="M90" i="25"/>
  <c r="L90" i="25"/>
  <c r="K90" i="25"/>
  <c r="D90" i="25"/>
  <c r="C90" i="25"/>
  <c r="B90" i="25"/>
  <c r="Q79" i="25"/>
  <c r="R79" i="25" s="1"/>
  <c r="C79" i="25"/>
  <c r="B79" i="25"/>
  <c r="A79" i="25"/>
  <c r="Q78" i="25"/>
  <c r="R78" i="25" s="1"/>
  <c r="C78" i="25"/>
  <c r="B78" i="25"/>
  <c r="A78" i="25"/>
  <c r="Q77" i="25"/>
  <c r="R77" i="25" s="1"/>
  <c r="C77" i="25"/>
  <c r="B77" i="25"/>
  <c r="A77" i="25"/>
  <c r="Q76" i="25"/>
  <c r="R76" i="25" s="1"/>
  <c r="C76" i="25"/>
  <c r="B76" i="25"/>
  <c r="A76" i="25"/>
  <c r="R75" i="25"/>
  <c r="Q75" i="25"/>
  <c r="C75" i="25"/>
  <c r="B75" i="25"/>
  <c r="A75" i="25"/>
  <c r="Q74" i="25"/>
  <c r="R74" i="25" s="1"/>
  <c r="C74" i="25"/>
  <c r="B74" i="25"/>
  <c r="A74" i="25"/>
  <c r="Q73" i="25"/>
  <c r="R73" i="25" s="1"/>
  <c r="C73" i="25"/>
  <c r="B73" i="25"/>
  <c r="A73" i="25"/>
  <c r="R72" i="25"/>
  <c r="Q72" i="25"/>
  <c r="C72" i="25"/>
  <c r="B72" i="25"/>
  <c r="A72" i="25"/>
  <c r="Q71" i="25"/>
  <c r="R71" i="25" s="1"/>
  <c r="C71" i="25"/>
  <c r="B71" i="25"/>
  <c r="A71" i="25"/>
  <c r="Q70" i="25"/>
  <c r="R70" i="25" s="1"/>
  <c r="C70" i="25"/>
  <c r="A70" i="25"/>
  <c r="Q69" i="25"/>
  <c r="R69" i="25" s="1"/>
  <c r="C69" i="25"/>
  <c r="B69" i="25"/>
  <c r="A69" i="25"/>
  <c r="Q68" i="25"/>
  <c r="R68" i="25" s="1"/>
  <c r="C68" i="25"/>
  <c r="B68" i="25"/>
  <c r="A68" i="25"/>
  <c r="Q67" i="25"/>
  <c r="R67" i="25" s="1"/>
  <c r="C67" i="25"/>
  <c r="B67" i="25"/>
  <c r="A67" i="25"/>
  <c r="Q66" i="25"/>
  <c r="R66" i="25" s="1"/>
  <c r="C66" i="25"/>
  <c r="B66" i="25"/>
  <c r="A66" i="25"/>
  <c r="Q65" i="25"/>
  <c r="R65" i="25" s="1"/>
  <c r="C65" i="25"/>
  <c r="B65" i="25"/>
  <c r="A65" i="25"/>
  <c r="D47" i="25"/>
  <c r="C47" i="25"/>
  <c r="B47" i="25"/>
  <c r="M31" i="25"/>
  <c r="L31" i="25"/>
  <c r="J31" i="25"/>
  <c r="I31" i="25"/>
  <c r="H31" i="25"/>
  <c r="M30" i="25"/>
  <c r="L30" i="25"/>
  <c r="J30" i="25"/>
  <c r="I30" i="25"/>
  <c r="H30" i="25"/>
  <c r="M29" i="25"/>
  <c r="L29" i="25"/>
  <c r="J29" i="25"/>
  <c r="I29" i="25"/>
  <c r="H29" i="25"/>
  <c r="M28" i="25"/>
  <c r="L28" i="25"/>
  <c r="J28" i="25"/>
  <c r="I28" i="25"/>
  <c r="H28" i="25"/>
  <c r="M27" i="25"/>
  <c r="L27" i="25"/>
  <c r="J27" i="25"/>
  <c r="I27" i="25"/>
  <c r="H27" i="25"/>
  <c r="M26" i="25"/>
  <c r="L26" i="25"/>
  <c r="J26" i="25"/>
  <c r="I26" i="25"/>
  <c r="H26" i="25"/>
  <c r="M25" i="25"/>
  <c r="L25" i="25"/>
  <c r="M24" i="25"/>
  <c r="L24" i="25"/>
  <c r="K24" i="25"/>
  <c r="I24" i="25"/>
  <c r="H24" i="25"/>
  <c r="M23" i="25"/>
  <c r="L23" i="25"/>
  <c r="M22" i="25"/>
  <c r="L22" i="25"/>
  <c r="M21" i="25"/>
  <c r="L21" i="25"/>
  <c r="M20" i="25"/>
  <c r="L20" i="25"/>
  <c r="K20" i="25"/>
  <c r="I20" i="25"/>
  <c r="H20" i="25"/>
  <c r="M19" i="25"/>
  <c r="L19" i="25"/>
  <c r="M18" i="25"/>
  <c r="U12" i="25"/>
  <c r="A97" i="20"/>
  <c r="A93" i="20"/>
  <c r="A92" i="20"/>
  <c r="A91" i="20"/>
  <c r="A74" i="20"/>
  <c r="G73" i="20"/>
  <c r="D73" i="20"/>
  <c r="B73" i="20"/>
  <c r="A73" i="20"/>
  <c r="A66" i="20"/>
  <c r="H11" i="20" s="1"/>
  <c r="A64" i="20"/>
  <c r="A63" i="20"/>
  <c r="A62" i="20"/>
  <c r="A45" i="20"/>
  <c r="F44" i="20"/>
  <c r="D44" i="20"/>
  <c r="B44" i="20"/>
  <c r="A44" i="20"/>
  <c r="A37" i="20"/>
  <c r="F11" i="20" s="1"/>
  <c r="A33" i="20"/>
  <c r="A32" i="20"/>
  <c r="A31" i="20"/>
  <c r="F14" i="20"/>
  <c r="A14" i="20"/>
  <c r="H13" i="20"/>
  <c r="F13" i="20"/>
  <c r="D13" i="20"/>
  <c r="B13" i="20"/>
  <c r="A13" i="20"/>
  <c r="A1" i="20"/>
  <c r="D48" i="25" l="1"/>
  <c r="D43" i="25"/>
  <c r="D44" i="25"/>
  <c r="D45" i="25" s="1"/>
  <c r="F74" i="25" s="1"/>
  <c r="I11" i="20"/>
  <c r="G11" i="20"/>
  <c r="K163" i="25"/>
  <c r="G23" i="20"/>
  <c r="F83" i="20"/>
  <c r="G54" i="20"/>
  <c r="G25" i="20"/>
  <c r="F85" i="20"/>
  <c r="G56" i="20"/>
  <c r="G29" i="20"/>
  <c r="F89" i="20"/>
  <c r="G60" i="20"/>
  <c r="G57" i="20"/>
  <c r="G26" i="20"/>
  <c r="F86" i="20"/>
  <c r="F88" i="20"/>
  <c r="G59" i="20"/>
  <c r="G28" i="20"/>
  <c r="F90" i="20"/>
  <c r="G61" i="20"/>
  <c r="G30" i="20"/>
  <c r="G19" i="20"/>
  <c r="F79" i="20"/>
  <c r="G50" i="20"/>
  <c r="G58" i="20"/>
  <c r="G27" i="20"/>
  <c r="F87" i="20"/>
  <c r="M149" i="25"/>
  <c r="M150" i="25" s="1"/>
  <c r="K149" i="25"/>
  <c r="K150" i="25" s="1"/>
  <c r="B48" i="25"/>
  <c r="B43" i="25"/>
  <c r="B54" i="25"/>
  <c r="M101" i="25"/>
  <c r="M102" i="25" s="1"/>
  <c r="L99" i="25"/>
  <c r="L101" i="25" s="1"/>
  <c r="L102" i="25" s="1"/>
  <c r="C48" i="25"/>
  <c r="C43" i="25"/>
  <c r="C54" i="25"/>
  <c r="I25" i="25"/>
  <c r="I21" i="25"/>
  <c r="K22" i="25"/>
  <c r="R15" i="25"/>
  <c r="K63" i="25"/>
  <c r="K18" i="25"/>
  <c r="I17" i="25"/>
  <c r="H12" i="25"/>
  <c r="M15" i="25"/>
  <c r="W15" i="25"/>
  <c r="H18" i="25"/>
  <c r="F78" i="20"/>
  <c r="H22" i="25"/>
  <c r="F82" i="20"/>
  <c r="B53" i="25"/>
  <c r="D100" i="25" s="1"/>
  <c r="H63" i="25"/>
  <c r="P97" i="25"/>
  <c r="P94" i="25" s="1"/>
  <c r="K111" i="25"/>
  <c r="K144" i="25"/>
  <c r="M158" i="25"/>
  <c r="P15" i="25"/>
  <c r="X15" i="25"/>
  <c r="I18" i="25"/>
  <c r="K19" i="25"/>
  <c r="I22" i="25"/>
  <c r="K23" i="25"/>
  <c r="I63" i="25"/>
  <c r="A102" i="25"/>
  <c r="L111" i="25"/>
  <c r="O158" i="25"/>
  <c r="Q15" i="25"/>
  <c r="H17" i="25"/>
  <c r="F77" i="20"/>
  <c r="H21" i="25"/>
  <c r="F81" i="20"/>
  <c r="H25" i="25"/>
  <c r="J63" i="25"/>
  <c r="J105" i="25"/>
  <c r="M111" i="25"/>
  <c r="B148" i="25"/>
  <c r="P158" i="25"/>
  <c r="T53" i="25"/>
  <c r="U45" i="25" s="1"/>
  <c r="F84" i="20"/>
  <c r="E111" i="25"/>
  <c r="A55" i="25"/>
  <c r="B100" i="25"/>
  <c r="F111" i="25"/>
  <c r="N111" i="25"/>
  <c r="I111" i="25"/>
  <c r="P145" i="25"/>
  <c r="P142" i="25" s="1"/>
  <c r="A150" i="25"/>
  <c r="S15" i="25"/>
  <c r="F76" i="20"/>
  <c r="L18" i="25"/>
  <c r="F80" i="20"/>
  <c r="T15" i="25"/>
  <c r="K17" i="25"/>
  <c r="K21" i="25"/>
  <c r="K25" i="25"/>
  <c r="M63" i="25"/>
  <c r="K15" i="25"/>
  <c r="U15" i="25"/>
  <c r="H19" i="25"/>
  <c r="H23" i="25"/>
  <c r="J61" i="25"/>
  <c r="P11" i="25"/>
  <c r="L15" i="25"/>
  <c r="V15" i="25"/>
  <c r="M17" i="25"/>
  <c r="I19" i="25"/>
  <c r="I23" i="25"/>
  <c r="G63" i="25"/>
  <c r="K97" i="25"/>
  <c r="J111" i="25"/>
  <c r="D49" i="25"/>
  <c r="D50" i="25" s="1"/>
  <c r="R12" i="25"/>
  <c r="C49" i="25"/>
  <c r="C50" i="25" s="1"/>
  <c r="H61" i="25"/>
  <c r="B52" i="25"/>
  <c r="D147" i="25" s="1"/>
  <c r="K143" i="25"/>
  <c r="K96" i="25"/>
  <c r="B99" i="25"/>
  <c r="B147" i="25"/>
  <c r="N158" i="25"/>
  <c r="R158" i="25"/>
  <c r="D125" i="25"/>
  <c r="D121" i="25"/>
  <c r="D126" i="25"/>
  <c r="D122" i="25"/>
  <c r="D123" i="25"/>
  <c r="D124" i="25"/>
  <c r="F168" i="25"/>
  <c r="K168" i="25" s="1"/>
  <c r="F169" i="25"/>
  <c r="K169" i="25" s="1"/>
  <c r="F170" i="25"/>
  <c r="K170" i="25" s="1"/>
  <c r="F171" i="25"/>
  <c r="K171" i="25" s="1"/>
  <c r="F172" i="25"/>
  <c r="K172" i="25" s="1"/>
  <c r="F173" i="25"/>
  <c r="K173" i="25" s="1"/>
  <c r="F174" i="25"/>
  <c r="K174" i="25" s="1"/>
  <c r="D113" i="25"/>
  <c r="D114" i="25"/>
  <c r="D115" i="25"/>
  <c r="D116" i="25"/>
  <c r="K99" i="25"/>
  <c r="K101" i="25" s="1"/>
  <c r="K102" i="25" s="1"/>
  <c r="L149" i="25"/>
  <c r="L150" i="25" s="1"/>
  <c r="F162" i="25"/>
  <c r="K162" i="25" s="1"/>
  <c r="D120" i="25"/>
  <c r="F161" i="25"/>
  <c r="K161" i="25" s="1"/>
  <c r="F160" i="25"/>
  <c r="K160" i="25" s="1"/>
  <c r="D119" i="25"/>
  <c r="D118" i="25"/>
  <c r="F66" i="25"/>
  <c r="F65" i="25"/>
  <c r="F68" i="25"/>
  <c r="F67" i="25"/>
  <c r="F167" i="25"/>
  <c r="F166" i="25"/>
  <c r="F165" i="25"/>
  <c r="F164" i="25"/>
  <c r="D127" i="25"/>
  <c r="L163" i="25"/>
  <c r="F69" i="25"/>
  <c r="F72" i="25"/>
  <c r="F71" i="25"/>
  <c r="K151" i="25" l="1"/>
  <c r="K152" i="25" s="1"/>
  <c r="K142" i="25" s="1"/>
  <c r="F75" i="25"/>
  <c r="F76" i="25"/>
  <c r="F79" i="25"/>
  <c r="F78" i="25"/>
  <c r="F73" i="25"/>
  <c r="F77" i="25"/>
  <c r="B102" i="25"/>
  <c r="E116" i="25" s="1"/>
  <c r="L169" i="25"/>
  <c r="R169" i="25" s="1"/>
  <c r="L161" i="25"/>
  <c r="L160" i="25"/>
  <c r="L172" i="25"/>
  <c r="L171" i="25"/>
  <c r="L170" i="25"/>
  <c r="L168" i="25"/>
  <c r="L173" i="25"/>
  <c r="L162" i="25"/>
  <c r="G22" i="20"/>
  <c r="G53" i="20"/>
  <c r="G20" i="20"/>
  <c r="G51" i="20"/>
  <c r="G21" i="20"/>
  <c r="G52" i="20"/>
  <c r="G18" i="20"/>
  <c r="G49" i="20"/>
  <c r="G24" i="20"/>
  <c r="G55" i="20"/>
  <c r="G17" i="20"/>
  <c r="G48" i="20"/>
  <c r="G16" i="20"/>
  <c r="G47" i="20"/>
  <c r="L97" i="25"/>
  <c r="K103" i="25"/>
  <c r="K104" i="25" s="1"/>
  <c r="K94" i="25" s="1"/>
  <c r="K105" i="25" s="1"/>
  <c r="W46" i="25"/>
  <c r="P176" i="25" s="1"/>
  <c r="P172" i="25" s="1"/>
  <c r="W49" i="25"/>
  <c r="X51" i="25"/>
  <c r="X48" i="25"/>
  <c r="B150" i="25"/>
  <c r="G163" i="25" s="1"/>
  <c r="M103" i="25"/>
  <c r="M104" i="25" s="1"/>
  <c r="M94" i="25" s="1"/>
  <c r="L151" i="25"/>
  <c r="L152" i="25" s="1"/>
  <c r="L142" i="25" s="1"/>
  <c r="M151" i="25"/>
  <c r="M152" i="25" s="1"/>
  <c r="M142" i="25" s="1"/>
  <c r="L103" i="25"/>
  <c r="L104" i="25" s="1"/>
  <c r="L94" i="25" s="1"/>
  <c r="X50" i="25"/>
  <c r="W45" i="25"/>
  <c r="U51" i="25"/>
  <c r="V49" i="25"/>
  <c r="U48" i="25"/>
  <c r="W51" i="25"/>
  <c r="W48" i="25"/>
  <c r="U46" i="25"/>
  <c r="X47" i="25"/>
  <c r="X52" i="25"/>
  <c r="U49" i="25"/>
  <c r="V52" i="25"/>
  <c r="V46" i="25"/>
  <c r="O174" i="25" s="1"/>
  <c r="V45" i="25"/>
  <c r="V50" i="25"/>
  <c r="V51" i="25"/>
  <c r="X49" i="25"/>
  <c r="X46" i="25"/>
  <c r="M165" i="25" s="1"/>
  <c r="W52" i="25"/>
  <c r="U47" i="25"/>
  <c r="V48" i="25"/>
  <c r="X45" i="25"/>
  <c r="W50" i="25"/>
  <c r="U50" i="25"/>
  <c r="C100" i="25"/>
  <c r="D148" i="25"/>
  <c r="D150" i="25" s="1"/>
  <c r="G171" i="25" s="1"/>
  <c r="L144" i="25"/>
  <c r="C53" i="25"/>
  <c r="M97" i="25"/>
  <c r="C148" i="25"/>
  <c r="M144" i="25"/>
  <c r="D53" i="25"/>
  <c r="W47" i="25"/>
  <c r="V47" i="25"/>
  <c r="U52" i="25"/>
  <c r="C147" i="25"/>
  <c r="L143" i="25"/>
  <c r="L96" i="25"/>
  <c r="C99" i="25"/>
  <c r="B55" i="25"/>
  <c r="G66" i="25" s="1"/>
  <c r="J66" i="25" s="1"/>
  <c r="P18" i="25" s="1"/>
  <c r="H17" i="20" s="1"/>
  <c r="C52" i="25"/>
  <c r="K153" i="25"/>
  <c r="H163" i="25" s="1"/>
  <c r="M143" i="25"/>
  <c r="D99" i="25"/>
  <c r="D102" i="25" s="1"/>
  <c r="E125" i="25" s="1"/>
  <c r="M96" i="25"/>
  <c r="D52" i="25"/>
  <c r="L174" i="25"/>
  <c r="K166" i="25"/>
  <c r="L166" i="25"/>
  <c r="K167" i="25"/>
  <c r="L167" i="25"/>
  <c r="K165" i="25"/>
  <c r="L165" i="25"/>
  <c r="K164" i="25"/>
  <c r="L164" i="25"/>
  <c r="H75" i="25" l="1"/>
  <c r="K75" i="25" s="1"/>
  <c r="M171" i="25"/>
  <c r="E113" i="25"/>
  <c r="E114" i="25"/>
  <c r="E115" i="25"/>
  <c r="H74" i="25"/>
  <c r="K74" i="25" s="1"/>
  <c r="J117" i="25"/>
  <c r="H73" i="25"/>
  <c r="K73" i="25" s="1"/>
  <c r="H79" i="25"/>
  <c r="K79" i="25" s="1"/>
  <c r="H76" i="25"/>
  <c r="K76" i="25" s="1"/>
  <c r="H67" i="25"/>
  <c r="K67" i="25" s="1"/>
  <c r="I126" i="25"/>
  <c r="I124" i="25"/>
  <c r="H66" i="25"/>
  <c r="K66" i="25" s="1"/>
  <c r="H68" i="25"/>
  <c r="K68" i="25" s="1"/>
  <c r="H78" i="25"/>
  <c r="K78" i="25" s="1"/>
  <c r="C102" i="25"/>
  <c r="E120" i="25" s="1"/>
  <c r="G67" i="25"/>
  <c r="J67" i="25" s="1"/>
  <c r="P19" i="25" s="1"/>
  <c r="H18" i="20" s="1"/>
  <c r="M160" i="25"/>
  <c r="P167" i="25"/>
  <c r="P169" i="25"/>
  <c r="P166" i="25"/>
  <c r="P164" i="25"/>
  <c r="P168" i="25"/>
  <c r="P171" i="25"/>
  <c r="P174" i="25"/>
  <c r="R174" i="25" s="1"/>
  <c r="W31" i="25" s="1"/>
  <c r="H90" i="20" s="1"/>
  <c r="P161" i="25"/>
  <c r="P163" i="25"/>
  <c r="P170" i="25"/>
  <c r="P162" i="25"/>
  <c r="P165" i="25"/>
  <c r="P173" i="25"/>
  <c r="P160" i="25"/>
  <c r="H72" i="25"/>
  <c r="K72" i="25" s="1"/>
  <c r="M167" i="25"/>
  <c r="I115" i="25"/>
  <c r="I117" i="25"/>
  <c r="M153" i="25"/>
  <c r="H174" i="25" s="1"/>
  <c r="I121" i="25"/>
  <c r="G170" i="25"/>
  <c r="I125" i="25"/>
  <c r="I123" i="25"/>
  <c r="M174" i="25"/>
  <c r="H70" i="25"/>
  <c r="K70" i="25" s="1"/>
  <c r="M163" i="25"/>
  <c r="M166" i="25"/>
  <c r="M172" i="25"/>
  <c r="G172" i="25"/>
  <c r="G173" i="25"/>
  <c r="O168" i="25"/>
  <c r="G169" i="25"/>
  <c r="M170" i="25"/>
  <c r="H71" i="25"/>
  <c r="K71" i="25" s="1"/>
  <c r="M168" i="25"/>
  <c r="I122" i="25"/>
  <c r="I127" i="25"/>
  <c r="I120" i="25"/>
  <c r="M164" i="25"/>
  <c r="M169" i="25"/>
  <c r="G174" i="25"/>
  <c r="H77" i="25"/>
  <c r="K77" i="25" s="1"/>
  <c r="H69" i="25"/>
  <c r="K69" i="25" s="1"/>
  <c r="M161" i="25"/>
  <c r="I119" i="25"/>
  <c r="O169" i="25"/>
  <c r="G65" i="25"/>
  <c r="J65" i="25" s="1"/>
  <c r="P17" i="25" s="1"/>
  <c r="H16" i="20" s="1"/>
  <c r="G168" i="25"/>
  <c r="I114" i="25"/>
  <c r="H65" i="25"/>
  <c r="K65" i="25" s="1"/>
  <c r="I113" i="25"/>
  <c r="I116" i="25"/>
  <c r="M173" i="25"/>
  <c r="I118" i="25"/>
  <c r="O160" i="25"/>
  <c r="G68" i="25"/>
  <c r="J68" i="25" s="1"/>
  <c r="P20" i="25" s="1"/>
  <c r="H19" i="20" s="1"/>
  <c r="N174" i="25"/>
  <c r="I70" i="25"/>
  <c r="G162" i="25"/>
  <c r="M162" i="25"/>
  <c r="N173" i="25"/>
  <c r="I68" i="25"/>
  <c r="N160" i="25"/>
  <c r="J123" i="25"/>
  <c r="J114" i="25"/>
  <c r="J121" i="25"/>
  <c r="J119" i="25"/>
  <c r="J118" i="25"/>
  <c r="I66" i="25"/>
  <c r="J124" i="25"/>
  <c r="I75" i="25"/>
  <c r="N162" i="25"/>
  <c r="J115" i="25"/>
  <c r="N170" i="25"/>
  <c r="J113" i="25"/>
  <c r="N172" i="25"/>
  <c r="N167" i="25"/>
  <c r="I71" i="25"/>
  <c r="N166" i="25"/>
  <c r="G161" i="25"/>
  <c r="O165" i="25"/>
  <c r="J122" i="25"/>
  <c r="G160" i="25"/>
  <c r="N168" i="25"/>
  <c r="O173" i="25"/>
  <c r="R173" i="25" s="1"/>
  <c r="W30" i="25" s="1"/>
  <c r="H89" i="20" s="1"/>
  <c r="N171" i="25"/>
  <c r="O171" i="25"/>
  <c r="O167" i="25"/>
  <c r="J116" i="25"/>
  <c r="N163" i="25"/>
  <c r="Q163" i="25" s="1"/>
  <c r="V20" i="25" s="1"/>
  <c r="G79" i="20" s="1"/>
  <c r="O170" i="25"/>
  <c r="L105" i="25"/>
  <c r="F117" i="25" s="1"/>
  <c r="I69" i="25"/>
  <c r="O162" i="25"/>
  <c r="N161" i="25"/>
  <c r="O163" i="25"/>
  <c r="O166" i="25"/>
  <c r="I77" i="25"/>
  <c r="I74" i="25"/>
  <c r="I67" i="25"/>
  <c r="N165" i="25"/>
  <c r="I78" i="25"/>
  <c r="J120" i="25"/>
  <c r="I65" i="25"/>
  <c r="J126" i="25"/>
  <c r="N164" i="25"/>
  <c r="N169" i="25"/>
  <c r="I73" i="25"/>
  <c r="I76" i="25"/>
  <c r="J127" i="25"/>
  <c r="I79" i="25"/>
  <c r="J125" i="25"/>
  <c r="L125" i="25" s="1"/>
  <c r="I72" i="25"/>
  <c r="O161" i="25"/>
  <c r="D55" i="25"/>
  <c r="G77" i="25" s="1"/>
  <c r="J77" i="25" s="1"/>
  <c r="P29" i="25" s="1"/>
  <c r="H28" i="20" s="1"/>
  <c r="O164" i="25"/>
  <c r="O172" i="25"/>
  <c r="R172" i="25" s="1"/>
  <c r="W29" i="25" s="1"/>
  <c r="H88" i="20" s="1"/>
  <c r="C150" i="25"/>
  <c r="G165" i="25" s="1"/>
  <c r="M105" i="25"/>
  <c r="F121" i="25" s="1"/>
  <c r="C55" i="25"/>
  <c r="G71" i="25" s="1"/>
  <c r="J71" i="25" s="1"/>
  <c r="P23" i="25" s="1"/>
  <c r="H22" i="20" s="1"/>
  <c r="L153" i="25"/>
  <c r="H164" i="25" s="1"/>
  <c r="H160" i="25"/>
  <c r="H161" i="25"/>
  <c r="H162" i="25"/>
  <c r="E123" i="25"/>
  <c r="E126" i="25"/>
  <c r="E121" i="25"/>
  <c r="E127" i="25"/>
  <c r="E124" i="25"/>
  <c r="E122" i="25"/>
  <c r="F115" i="25"/>
  <c r="F114" i="25"/>
  <c r="F113" i="25"/>
  <c r="F116" i="25"/>
  <c r="L77" i="25" l="1"/>
  <c r="M77" i="25" s="1"/>
  <c r="Q29" i="25" s="1"/>
  <c r="I28" i="20" s="1"/>
  <c r="J28" i="20" s="1"/>
  <c r="L74" i="25"/>
  <c r="M74" i="25" s="1"/>
  <c r="Q26" i="25" s="1"/>
  <c r="I25" i="20" s="1"/>
  <c r="L75" i="25"/>
  <c r="M75" i="25" s="1"/>
  <c r="Q27" i="25" s="1"/>
  <c r="I26" i="20" s="1"/>
  <c r="K113" i="25"/>
  <c r="K115" i="25"/>
  <c r="L79" i="25"/>
  <c r="M79" i="25" s="1"/>
  <c r="Q31" i="25" s="1"/>
  <c r="I30" i="20" s="1"/>
  <c r="N114" i="25"/>
  <c r="T18" i="25" s="1"/>
  <c r="I48" i="20" s="1"/>
  <c r="L73" i="25"/>
  <c r="M73" i="25" s="1"/>
  <c r="Q25" i="25" s="1"/>
  <c r="I24" i="20" s="1"/>
  <c r="L67" i="25"/>
  <c r="M67" i="25" s="1"/>
  <c r="Q19" i="25" s="1"/>
  <c r="R19" i="25" s="1"/>
  <c r="R170" i="25"/>
  <c r="W27" i="25" s="1"/>
  <c r="H86" i="20" s="1"/>
  <c r="N117" i="25"/>
  <c r="T21" i="25" s="1"/>
  <c r="I51" i="20" s="1"/>
  <c r="L76" i="25"/>
  <c r="M76" i="25" s="1"/>
  <c r="Q28" i="25" s="1"/>
  <c r="I27" i="20" s="1"/>
  <c r="H171" i="25"/>
  <c r="Q171" i="25" s="1"/>
  <c r="V28" i="25" s="1"/>
  <c r="G87" i="20" s="1"/>
  <c r="N124" i="25"/>
  <c r="T28" i="25" s="1"/>
  <c r="I58" i="20" s="1"/>
  <c r="L66" i="25"/>
  <c r="M66" i="25" s="1"/>
  <c r="Q18" i="25" s="1"/>
  <c r="N123" i="25"/>
  <c r="T27" i="25" s="1"/>
  <c r="I57" i="20" s="1"/>
  <c r="L78" i="25"/>
  <c r="M78" i="25" s="1"/>
  <c r="Q30" i="25" s="1"/>
  <c r="I29" i="20" s="1"/>
  <c r="L68" i="25"/>
  <c r="M68" i="25" s="1"/>
  <c r="Q20" i="25" s="1"/>
  <c r="R20" i="25" s="1"/>
  <c r="Q174" i="25"/>
  <c r="V31" i="25" s="1"/>
  <c r="R162" i="25"/>
  <c r="W19" i="25" s="1"/>
  <c r="H78" i="20" s="1"/>
  <c r="H170" i="25"/>
  <c r="Q170" i="25" s="1"/>
  <c r="V27" i="25" s="1"/>
  <c r="G86" i="20" s="1"/>
  <c r="L114" i="25"/>
  <c r="R168" i="25"/>
  <c r="W25" i="25" s="1"/>
  <c r="H84" i="20" s="1"/>
  <c r="E118" i="25"/>
  <c r="L118" i="25" s="1"/>
  <c r="E117" i="25"/>
  <c r="L117" i="25" s="1"/>
  <c r="H168" i="25"/>
  <c r="Q168" i="25" s="1"/>
  <c r="V25" i="25" s="1"/>
  <c r="G84" i="20" s="1"/>
  <c r="H169" i="25"/>
  <c r="Q169" i="25" s="1"/>
  <c r="V26" i="25" s="1"/>
  <c r="G85" i="20" s="1"/>
  <c r="E119" i="25"/>
  <c r="K119" i="25" s="1"/>
  <c r="L120" i="25"/>
  <c r="R165" i="25"/>
  <c r="W22" i="25" s="1"/>
  <c r="H81" i="20" s="1"/>
  <c r="R164" i="25"/>
  <c r="W21" i="25" s="1"/>
  <c r="H80" i="20" s="1"/>
  <c r="W26" i="25"/>
  <c r="H85" i="20" s="1"/>
  <c r="H172" i="25"/>
  <c r="Q172" i="25" s="1"/>
  <c r="V29" i="25" s="1"/>
  <c r="R166" i="25"/>
  <c r="W23" i="25" s="1"/>
  <c r="H82" i="20" s="1"/>
  <c r="H173" i="25"/>
  <c r="Q173" i="25" s="1"/>
  <c r="V30" i="25" s="1"/>
  <c r="R171" i="25"/>
  <c r="W28" i="25" s="1"/>
  <c r="H87" i="20" s="1"/>
  <c r="R160" i="25"/>
  <c r="W17" i="25" s="1"/>
  <c r="H76" i="20" s="1"/>
  <c r="L72" i="25"/>
  <c r="M72" i="25" s="1"/>
  <c r="Q24" i="25" s="1"/>
  <c r="I23" i="20" s="1"/>
  <c r="R167" i="25"/>
  <c r="W24" i="25" s="1"/>
  <c r="H83" i="20" s="1"/>
  <c r="R163" i="25"/>
  <c r="W20" i="25" s="1"/>
  <c r="R161" i="25"/>
  <c r="W18" i="25" s="1"/>
  <c r="H77" i="20" s="1"/>
  <c r="N121" i="25"/>
  <c r="T25" i="25" s="1"/>
  <c r="I55" i="20" s="1"/>
  <c r="L70" i="25"/>
  <c r="M70" i="25" s="1"/>
  <c r="Q22" i="25" s="1"/>
  <c r="L69" i="25"/>
  <c r="M69" i="25" s="1"/>
  <c r="Q21" i="25" s="1"/>
  <c r="I20" i="20" s="1"/>
  <c r="N127" i="25"/>
  <c r="T31" i="25" s="1"/>
  <c r="I61" i="20" s="1"/>
  <c r="L71" i="25"/>
  <c r="M71" i="25" s="1"/>
  <c r="Q23" i="25" s="1"/>
  <c r="I22" i="20" s="1"/>
  <c r="J22" i="20" s="1"/>
  <c r="N119" i="25"/>
  <c r="T23" i="25" s="1"/>
  <c r="I53" i="20" s="1"/>
  <c r="N122" i="25"/>
  <c r="T26" i="25" s="1"/>
  <c r="I56" i="20" s="1"/>
  <c r="L65" i="25"/>
  <c r="M65" i="25" s="1"/>
  <c r="Q17" i="25" s="1"/>
  <c r="I16" i="20" s="1"/>
  <c r="J16" i="20" s="1"/>
  <c r="N116" i="25"/>
  <c r="T20" i="25" s="1"/>
  <c r="I50" i="20" s="1"/>
  <c r="Q161" i="25"/>
  <c r="V18" i="25" s="1"/>
  <c r="G77" i="20" s="1"/>
  <c r="K114" i="25"/>
  <c r="L115" i="25"/>
  <c r="K116" i="25"/>
  <c r="N115" i="25"/>
  <c r="T19" i="25" s="1"/>
  <c r="I49" i="20" s="1"/>
  <c r="L113" i="25"/>
  <c r="N118" i="25"/>
  <c r="T22" i="25" s="1"/>
  <c r="I52" i="20" s="1"/>
  <c r="L121" i="25"/>
  <c r="F125" i="25"/>
  <c r="N113" i="25"/>
  <c r="T17" i="25" s="1"/>
  <c r="I47" i="20" s="1"/>
  <c r="L122" i="25"/>
  <c r="L116" i="25"/>
  <c r="Q160" i="25"/>
  <c r="V17" i="25" s="1"/>
  <c r="G76" i="20" s="1"/>
  <c r="H166" i="25"/>
  <c r="N120" i="25"/>
  <c r="T24" i="25" s="1"/>
  <c r="I54" i="20" s="1"/>
  <c r="L123" i="25"/>
  <c r="H165" i="25"/>
  <c r="Q165" i="25" s="1"/>
  <c r="V22" i="25" s="1"/>
  <c r="G81" i="20" s="1"/>
  <c r="Q162" i="25"/>
  <c r="V19" i="25" s="1"/>
  <c r="G78" i="20" s="1"/>
  <c r="L127" i="25"/>
  <c r="K120" i="25"/>
  <c r="K121" i="25"/>
  <c r="F126" i="25"/>
  <c r="K126" i="25"/>
  <c r="F127" i="25"/>
  <c r="F122" i="25"/>
  <c r="F123" i="25"/>
  <c r="F119" i="25"/>
  <c r="F118" i="25"/>
  <c r="F120" i="25"/>
  <c r="K122" i="25"/>
  <c r="N125" i="25"/>
  <c r="T29" i="25" s="1"/>
  <c r="I59" i="20" s="1"/>
  <c r="K125" i="25"/>
  <c r="M125" i="25" s="1"/>
  <c r="S29" i="25" s="1"/>
  <c r="H59" i="20" s="1"/>
  <c r="G73" i="25"/>
  <c r="J73" i="25" s="1"/>
  <c r="P25" i="25" s="1"/>
  <c r="H24" i="20" s="1"/>
  <c r="G70" i="25"/>
  <c r="J70" i="25" s="1"/>
  <c r="P22" i="25" s="1"/>
  <c r="H21" i="20" s="1"/>
  <c r="G69" i="25"/>
  <c r="J69" i="25" s="1"/>
  <c r="P21" i="25" s="1"/>
  <c r="H20" i="20" s="1"/>
  <c r="H167" i="25"/>
  <c r="N126" i="25"/>
  <c r="T30" i="25" s="1"/>
  <c r="I60" i="20" s="1"/>
  <c r="G79" i="25"/>
  <c r="J79" i="25" s="1"/>
  <c r="P31" i="25" s="1"/>
  <c r="H30" i="20" s="1"/>
  <c r="G74" i="25"/>
  <c r="J74" i="25" s="1"/>
  <c r="P26" i="25" s="1"/>
  <c r="H25" i="20" s="1"/>
  <c r="G78" i="25"/>
  <c r="J78" i="25" s="1"/>
  <c r="P30" i="25" s="1"/>
  <c r="H29" i="20" s="1"/>
  <c r="G76" i="25"/>
  <c r="J76" i="25" s="1"/>
  <c r="P28" i="25" s="1"/>
  <c r="H27" i="20" s="1"/>
  <c r="G75" i="25"/>
  <c r="J75" i="25" s="1"/>
  <c r="P27" i="25" s="1"/>
  <c r="H26" i="20" s="1"/>
  <c r="J26" i="20" s="1"/>
  <c r="L126" i="25"/>
  <c r="G72" i="25"/>
  <c r="J72" i="25" s="1"/>
  <c r="P24" i="25" s="1"/>
  <c r="G166" i="25"/>
  <c r="G167" i="25"/>
  <c r="F124" i="25"/>
  <c r="K124" i="25"/>
  <c r="G164" i="25"/>
  <c r="Q164" i="25" s="1"/>
  <c r="V21" i="25" s="1"/>
  <c r="G80" i="20" s="1"/>
  <c r="K123" i="25"/>
  <c r="L124" i="25"/>
  <c r="K127" i="25"/>
  <c r="R29" i="25" l="1"/>
  <c r="J25" i="20"/>
  <c r="M113" i="25"/>
  <c r="S17" i="25" s="1"/>
  <c r="H47" i="20" s="1"/>
  <c r="J47" i="20" s="1"/>
  <c r="J30" i="20"/>
  <c r="M115" i="25"/>
  <c r="S19" i="25" s="1"/>
  <c r="H49" i="20" s="1"/>
  <c r="J49" i="20" s="1"/>
  <c r="I78" i="20"/>
  <c r="I84" i="20"/>
  <c r="J24" i="20"/>
  <c r="I81" i="20"/>
  <c r="I86" i="20"/>
  <c r="J20" i="20"/>
  <c r="I77" i="20"/>
  <c r="I87" i="20"/>
  <c r="I80" i="20"/>
  <c r="I76" i="20"/>
  <c r="I85" i="20"/>
  <c r="X30" i="25"/>
  <c r="G89" i="20"/>
  <c r="I89" i="20" s="1"/>
  <c r="X29" i="25"/>
  <c r="G88" i="20"/>
  <c r="I88" i="20" s="1"/>
  <c r="X31" i="25"/>
  <c r="G90" i="20"/>
  <c r="I90" i="20" s="1"/>
  <c r="X20" i="25"/>
  <c r="H79" i="20"/>
  <c r="I79" i="20" s="1"/>
  <c r="J27" i="20"/>
  <c r="J29" i="20"/>
  <c r="J59" i="20"/>
  <c r="X27" i="25"/>
  <c r="I18" i="20"/>
  <c r="J18" i="20" s="1"/>
  <c r="X19" i="25"/>
  <c r="M114" i="25"/>
  <c r="S18" i="25" s="1"/>
  <c r="X21" i="25"/>
  <c r="K117" i="25"/>
  <c r="M117" i="25" s="1"/>
  <c r="S21" i="25" s="1"/>
  <c r="X25" i="25"/>
  <c r="X22" i="25"/>
  <c r="X26" i="25"/>
  <c r="K118" i="25"/>
  <c r="M118" i="25" s="1"/>
  <c r="S22" i="25" s="1"/>
  <c r="X18" i="25"/>
  <c r="M120" i="25"/>
  <c r="S24" i="25" s="1"/>
  <c r="L119" i="25"/>
  <c r="M119" i="25" s="1"/>
  <c r="S23" i="25" s="1"/>
  <c r="X17" i="25"/>
  <c r="X28" i="25"/>
  <c r="R23" i="25"/>
  <c r="R17" i="25"/>
  <c r="M116" i="25"/>
  <c r="S20" i="25" s="1"/>
  <c r="M121" i="25"/>
  <c r="S25" i="25" s="1"/>
  <c r="M122" i="25"/>
  <c r="S26" i="25" s="1"/>
  <c r="Q166" i="25"/>
  <c r="V23" i="25" s="1"/>
  <c r="M123" i="25"/>
  <c r="S27" i="25" s="1"/>
  <c r="U29" i="25"/>
  <c r="M127" i="25"/>
  <c r="S31" i="25" s="1"/>
  <c r="M126" i="25"/>
  <c r="S30" i="25" s="1"/>
  <c r="Q167" i="25"/>
  <c r="V24" i="25" s="1"/>
  <c r="M124" i="25"/>
  <c r="S28" i="25" s="1"/>
  <c r="R25" i="25"/>
  <c r="R21" i="25"/>
  <c r="R31" i="25"/>
  <c r="R26" i="25"/>
  <c r="R30" i="25"/>
  <c r="R27" i="25"/>
  <c r="R28" i="25"/>
  <c r="R22" i="25"/>
  <c r="I21" i="20"/>
  <c r="J21" i="20" s="1"/>
  <c r="R24" i="25"/>
  <c r="H23" i="20"/>
  <c r="J23" i="20" s="1"/>
  <c r="I19" i="20"/>
  <c r="J19" i="20" s="1"/>
  <c r="R18" i="25"/>
  <c r="I17" i="20"/>
  <c r="J17" i="20" s="1"/>
  <c r="U19" i="25" l="1"/>
  <c r="U17" i="25"/>
  <c r="X23" i="25"/>
  <c r="G82" i="20"/>
  <c r="I82" i="20" s="1"/>
  <c r="X24" i="25"/>
  <c r="G83" i="20"/>
  <c r="I83" i="20" s="1"/>
  <c r="U26" i="25"/>
  <c r="H56" i="20"/>
  <c r="J56" i="20" s="1"/>
  <c r="U21" i="25"/>
  <c r="H51" i="20"/>
  <c r="J51" i="20" s="1"/>
  <c r="U31" i="25"/>
  <c r="H61" i="20"/>
  <c r="J61" i="20" s="1"/>
  <c r="U22" i="25"/>
  <c r="H52" i="20"/>
  <c r="J52" i="20" s="1"/>
  <c r="U28" i="25"/>
  <c r="H58" i="20"/>
  <c r="J58" i="20" s="1"/>
  <c r="U25" i="25"/>
  <c r="H55" i="20"/>
  <c r="J55" i="20" s="1"/>
  <c r="U23" i="25"/>
  <c r="H53" i="20"/>
  <c r="J53" i="20" s="1"/>
  <c r="U30" i="25"/>
  <c r="H60" i="20"/>
  <c r="J60" i="20" s="1"/>
  <c r="U24" i="25"/>
  <c r="H54" i="20"/>
  <c r="J54" i="20" s="1"/>
  <c r="U20" i="25"/>
  <c r="H50" i="20"/>
  <c r="J50" i="20" s="1"/>
  <c r="U18" i="25"/>
  <c r="H48" i="20"/>
  <c r="J48" i="20" s="1"/>
  <c r="U27" i="25"/>
  <c r="H57" i="20"/>
  <c r="J57" i="20" s="1"/>
</calcChain>
</file>

<file path=xl/sharedStrings.xml><?xml version="1.0" encoding="utf-8"?>
<sst xmlns="http://schemas.openxmlformats.org/spreadsheetml/2006/main" count="1053" uniqueCount="431">
  <si>
    <t>[mm]</t>
  </si>
  <si>
    <t>[kN]</t>
  </si>
  <si>
    <t>EVO-Grip-Größen</t>
  </si>
  <si>
    <t>200x60x25 H</t>
  </si>
  <si>
    <t>200x100x25 H</t>
  </si>
  <si>
    <t>200x140x25 H</t>
  </si>
  <si>
    <t>360x60x30 H</t>
  </si>
  <si>
    <t>360x100x30 H</t>
  </si>
  <si>
    <t>360x140x30 H</t>
  </si>
  <si>
    <t>500x60x40 H</t>
  </si>
  <si>
    <t>500x100x40 H</t>
  </si>
  <si>
    <t>500x140x40 H</t>
  </si>
  <si>
    <t>Einbauhöhe</t>
  </si>
  <si>
    <r>
      <t>Höhe h</t>
    </r>
    <r>
      <rPr>
        <vertAlign val="subscript"/>
        <sz val="11"/>
        <color theme="1"/>
        <rFont val="Aptos Narrow"/>
        <family val="2"/>
        <scheme val="minor"/>
      </rPr>
      <t>0</t>
    </r>
  </si>
  <si>
    <t>Untere Höhe</t>
  </si>
  <si>
    <r>
      <t>h</t>
    </r>
    <r>
      <rPr>
        <vertAlign val="subscript"/>
        <sz val="11"/>
        <color theme="1"/>
        <rFont val="Aptos Narrow"/>
        <family val="2"/>
        <scheme val="minor"/>
      </rPr>
      <t>u</t>
    </r>
  </si>
  <si>
    <t>500x180x40 H</t>
  </si>
  <si>
    <t>500x220x40 H</t>
  </si>
  <si>
    <t>500x260x40 H</t>
  </si>
  <si>
    <t>500x300x40 H</t>
  </si>
  <si>
    <t>200x180x25 H</t>
  </si>
  <si>
    <t>360x180x30 H</t>
  </si>
  <si>
    <t>NEBENTRÄGER</t>
  </si>
  <si>
    <t>HAUPTTRÄGER</t>
  </si>
  <si>
    <t>STÜTZE</t>
  </si>
  <si>
    <t>45° Schrägschrauben</t>
  </si>
  <si>
    <t>90° Horizontal-Schrauben</t>
  </si>
  <si>
    <r>
      <t>F</t>
    </r>
    <r>
      <rPr>
        <vertAlign val="subscript"/>
        <sz val="11"/>
        <color theme="1"/>
        <rFont val="Aptos Narrow"/>
        <family val="2"/>
        <scheme val="minor"/>
      </rPr>
      <t>2,J,screw,Rk</t>
    </r>
    <r>
      <rPr>
        <sz val="11"/>
        <color theme="1"/>
        <rFont val="Aptos Narrow"/>
        <family val="2"/>
        <scheme val="minor"/>
      </rPr>
      <t xml:space="preserve"> </t>
    </r>
    <r>
      <rPr>
        <vertAlign val="superscript"/>
        <sz val="11"/>
        <color theme="1"/>
        <rFont val="Aptos Narrow"/>
        <family val="2"/>
        <scheme val="minor"/>
      </rPr>
      <t>1)</t>
    </r>
  </si>
  <si>
    <r>
      <t>F</t>
    </r>
    <r>
      <rPr>
        <vertAlign val="subscript"/>
        <sz val="11"/>
        <color theme="1"/>
        <rFont val="Aptos Narrow"/>
        <family val="2"/>
        <scheme val="minor"/>
      </rPr>
      <t>2,J,</t>
    </r>
    <r>
      <rPr>
        <vertAlign val="subscript"/>
        <sz val="11"/>
        <color theme="1"/>
        <rFont val="Symbol"/>
        <family val="1"/>
        <charset val="2"/>
      </rPr>
      <t>t</t>
    </r>
    <r>
      <rPr>
        <vertAlign val="subscript"/>
        <sz val="11"/>
        <color theme="1"/>
        <rFont val="Aptos Narrow"/>
        <family val="2"/>
        <scheme val="minor"/>
      </rPr>
      <t xml:space="preserve">,Rk </t>
    </r>
    <r>
      <rPr>
        <vertAlign val="superscript"/>
        <sz val="11"/>
        <color theme="1"/>
        <rFont val="Aptos Narrow"/>
        <family val="2"/>
        <scheme val="minor"/>
      </rPr>
      <t>2)</t>
    </r>
  </si>
  <si>
    <r>
      <t>F</t>
    </r>
    <r>
      <rPr>
        <b/>
        <vertAlign val="subscript"/>
        <sz val="11"/>
        <color theme="1"/>
        <rFont val="Aptos Narrow"/>
        <family val="2"/>
        <scheme val="minor"/>
      </rPr>
      <t>2,J,Rk</t>
    </r>
    <r>
      <rPr>
        <b/>
        <sz val="11"/>
        <color theme="1"/>
        <rFont val="Aptos Narrow"/>
        <family val="2"/>
        <scheme val="minor"/>
      </rPr>
      <t xml:space="preserve"> </t>
    </r>
    <r>
      <rPr>
        <b/>
        <vertAlign val="superscript"/>
        <sz val="11"/>
        <color theme="1"/>
        <rFont val="Aptos Narrow"/>
        <family val="2"/>
        <scheme val="minor"/>
      </rPr>
      <t>3)</t>
    </r>
  </si>
  <si>
    <r>
      <t>F</t>
    </r>
    <r>
      <rPr>
        <vertAlign val="subscript"/>
        <sz val="11"/>
        <color theme="1"/>
        <rFont val="Aptos Narrow"/>
        <family val="2"/>
        <scheme val="minor"/>
      </rPr>
      <t>2,H,screw,Rk</t>
    </r>
    <r>
      <rPr>
        <sz val="11"/>
        <color theme="1"/>
        <rFont val="Aptos Narrow"/>
        <family val="2"/>
        <scheme val="minor"/>
      </rPr>
      <t xml:space="preserve"> </t>
    </r>
    <r>
      <rPr>
        <vertAlign val="superscript"/>
        <sz val="11"/>
        <color theme="1"/>
        <rFont val="Aptos Narrow"/>
        <family val="2"/>
        <scheme val="minor"/>
      </rPr>
      <t>1)</t>
    </r>
  </si>
  <si>
    <r>
      <t>F</t>
    </r>
    <r>
      <rPr>
        <vertAlign val="subscript"/>
        <sz val="11"/>
        <color theme="1"/>
        <rFont val="Aptos Narrow"/>
        <family val="2"/>
        <scheme val="minor"/>
      </rPr>
      <t>2,H,</t>
    </r>
    <r>
      <rPr>
        <vertAlign val="subscript"/>
        <sz val="11"/>
        <color theme="1"/>
        <rFont val="Symbol"/>
        <family val="1"/>
        <charset val="2"/>
      </rPr>
      <t>t</t>
    </r>
    <r>
      <rPr>
        <vertAlign val="subscript"/>
        <sz val="11"/>
        <color theme="1"/>
        <rFont val="Aptos Narrow"/>
        <family val="2"/>
        <scheme val="minor"/>
      </rPr>
      <t xml:space="preserve">,Rk </t>
    </r>
    <r>
      <rPr>
        <vertAlign val="superscript"/>
        <sz val="11"/>
        <color theme="1"/>
        <rFont val="Aptos Narrow"/>
        <family val="2"/>
        <scheme val="minor"/>
      </rPr>
      <t>2)</t>
    </r>
  </si>
  <si>
    <r>
      <t>F</t>
    </r>
    <r>
      <rPr>
        <b/>
        <vertAlign val="subscript"/>
        <sz val="11"/>
        <color theme="1"/>
        <rFont val="Aptos Narrow"/>
        <family val="2"/>
        <scheme val="minor"/>
      </rPr>
      <t>2,H,Rk</t>
    </r>
    <r>
      <rPr>
        <b/>
        <sz val="11"/>
        <color theme="1"/>
        <rFont val="Aptos Narrow"/>
        <family val="2"/>
        <scheme val="minor"/>
      </rPr>
      <t xml:space="preserve"> </t>
    </r>
    <r>
      <rPr>
        <b/>
        <vertAlign val="superscript"/>
        <sz val="11"/>
        <color theme="1"/>
        <rFont val="Aptos Narrow"/>
        <family val="2"/>
        <scheme val="minor"/>
      </rPr>
      <t>3)</t>
    </r>
  </si>
  <si>
    <r>
      <t>F</t>
    </r>
    <r>
      <rPr>
        <vertAlign val="subscript"/>
        <sz val="11"/>
        <color theme="1"/>
        <rFont val="Aptos Narrow"/>
        <family val="2"/>
        <scheme val="minor"/>
      </rPr>
      <t>2,C,screw,Rk</t>
    </r>
    <r>
      <rPr>
        <sz val="11"/>
        <color theme="1"/>
        <rFont val="Aptos Narrow"/>
        <family val="2"/>
        <scheme val="minor"/>
      </rPr>
      <t xml:space="preserve"> </t>
    </r>
    <r>
      <rPr>
        <vertAlign val="superscript"/>
        <sz val="11"/>
        <color theme="1"/>
        <rFont val="Aptos Narrow"/>
        <family val="2"/>
        <scheme val="minor"/>
      </rPr>
      <t>1)</t>
    </r>
  </si>
  <si>
    <r>
      <t>F</t>
    </r>
    <r>
      <rPr>
        <vertAlign val="subscript"/>
        <sz val="11"/>
        <color theme="1"/>
        <rFont val="Aptos Narrow"/>
        <family val="2"/>
        <scheme val="minor"/>
      </rPr>
      <t>2,C,</t>
    </r>
    <r>
      <rPr>
        <vertAlign val="subscript"/>
        <sz val="11"/>
        <color theme="1"/>
        <rFont val="Symbol"/>
        <family val="1"/>
        <charset val="2"/>
      </rPr>
      <t>t</t>
    </r>
    <r>
      <rPr>
        <vertAlign val="subscript"/>
        <sz val="11"/>
        <color theme="1"/>
        <rFont val="Aptos Narrow"/>
        <family val="2"/>
        <scheme val="minor"/>
      </rPr>
      <t xml:space="preserve">,Rk </t>
    </r>
    <r>
      <rPr>
        <vertAlign val="superscript"/>
        <sz val="11"/>
        <color theme="1"/>
        <rFont val="Aptos Narrow"/>
        <family val="2"/>
        <scheme val="minor"/>
      </rPr>
      <t>2)</t>
    </r>
  </si>
  <si>
    <r>
      <t>F</t>
    </r>
    <r>
      <rPr>
        <b/>
        <vertAlign val="subscript"/>
        <sz val="11"/>
        <color theme="1"/>
        <rFont val="Aptos Narrow"/>
        <family val="2"/>
        <scheme val="minor"/>
      </rPr>
      <t>2,C,Rk</t>
    </r>
    <r>
      <rPr>
        <b/>
        <sz val="11"/>
        <color theme="1"/>
        <rFont val="Aptos Narrow"/>
        <family val="2"/>
        <scheme val="minor"/>
      </rPr>
      <t xml:space="preserve"> </t>
    </r>
    <r>
      <rPr>
        <b/>
        <vertAlign val="superscript"/>
        <sz val="11"/>
        <color theme="1"/>
        <rFont val="Aptos Narrow"/>
        <family val="2"/>
        <scheme val="minor"/>
      </rPr>
      <t>3)</t>
    </r>
  </si>
  <si>
    <r>
      <t>h</t>
    </r>
    <r>
      <rPr>
        <vertAlign val="subscript"/>
        <sz val="11"/>
        <color theme="1"/>
        <rFont val="Aptos Narrow"/>
        <family val="2"/>
        <scheme val="minor"/>
      </rPr>
      <t>o</t>
    </r>
  </si>
  <si>
    <t>Load values of EVO-GRIP connectors</t>
  </si>
  <si>
    <r>
      <rPr>
        <b/>
        <sz val="11"/>
        <color theme="1"/>
        <rFont val="Aptos Narrow"/>
        <family val="2"/>
        <scheme val="minor"/>
      </rPr>
      <t>Technical Note on the Characteristic Load Values in the Following Tables:</t>
    </r>
    <r>
      <rPr>
        <sz val="11"/>
        <color theme="1"/>
        <rFont val="Aptos Narrow"/>
        <family val="2"/>
        <scheme val="minor"/>
      </rPr>
      <t xml:space="preserve">
The load values presented have been derived using the design equations specified in the European Technical Assessment (ETA). These values are influenced by multiple design parameters, which have been deliberately selected to reflect realistic and application-oriented load capacities for the various EVO-GRIP connector sizes.
It is important to note that any modification to individual parameters—such as connector geometry, base material properties, or installation conditions—can have a direct impact on the resulting load values.</t>
    </r>
  </si>
  <si>
    <r>
      <rPr>
        <vertAlign val="superscript"/>
        <sz val="11"/>
        <color theme="1"/>
        <rFont val="Aptos Narrow"/>
        <family val="2"/>
        <scheme val="minor"/>
      </rPr>
      <t>1)</t>
    </r>
    <r>
      <rPr>
        <sz val="11"/>
        <color theme="1"/>
        <rFont val="Aptos Narrow"/>
        <family val="2"/>
        <scheme val="minor"/>
      </rPr>
      <t xml:space="preserve"> … Querkrafttragfähigkeit der 45° Schrauben und dem Reibbeiwert der Verbinderplatte; Belastungswert abhängig von Schraubenlänge der 45° Schrägschrauben und der Holzsortierklasse</t>
    </r>
  </si>
  <si>
    <r>
      <rPr>
        <vertAlign val="superscript"/>
        <sz val="11"/>
        <color theme="1"/>
        <rFont val="Aptos Narrow"/>
        <family val="2"/>
        <scheme val="minor"/>
      </rPr>
      <t>2)</t>
    </r>
    <r>
      <rPr>
        <sz val="11"/>
        <color theme="1"/>
        <rFont val="Aptos Narrow"/>
        <family val="2"/>
        <scheme val="minor"/>
      </rPr>
      <t xml:space="preserve"> … Querkrafttragfähigkeit vom Holz in Folge von Rollschub und Querdruck im Nebenträger; Belastungswert abhängig von Einbauhöhe h</t>
    </r>
    <r>
      <rPr>
        <vertAlign val="subscript"/>
        <sz val="11"/>
        <color theme="1"/>
        <rFont val="Aptos Narrow"/>
        <family val="2"/>
        <scheme val="minor"/>
      </rPr>
      <t>0</t>
    </r>
  </si>
  <si>
    <r>
      <rPr>
        <vertAlign val="superscript"/>
        <sz val="11"/>
        <color theme="1"/>
        <rFont val="Aptos Narrow"/>
        <family val="2"/>
        <scheme val="minor"/>
      </rPr>
      <t>1)</t>
    </r>
    <r>
      <rPr>
        <sz val="11"/>
        <color theme="1"/>
        <rFont val="Aptos Narrow"/>
        <family val="2"/>
        <scheme val="minor"/>
      </rPr>
      <t xml:space="preserve"> … Querkrafttragfähigkeit der 45° Schrauben und dem Reibbeiwert der Verbinderplatte sowie der Druckpressung der Verbinderplatte und der Druckschrauben (90° Horizontalschrauben); Belastungswert abhängig von Schraubenlänge der 45° Schrägschrauben und der Holzsortierklasse</t>
    </r>
  </si>
  <si>
    <r>
      <rPr>
        <vertAlign val="superscript"/>
        <sz val="11"/>
        <color theme="1"/>
        <rFont val="Aptos Narrow"/>
        <family val="2"/>
        <scheme val="minor"/>
      </rPr>
      <t>2)</t>
    </r>
    <r>
      <rPr>
        <sz val="11"/>
        <color theme="1"/>
        <rFont val="Aptos Narrow"/>
        <family val="2"/>
        <scheme val="minor"/>
      </rPr>
      <t xml:space="preserve"> … Querkrafttragfähigkeit vom Holz in Folge von Rollschub und Querdruck im Hauptträger; Belastungswert abhängig von untere Höhe h</t>
    </r>
    <r>
      <rPr>
        <vertAlign val="subscript"/>
        <sz val="11"/>
        <color theme="1"/>
        <rFont val="Aptos Narrow"/>
        <family val="2"/>
        <scheme val="minor"/>
      </rPr>
      <t>u</t>
    </r>
  </si>
  <si>
    <r>
      <rPr>
        <vertAlign val="superscript"/>
        <sz val="11"/>
        <color theme="1"/>
        <rFont val="Aptos Narrow"/>
        <family val="2"/>
        <scheme val="minor"/>
      </rPr>
      <t>2)</t>
    </r>
    <r>
      <rPr>
        <sz val="11"/>
        <color theme="1"/>
        <rFont val="Aptos Narrow"/>
        <family val="2"/>
        <scheme val="minor"/>
      </rPr>
      <t xml:space="preserve"> … Querkrafttragfähigkeit vom Holz in Folge von Rollschub und Längsdruck in der Stütze; Belastungswert abhängig von der Schraubenlänge der 45° Schrägschrauben und von der Holzsortierklasse</t>
    </r>
  </si>
  <si>
    <t>Secondary beam</t>
  </si>
  <si>
    <t>Viga secundaria</t>
  </si>
  <si>
    <t>EVO-GRIP sizes</t>
  </si>
  <si>
    <t>Dimensiones EVO-GRIP</t>
  </si>
  <si>
    <t>45° angled screws</t>
  </si>
  <si>
    <t>Tornillos inclinados a 45°</t>
  </si>
  <si>
    <t>90° horizontal screws</t>
  </si>
  <si>
    <t>Tornillos horizontales a 90°</t>
  </si>
  <si>
    <t>Installation height</t>
  </si>
  <si>
    <t>Altura de instalación</t>
  </si>
  <si>
    <t>Characteristic load values for strength class GL24h</t>
  </si>
  <si>
    <t>H x W x D (Height x Width x Depth)</t>
  </si>
  <si>
    <t>A x L x P (Alto x Largo x Profundidad)</t>
  </si>
  <si>
    <t>Viga principal</t>
  </si>
  <si>
    <r>
      <rPr>
        <vertAlign val="superscript"/>
        <sz val="11"/>
        <color rgb="FF424242"/>
        <rFont val="Aptos Narrow"/>
        <family val="2"/>
        <scheme val="minor"/>
      </rPr>
      <t>1)</t>
    </r>
    <r>
      <rPr>
        <sz val="11"/>
        <color rgb="FF424242"/>
        <rFont val="Aptos Narrow"/>
        <family val="2"/>
        <scheme val="minor"/>
      </rPr>
      <t xml:space="preserve"> … Shear load capacity of the 45° screws and the friction coefficient of the connector plate; load value depends on the screw length of the 45° angled screws and the timber strength class</t>
    </r>
  </si>
  <si>
    <r>
      <rPr>
        <vertAlign val="superscript"/>
        <sz val="11"/>
        <color rgb="FF424242"/>
        <rFont val="Aptos Narrow"/>
        <family val="2"/>
        <scheme val="minor"/>
      </rPr>
      <t>2)</t>
    </r>
    <r>
      <rPr>
        <sz val="11"/>
        <color rgb="FF424242"/>
        <rFont val="Aptos Narrow"/>
        <family val="2"/>
        <scheme val="minor"/>
      </rPr>
      <t xml:space="preserve"> … Shear load capacity of the timber due to rolling shear and transverse compression in the secondary beam; load value depends on the installation height h₀</t>
    </r>
  </si>
  <si>
    <r>
      <rPr>
        <vertAlign val="superscript"/>
        <sz val="11"/>
        <color rgb="FF424242"/>
        <rFont val="Aptos Narrow"/>
        <family val="2"/>
        <scheme val="minor"/>
      </rPr>
      <t>2)</t>
    </r>
    <r>
      <rPr>
        <sz val="11"/>
        <color rgb="FF424242"/>
        <rFont val="Aptos Narrow"/>
        <family val="2"/>
        <scheme val="minor"/>
      </rPr>
      <t xml:space="preserve"> … Capacidad de carga cortante de la madera debido al esfuerzo cortante por rodadura y a la compresión transversal en la viga secundaria; el valor de carga depende de la altura de instalación h₀</t>
    </r>
  </si>
  <si>
    <t>Bottom height</t>
  </si>
  <si>
    <t>Altura desde la base</t>
  </si>
  <si>
    <r>
      <rPr>
        <vertAlign val="superscript"/>
        <sz val="11"/>
        <color theme="1"/>
        <rFont val="Aptos Narrow"/>
        <family val="2"/>
        <scheme val="minor"/>
      </rPr>
      <t>1)</t>
    </r>
    <r>
      <rPr>
        <sz val="11"/>
        <color theme="1"/>
        <rFont val="Aptos Narrow"/>
        <family val="2"/>
        <scheme val="minor"/>
      </rPr>
      <t xml:space="preserve"> … Shear load capacity of the 45° screws and the friction coefficient of the connector plate, as well as the bearing pressure of the connector plate and the compression screws (90° horizontal screws); load value depends on the screw length of the 45° angled screws and the timber strength class</t>
    </r>
  </si>
  <si>
    <r>
      <rPr>
        <vertAlign val="superscript"/>
        <sz val="11"/>
        <color theme="1"/>
        <rFont val="Aptos Narrow"/>
        <family val="2"/>
        <scheme val="minor"/>
      </rPr>
      <t>2)</t>
    </r>
    <r>
      <rPr>
        <sz val="11"/>
        <color theme="1"/>
        <rFont val="Aptos Narrow"/>
        <family val="2"/>
        <scheme val="minor"/>
      </rPr>
      <t xml:space="preserve"> … Capacidad de carga cortante de la madera debido al esfuerzo cortante por rodadura y a la compresión transversal en la viga principal; el valor de carga depende de la altura inferior </t>
    </r>
    <r>
      <rPr>
        <sz val="12"/>
        <color rgb="FF424242"/>
        <rFont val="Segoe UI"/>
        <family val="2"/>
      </rPr>
      <t>hᵤ</t>
    </r>
  </si>
  <si>
    <r>
      <rPr>
        <vertAlign val="superscript"/>
        <sz val="11"/>
        <color theme="1"/>
        <rFont val="Aptos Narrow"/>
        <family val="2"/>
        <scheme val="minor"/>
      </rPr>
      <t>1)</t>
    </r>
    <r>
      <rPr>
        <sz val="11"/>
        <color theme="1"/>
        <rFont val="Aptos Narrow"/>
        <family val="2"/>
        <scheme val="minor"/>
      </rPr>
      <t xml:space="preserve"> … Capacidad de carga cortante de los tornillos a 45° y el coeficiente de fricción de la placa conectora, así como la presión de contacto de la placa conectora y de los tornillos de compresión (tornillos horizontales a 90°); el valor de carga depende de la longitud de los tornillos inclinados a 45° y de la clase resistente de la madera</t>
    </r>
  </si>
  <si>
    <r>
      <rPr>
        <vertAlign val="superscript"/>
        <sz val="11"/>
        <color theme="1"/>
        <rFont val="Aptos Narrow"/>
        <family val="2"/>
        <scheme val="minor"/>
      </rPr>
      <t>2)</t>
    </r>
    <r>
      <rPr>
        <sz val="11"/>
        <color theme="1"/>
        <rFont val="Aptos Narrow"/>
        <family val="2"/>
        <scheme val="minor"/>
      </rPr>
      <t xml:space="preserve"> … Shear load capacity of the timber due to rolling shear and transverse compression in the main beam; load value depends on the lower height </t>
    </r>
    <r>
      <rPr>
        <sz val="12"/>
        <color rgb="FF424242"/>
        <rFont val="Segoe UI"/>
        <family val="2"/>
      </rPr>
      <t>hᵤ</t>
    </r>
  </si>
  <si>
    <t>Columna</t>
  </si>
  <si>
    <r>
      <rPr>
        <vertAlign val="superscript"/>
        <sz val="11"/>
        <color theme="1"/>
        <rFont val="Aptos Narrow"/>
        <family val="2"/>
        <scheme val="minor"/>
      </rPr>
      <t>2)</t>
    </r>
    <r>
      <rPr>
        <sz val="11"/>
        <color theme="1"/>
        <rFont val="Aptos Narrow"/>
        <family val="2"/>
        <scheme val="minor"/>
      </rPr>
      <t xml:space="preserve"> … Shear load capacity of the timber due to rolling shear and axial compression in the column; load value depends on the screw length of the 45° angled screws and the timber strength class</t>
    </r>
  </si>
  <si>
    <r>
      <rPr>
        <vertAlign val="superscript"/>
        <sz val="11"/>
        <color theme="1"/>
        <rFont val="Aptos Narrow"/>
        <family val="2"/>
        <scheme val="minor"/>
      </rPr>
      <t>2)</t>
    </r>
    <r>
      <rPr>
        <sz val="11"/>
        <color theme="1"/>
        <rFont val="Aptos Narrow"/>
        <family val="2"/>
        <scheme val="minor"/>
      </rPr>
      <t xml:space="preserve"> … Capacidad de carga cortante de la madera debido al esfuerzo cortante por rodadura y a la compresión axial en el pilar; el valor de carga depende de la longitud de los tornillos inclinados a 45° y de la clase resistente de la madera</t>
    </r>
  </si>
  <si>
    <t>KNAPP GmbH</t>
  </si>
  <si>
    <t>Haftungsausschluss:
Die Bemessung ist vom Kunden oder einem von ihm beauftragten Ingenieurbüro eigenverantwortlich vorzunehmen. Jeder Vorschlag oder jede Unterstützung durch Mitarbeitende der KNAPP GmbH stellt lediglich eine unverbindliche Empfehlung dar und darf nicht ungeprüft umgesetzt werden. Eine Haftung der KNAPP GmbH für die Richtigkeit der Berechnung oder deren Ergebnisse wird ausdrücklich ausgeschlossen.
Die KNAPP GmbH stellt die zur Bemessung und zur Kontrolle der Bemessung erforderlichen ETA-Dokumente online auf ihrer Homepage zur Verfügung.</t>
  </si>
  <si>
    <t>Disclaimer:
The structural design must be carried out by the customer or a qualified engineering office commissioned by them, under their own responsibility. Any suggestion or support provided by KNAPP GmbH employees is to be understood solely as a non-binding recommendation and must not be implemented without independent verification. KNAPP GmbH accepts no liability for the accuracy of the calculation or its results.
KNAPP GmbH provides the necessary ETA documents for design and verification purposes online on its website.</t>
  </si>
  <si>
    <t>Cláusula de exención de responsabilidad:
El cálculo estructural debe ser realizado bajo la responsabilidad del cliente o de la oficina de ingeniería contratada por él. Cualquier sugerencia o asistencia proporcionada por empleados de KNAPP GmbH se considera únicamente una recomendación no vinculante y no debe implementarse sin una verificación independiente. KNAPP GmbH excluye cualquier responsabilidad por la exactitud del cálculo o sus resultados.
KNAPP GmbH pone a disposición en su página web los documentos ETA necesarios para el cálculo y su verificación.</t>
  </si>
  <si>
    <t>Select language:</t>
  </si>
  <si>
    <t>Dimensions EVO-GRIP</t>
  </si>
  <si>
    <t>Vis à angle de 45°</t>
  </si>
  <si>
    <t>Vis horizontales à 90°</t>
  </si>
  <si>
    <t>Hauteur d'installation</t>
  </si>
  <si>
    <t>Valeurs de charge caractéristiques pour la classe de résistance GL24h</t>
  </si>
  <si>
    <t>H x L x P (Hauteur x Largeur x Profondeur)</t>
  </si>
  <si>
    <t>Hauteur inférieure</t>
  </si>
  <si>
    <r>
      <rPr>
        <vertAlign val="superscript"/>
        <sz val="11"/>
        <color rgb="FF424242"/>
        <rFont val="Aptos Narrow"/>
        <family val="2"/>
        <scheme val="minor"/>
      </rPr>
      <t>1)</t>
    </r>
    <r>
      <rPr>
        <sz val="11"/>
        <color rgb="FF424242"/>
        <rFont val="Aptos Narrow"/>
        <family val="2"/>
        <scheme val="minor"/>
      </rPr>
      <t xml:space="preserve"> … Capacidad de carga cortante de los tornillos a 45° y el coeficiente de fricción de la placa conectora; el valor de carga depende de la longitud de los tornillos inclinados a 45° y de la clase resistente de la madera</t>
    </r>
  </si>
  <si>
    <r>
      <rPr>
        <vertAlign val="superscript"/>
        <sz val="11"/>
        <color theme="1"/>
        <rFont val="Aptos Narrow"/>
        <family val="2"/>
        <scheme val="minor"/>
      </rPr>
      <t>1)</t>
    </r>
    <r>
      <rPr>
        <sz val="11"/>
        <color theme="1"/>
        <rFont val="Aptos Narrow"/>
        <family val="2"/>
        <scheme val="minor"/>
      </rPr>
      <t xml:space="preserve"> … Capacité de charge de cisaillement des vis à 45° et coefficient de frottement de la ferrure du connecteur, ainsi que pression d'appui de cette ferrure et des vis de compression (vis horizontales à 90°) ; la valeur de charge dépend de la longueur des vis à 45° et de la classe de résistance du bois.</t>
    </r>
  </si>
  <si>
    <t>H x L x P (hauteur x largeur x profondeur)</t>
  </si>
  <si>
    <t>POTEAU</t>
  </si>
  <si>
    <r>
      <rPr>
        <vertAlign val="superscript"/>
        <sz val="11"/>
        <color theme="1"/>
        <rFont val="Aptos Narrow"/>
        <family val="2"/>
        <scheme val="minor"/>
      </rPr>
      <t>2)</t>
    </r>
    <r>
      <rPr>
        <sz val="11"/>
        <color theme="1"/>
        <rFont val="Aptos Narrow"/>
        <family val="2"/>
        <scheme val="minor"/>
      </rPr>
      <t xml:space="preserve"> … Capacité de charge de cisaillement du bois due au cisaillement roulant et à la compression axiale dans la colonne ; la valeur de la charge dépend de la longueur des vis à angle de 45° et de la classe de résistance du bois.</t>
    </r>
  </si>
  <si>
    <t>Valeurs de charge des connecteurs EVO-GRIP</t>
  </si>
  <si>
    <t>SECONDARY BEAM</t>
  </si>
  <si>
    <t>Quantity x 
Diameter × Length</t>
  </si>
  <si>
    <r>
      <rPr>
        <vertAlign val="superscript"/>
        <sz val="11"/>
        <color theme="1"/>
        <rFont val="Aptos Narrow"/>
        <family val="2"/>
        <scheme val="minor"/>
      </rPr>
      <t>1)</t>
    </r>
    <r>
      <rPr>
        <sz val="11"/>
        <color theme="1"/>
        <rFont val="Aptos Narrow"/>
        <family val="2"/>
        <scheme val="minor"/>
      </rPr>
      <t xml:space="preserve"> …  Shear load capacity of the 45° screws and the friction coefficient of the connector plate; load value depends on the screw length of the 45° angled screws and the timber strength class</t>
    </r>
  </si>
  <si>
    <r>
      <rPr>
        <vertAlign val="superscript"/>
        <sz val="11"/>
        <color theme="1"/>
        <rFont val="Aptos Narrow"/>
        <family val="2"/>
        <scheme val="minor"/>
      </rPr>
      <t>2)</t>
    </r>
    <r>
      <rPr>
        <sz val="11"/>
        <color theme="1"/>
        <rFont val="Aptos Narrow"/>
        <family val="2"/>
        <scheme val="minor"/>
      </rPr>
      <t xml:space="preserve"> … Shear load capacity of the timber due to rolling shear and transverse compression in the secondary beam; load value depends on the installation height h₀</t>
    </r>
  </si>
  <si>
    <r>
      <t xml:space="preserve"> h</t>
    </r>
    <r>
      <rPr>
        <vertAlign val="subscript"/>
        <sz val="11"/>
        <color theme="1"/>
        <rFont val="Aptos Narrow"/>
        <family val="2"/>
        <scheme val="minor"/>
      </rPr>
      <t>0</t>
    </r>
  </si>
  <si>
    <t xml:space="preserve">H x W x D </t>
  </si>
  <si>
    <t>Height x Width x Depth</t>
  </si>
  <si>
    <r>
      <rPr>
        <vertAlign val="superscript"/>
        <sz val="11"/>
        <color theme="1"/>
        <rFont val="Aptos Narrow"/>
        <family val="2"/>
        <scheme val="minor"/>
      </rPr>
      <t>3)</t>
    </r>
    <r>
      <rPr>
        <sz val="11"/>
        <color theme="1"/>
        <rFont val="Aptos Narrow"/>
        <family val="2"/>
        <scheme val="minor"/>
      </rPr>
      <t xml:space="preserve"> … Minimum value of F</t>
    </r>
    <r>
      <rPr>
        <vertAlign val="subscript"/>
        <sz val="11"/>
        <color theme="1"/>
        <rFont val="Aptos Narrow"/>
        <family val="2"/>
        <scheme val="minor"/>
      </rPr>
      <t>2,J,screw,Rk</t>
    </r>
    <r>
      <rPr>
        <sz val="11"/>
        <color theme="1"/>
        <rFont val="Aptos Narrow"/>
        <family val="2"/>
        <scheme val="minor"/>
      </rPr>
      <t xml:space="preserve"> and F</t>
    </r>
    <r>
      <rPr>
        <vertAlign val="subscript"/>
        <sz val="11"/>
        <color theme="1"/>
        <rFont val="Aptos Narrow"/>
        <family val="2"/>
        <scheme val="minor"/>
      </rPr>
      <t>2,J,</t>
    </r>
    <r>
      <rPr>
        <vertAlign val="subscript"/>
        <sz val="11"/>
        <color theme="1"/>
        <rFont val="Symbol"/>
        <family val="1"/>
        <charset val="2"/>
      </rPr>
      <t>t</t>
    </r>
    <r>
      <rPr>
        <vertAlign val="subscript"/>
        <sz val="11"/>
        <color theme="1"/>
        <rFont val="Aptos Narrow"/>
        <family val="2"/>
        <scheme val="minor"/>
      </rPr>
      <t xml:space="preserve">,Rk </t>
    </r>
  </si>
  <si>
    <r>
      <rPr>
        <vertAlign val="superscript"/>
        <sz val="11"/>
        <color theme="1"/>
        <rFont val="Aptos Narrow"/>
        <family val="2"/>
        <scheme val="minor"/>
      </rPr>
      <t>3)</t>
    </r>
    <r>
      <rPr>
        <sz val="11"/>
        <color theme="1"/>
        <rFont val="Aptos Narrow"/>
        <family val="2"/>
        <scheme val="minor"/>
      </rPr>
      <t xml:space="preserve"> … Minimum value of F</t>
    </r>
    <r>
      <rPr>
        <vertAlign val="subscript"/>
        <sz val="11"/>
        <color theme="1"/>
        <rFont val="Aptos Narrow"/>
        <family val="2"/>
        <scheme val="minor"/>
      </rPr>
      <t>2,C,screw,Rk</t>
    </r>
    <r>
      <rPr>
        <sz val="11"/>
        <color theme="1"/>
        <rFont val="Aptos Narrow"/>
        <family val="2"/>
        <scheme val="minor"/>
      </rPr>
      <t xml:space="preserve"> and F</t>
    </r>
    <r>
      <rPr>
        <vertAlign val="subscript"/>
        <sz val="11"/>
        <color theme="1"/>
        <rFont val="Aptos Narrow"/>
        <family val="2"/>
        <scheme val="minor"/>
      </rPr>
      <t>2,C,</t>
    </r>
    <r>
      <rPr>
        <vertAlign val="subscript"/>
        <sz val="11"/>
        <color theme="1"/>
        <rFont val="Symbol"/>
        <family val="1"/>
        <charset val="2"/>
      </rPr>
      <t>t</t>
    </r>
    <r>
      <rPr>
        <vertAlign val="subscript"/>
        <sz val="11"/>
        <color theme="1"/>
        <rFont val="Aptos Narrow"/>
        <family val="2"/>
        <scheme val="minor"/>
      </rPr>
      <t xml:space="preserve">,Rk </t>
    </r>
  </si>
  <si>
    <r>
      <rPr>
        <vertAlign val="superscript"/>
        <sz val="11"/>
        <color theme="1"/>
        <rFont val="Aptos Narrow"/>
        <family val="2"/>
        <scheme val="minor"/>
      </rPr>
      <t>3)</t>
    </r>
    <r>
      <rPr>
        <sz val="11"/>
        <color theme="1"/>
        <rFont val="Aptos Narrow"/>
        <family val="2"/>
        <scheme val="minor"/>
      </rPr>
      <t xml:space="preserve"> … Minimum value of F</t>
    </r>
    <r>
      <rPr>
        <vertAlign val="subscript"/>
        <sz val="11"/>
        <color theme="1"/>
        <rFont val="Aptos Narrow"/>
        <family val="2"/>
        <scheme val="minor"/>
      </rPr>
      <t>2,H,screw,Rk</t>
    </r>
    <r>
      <rPr>
        <sz val="11"/>
        <color theme="1"/>
        <rFont val="Aptos Narrow"/>
        <family val="2"/>
        <scheme val="minor"/>
      </rPr>
      <t xml:space="preserve"> and F</t>
    </r>
    <r>
      <rPr>
        <vertAlign val="subscript"/>
        <sz val="11"/>
        <color theme="1"/>
        <rFont val="Aptos Narrow"/>
        <family val="2"/>
        <scheme val="minor"/>
      </rPr>
      <t>2,H,</t>
    </r>
    <r>
      <rPr>
        <vertAlign val="subscript"/>
        <sz val="11"/>
        <color theme="1"/>
        <rFont val="Symbol"/>
        <family val="1"/>
        <charset val="2"/>
      </rPr>
      <t>t</t>
    </r>
    <r>
      <rPr>
        <vertAlign val="subscript"/>
        <sz val="11"/>
        <color theme="1"/>
        <rFont val="Aptos Narrow"/>
        <family val="2"/>
        <scheme val="minor"/>
      </rPr>
      <t xml:space="preserve">,Rk </t>
    </r>
  </si>
  <si>
    <r>
      <rPr>
        <vertAlign val="superscript"/>
        <sz val="11"/>
        <color theme="1"/>
        <rFont val="Aptos Narrow"/>
        <family val="2"/>
        <scheme val="minor"/>
      </rPr>
      <t>2)</t>
    </r>
    <r>
      <rPr>
        <sz val="11"/>
        <color theme="1"/>
        <rFont val="Aptos Narrow"/>
        <family val="2"/>
        <scheme val="minor"/>
      </rPr>
      <t xml:space="preserve"> … Shear load capacity of the timber due to rolling shear and transverse compression in the main beam; load value depends on the lower height h</t>
    </r>
    <r>
      <rPr>
        <vertAlign val="subscript"/>
        <sz val="11"/>
        <color theme="1"/>
        <rFont val="Aptos Narrow"/>
        <family val="2"/>
        <scheme val="minor"/>
      </rPr>
      <t>u</t>
    </r>
  </si>
  <si>
    <t>MAIN BEAM</t>
  </si>
  <si>
    <t>COLUMN</t>
  </si>
  <si>
    <r>
      <rPr>
        <b/>
        <sz val="11"/>
        <color theme="1"/>
        <rFont val="Aptos Narrow"/>
        <family val="2"/>
        <scheme val="minor"/>
      </rPr>
      <t>Disclaimer:</t>
    </r>
    <r>
      <rPr>
        <sz val="11"/>
        <color theme="1"/>
        <rFont val="Aptos Narrow"/>
        <family val="2"/>
        <scheme val="minor"/>
      </rPr>
      <t xml:space="preserve">
The structural design must be carried out by the customer or a qualified engineering office commissioned by them, under their own responsibility. Any suggestion or support provided by KNAPP GmbH employees is to be understood solely as a non-binding recommendation and must not be implemented without independent verification. KNAPP GmbH accepts no liability for the accuracy of the calculation or its results.
KNAPP GmbH provides the necessary ETA documents for design and verification purposes online on its website.</t>
    </r>
  </si>
  <si>
    <t>V_01_250822</t>
  </si>
  <si>
    <r>
      <rPr>
        <b/>
        <sz val="11"/>
        <color theme="1"/>
        <rFont val="Aptos Narrow"/>
        <family val="2"/>
        <scheme val="minor"/>
      </rPr>
      <t xml:space="preserve">NB : </t>
    </r>
    <r>
      <rPr>
        <sz val="11"/>
        <color theme="1"/>
        <rFont val="Aptos Narrow"/>
        <family val="2"/>
        <scheme val="minor"/>
      </rPr>
      <t>les valeurs de charge caractéristiques indiquées dans les tableaux suivants ont été déterminées conformément à l'évaluation technique européenne (ETA).
Ces valeurs ont été déterminées à l'aide de formules de calcul conformes à l'évaluation technique européenne (ETA). Ces valeurs sont influencées par plusieurs paramètres de construction, qui ont été délibérément sélectionnés pour refléter des capacités de charge réalistes et orientées vers l'application pour les différentes tailles de connecteurs EVO-GRIP.
Il est important de noter que toute modification des paramètres individuels, tels que la géométrie du connecteur, les propriétés du matériau de base ou les conditions de montage, peut avoir une influence directe sur les valeurs de charge obtenues.</t>
    </r>
  </si>
  <si>
    <t>POUTRE SECONDAIRE</t>
  </si>
  <si>
    <t>Quantité ×  
Diamètre × Longueur</t>
  </si>
  <si>
    <t>H x L x P</t>
  </si>
  <si>
    <r>
      <rPr>
        <vertAlign val="superscript"/>
        <sz val="11"/>
        <color theme="1"/>
        <rFont val="Aptos Narrow"/>
        <family val="2"/>
        <scheme val="minor"/>
      </rPr>
      <t>1)</t>
    </r>
    <r>
      <rPr>
        <sz val="11"/>
        <color theme="1"/>
        <rFont val="Aptos Narrow"/>
        <family val="2"/>
        <scheme val="minor"/>
      </rPr>
      <t xml:space="preserve"> … Capacité de charge de cisaillement des vis à 45° et coefficient de frottement de la ferrure du connecteur ; la valeur de charge dépend de la longueur des vis à 45° et de la classe de résistance du bois.</t>
    </r>
  </si>
  <si>
    <r>
      <rPr>
        <vertAlign val="superscript"/>
        <sz val="11"/>
        <color theme="1"/>
        <rFont val="Aptos Narrow"/>
        <family val="2"/>
        <scheme val="minor"/>
      </rPr>
      <t>2)</t>
    </r>
    <r>
      <rPr>
        <sz val="11"/>
        <color theme="1"/>
        <rFont val="Aptos Narrow"/>
        <family val="2"/>
        <scheme val="minor"/>
      </rPr>
      <t xml:space="preserve"> … Capacité de charge de cisaillement du bois due au cisaillement par roulement et à la compression transversale dans la poutre secondaire ; la valeur de charge dépend de la hauteur d'installation h₀.</t>
    </r>
  </si>
  <si>
    <r>
      <rPr>
        <vertAlign val="superscript"/>
        <sz val="11"/>
        <color theme="1"/>
        <rFont val="Aptos Narrow"/>
        <family val="2"/>
        <scheme val="minor"/>
      </rPr>
      <t>3)</t>
    </r>
    <r>
      <rPr>
        <sz val="11"/>
        <color theme="1"/>
        <rFont val="Aptos Narrow"/>
        <family val="2"/>
        <scheme val="minor"/>
      </rPr>
      <t xml:space="preserve"> … Valeur minimale de F</t>
    </r>
    <r>
      <rPr>
        <vertAlign val="subscript"/>
        <sz val="11"/>
        <color theme="1"/>
        <rFont val="Aptos Narrow"/>
        <family val="2"/>
        <scheme val="minor"/>
      </rPr>
      <t>2,J,screw,Rk</t>
    </r>
    <r>
      <rPr>
        <sz val="11"/>
        <color theme="1"/>
        <rFont val="Aptos Narrow"/>
        <family val="2"/>
        <scheme val="minor"/>
      </rPr>
      <t xml:space="preserve"> et F</t>
    </r>
    <r>
      <rPr>
        <vertAlign val="subscript"/>
        <sz val="11"/>
        <color theme="1"/>
        <rFont val="Aptos Narrow"/>
        <family val="2"/>
        <scheme val="minor"/>
      </rPr>
      <t>2,J,</t>
    </r>
    <r>
      <rPr>
        <vertAlign val="subscript"/>
        <sz val="11"/>
        <color theme="1"/>
        <rFont val="Symbol"/>
        <family val="1"/>
        <charset val="2"/>
      </rPr>
      <t>t</t>
    </r>
    <r>
      <rPr>
        <vertAlign val="subscript"/>
        <sz val="11"/>
        <color theme="1"/>
        <rFont val="Aptos Narrow"/>
        <family val="2"/>
        <scheme val="minor"/>
      </rPr>
      <t xml:space="preserve">,Rk </t>
    </r>
  </si>
  <si>
    <r>
      <rPr>
        <vertAlign val="superscript"/>
        <sz val="11"/>
        <color theme="1"/>
        <rFont val="Aptos Narrow"/>
        <family val="2"/>
        <scheme val="minor"/>
      </rPr>
      <t>3)</t>
    </r>
    <r>
      <rPr>
        <sz val="11"/>
        <color theme="1"/>
        <rFont val="Aptos Narrow"/>
        <family val="2"/>
        <scheme val="minor"/>
      </rPr>
      <t xml:space="preserve"> … Valeur minimale de F</t>
    </r>
    <r>
      <rPr>
        <vertAlign val="subscript"/>
        <sz val="11"/>
        <color theme="1"/>
        <rFont val="Aptos Narrow"/>
        <family val="2"/>
        <scheme val="minor"/>
      </rPr>
      <t>2,H,screw,Rk</t>
    </r>
    <r>
      <rPr>
        <sz val="11"/>
        <color theme="1"/>
        <rFont val="Aptos Narrow"/>
        <family val="2"/>
        <scheme val="minor"/>
      </rPr>
      <t xml:space="preserve"> et F</t>
    </r>
    <r>
      <rPr>
        <vertAlign val="subscript"/>
        <sz val="11"/>
        <color theme="1"/>
        <rFont val="Aptos Narrow"/>
        <family val="2"/>
        <scheme val="minor"/>
      </rPr>
      <t>2,H,</t>
    </r>
    <r>
      <rPr>
        <vertAlign val="subscript"/>
        <sz val="11"/>
        <color theme="1"/>
        <rFont val="Symbol"/>
        <family val="1"/>
        <charset val="2"/>
      </rPr>
      <t>t</t>
    </r>
    <r>
      <rPr>
        <vertAlign val="subscript"/>
        <sz val="11"/>
        <color theme="1"/>
        <rFont val="Aptos Narrow"/>
        <family val="2"/>
        <scheme val="minor"/>
      </rPr>
      <t xml:space="preserve">,Rk </t>
    </r>
  </si>
  <si>
    <r>
      <rPr>
        <vertAlign val="superscript"/>
        <sz val="11"/>
        <color theme="1"/>
        <rFont val="Aptos Narrow"/>
        <family val="2"/>
        <scheme val="minor"/>
      </rPr>
      <t>3)</t>
    </r>
    <r>
      <rPr>
        <sz val="11"/>
        <color theme="1"/>
        <rFont val="Aptos Narrow"/>
        <family val="2"/>
        <scheme val="minor"/>
      </rPr>
      <t xml:space="preserve"> … Valeur minimale de F</t>
    </r>
    <r>
      <rPr>
        <vertAlign val="subscript"/>
        <sz val="11"/>
        <color theme="1"/>
        <rFont val="Aptos Narrow"/>
        <family val="2"/>
        <scheme val="minor"/>
      </rPr>
      <t>2,C,screw,Rk</t>
    </r>
    <r>
      <rPr>
        <sz val="11"/>
        <color theme="1"/>
        <rFont val="Aptos Narrow"/>
        <family val="2"/>
        <scheme val="minor"/>
      </rPr>
      <t xml:space="preserve"> et F</t>
    </r>
    <r>
      <rPr>
        <vertAlign val="subscript"/>
        <sz val="11"/>
        <color theme="1"/>
        <rFont val="Aptos Narrow"/>
        <family val="2"/>
        <scheme val="minor"/>
      </rPr>
      <t>2,C,</t>
    </r>
    <r>
      <rPr>
        <vertAlign val="subscript"/>
        <sz val="11"/>
        <color theme="1"/>
        <rFont val="Symbol"/>
        <family val="1"/>
        <charset val="2"/>
      </rPr>
      <t>t</t>
    </r>
    <r>
      <rPr>
        <vertAlign val="subscript"/>
        <sz val="11"/>
        <color theme="1"/>
        <rFont val="Aptos Narrow"/>
        <family val="2"/>
        <scheme val="minor"/>
      </rPr>
      <t xml:space="preserve">,Rk </t>
    </r>
  </si>
  <si>
    <r>
      <rPr>
        <vertAlign val="superscript"/>
        <sz val="11"/>
        <color theme="1"/>
        <rFont val="Aptos Narrow"/>
        <family val="2"/>
        <scheme val="minor"/>
      </rPr>
      <t>2)</t>
    </r>
    <r>
      <rPr>
        <sz val="11"/>
        <color theme="1"/>
        <rFont val="Aptos Narrow"/>
        <family val="2"/>
        <scheme val="minor"/>
      </rPr>
      <t xml:space="preserve"> … Capacité de charge de cisaillement du bois due au cisaillement roulant et à la compression transversale dans la poutre principale ; la valeur de la charge dépend de la hauteur inférieure h</t>
    </r>
    <r>
      <rPr>
        <vertAlign val="subscript"/>
        <sz val="11"/>
        <color theme="1"/>
        <rFont val="Aptos Narrow"/>
        <family val="2"/>
        <scheme val="minor"/>
      </rPr>
      <t>u</t>
    </r>
  </si>
  <si>
    <r>
      <rPr>
        <b/>
        <sz val="11"/>
        <color theme="1"/>
        <rFont val="Aptos Narrow"/>
        <family val="2"/>
        <scheme val="minor"/>
      </rPr>
      <t>Clause de non-responsabilité :</t>
    </r>
    <r>
      <rPr>
        <sz val="11"/>
        <color theme="1"/>
        <rFont val="Aptos Narrow"/>
        <family val="2"/>
        <scheme val="minor"/>
      </rPr>
      <t xml:space="preserve">
Le dimensionnement doit être effectué sous la responsabilité du client ou du bureau d’ingénierie mandaté par celui-ci. Toute suggestion ou assistance fournie par les collaborateurs de KNAPP GmbH constitue uniquement une recommandation non contractuelle et ne doit pas être mise en œuvre sans vérification indépendante. KNAPP GmbH décline toute responsabilité quant à l’exactitude du calcul ou de ses résultats.
KNAPP GmbH met à disposition sur son site internet les agréments ETA nécessaires au dimensionnement et à sa vérification.</t>
    </r>
  </si>
  <si>
    <t>Clause de non-responsabilité :
Le dimensionnement doit être effectué sous la responsabilité du client ou du bureau d’ingénierie mandaté par celui-ci. Toute suggestion ou assistance fournie par les collaborateurs de KNAPP GmbH constitue uniquement une recommandation non contractuelle et ne doit pas être mise en œuvre sans vérification indépendante. KNAPP GmbH décline toute responsabilité quant à l’exactitude du calcul ou de ses résultats.
KNAPP GmbH met à disposition sur son site internet les agréments ETA nécessaires au dimensionnement et à sa vérification.</t>
  </si>
  <si>
    <t>Hauteur x Largeur x Prof.</t>
  </si>
  <si>
    <t xml:space="preserve"> FR</t>
  </si>
  <si>
    <t>EN</t>
  </si>
  <si>
    <t>DE</t>
  </si>
  <si>
    <t>FR</t>
  </si>
  <si>
    <t>ES</t>
  </si>
  <si>
    <t>H x B x T (Höhe x Breite x Tiefe)</t>
  </si>
  <si>
    <r>
      <rPr>
        <b/>
        <sz val="11"/>
        <color theme="1"/>
        <rFont val="Aptos Narrow"/>
        <family val="2"/>
        <scheme val="minor"/>
      </rPr>
      <t>Technischer Hinweis zu den charakteristischen Belastungswerten in den folgenden Tabellen:</t>
    </r>
    <r>
      <rPr>
        <sz val="11"/>
        <color theme="1"/>
        <rFont val="Aptos Narrow"/>
        <family val="2"/>
        <scheme val="minor"/>
      </rPr>
      <t xml:space="preserve">
Die angegebenen Belastungswerte wurden auf Basis der Bemessungsformeln gemäß der Europäischen Technischen Bewertung ETA 25/0702 - ausgestellt am 27.08.2025 ermittelt. Sie sind abhängig von mehreren konstruktionsrelevanten Parametern, die gezielt so gewählt wurden, dass praxisnahe und anwendungsorientierte Belastungswerte für die verschiedenen EVO-GRIP-Verbindergrößen resultieren.
Es wird ausdrücklich darauf hingewiesen, dass Änderungen einzelner Parameter – wie z. B. Geometrie des Verbindungselements, Eigenschaften des Verankerungsgrundes oder Montagebedingungen – unmittelbaren Einfluss auf die resultierenden Belastungswerte haben können.</t>
    </r>
  </si>
  <si>
    <r>
      <rPr>
        <b/>
        <sz val="11"/>
        <color theme="1"/>
        <rFont val="Aptos Narrow"/>
        <family val="2"/>
        <scheme val="minor"/>
      </rPr>
      <t>Technical Note on the Characteristic Load Values in the Following Tables:</t>
    </r>
    <r>
      <rPr>
        <sz val="11"/>
        <color theme="1"/>
        <rFont val="Aptos Narrow"/>
        <family val="2"/>
        <scheme val="minor"/>
      </rPr>
      <t xml:space="preserve">
The load values presented have been derived using the design equations specified in the European Technical Assessment ETA 25/0702 - issued on 27.08.2025. These values are influenced by multiple design parameters, which have been deliberately selected to reflect realistic and application-oriented load capacities for the various EVO-GRIP connector sizes.
It is important to note that any modification to individual parameters—such as connector geometry, base material properties, or installation conditions—can have a direct impact on the resulting load values.</t>
    </r>
  </si>
  <si>
    <r>
      <rPr>
        <b/>
        <sz val="11"/>
        <color theme="1"/>
        <rFont val="Aptos Narrow"/>
        <family val="2"/>
        <scheme val="minor"/>
      </rPr>
      <t>Nota técnica sobre los valores característicos de carga en las tablas siguientes:</t>
    </r>
    <r>
      <rPr>
        <sz val="11"/>
        <color theme="1"/>
        <rFont val="Aptos Narrow"/>
        <family val="2"/>
        <scheme val="minor"/>
      </rPr>
      <t xml:space="preserve">
Los valores de carga indicados han sido determinados conforme a las fórmulas de cálculo establecidas en la aprobación técnica europea ETA 25/0702 - emitido el 27.08.2025. Estos valores dependen de múltiples parámetros de diseño, seleccionados específicamente para proporcionar resultados representativos y aplicables en condiciones prácticas para las distintas dimensiones de los conectores EVO-GRIP.Se advierte que cualquier modificación en los parámetros individuales —como geometría del elemento, tipo de material base o condiciones de instalación— puede influir directamente en los valores de carga obtenidos.</t>
    </r>
  </si>
  <si>
    <t>EVO-GRIP-Bemessung nach ETA-25/0702 vom 27.08.2025</t>
  </si>
  <si>
    <t>Charakteristische Belastungswerte</t>
  </si>
  <si>
    <t>für die EVO-GRIP-Verbinder-Größen in Brettschichtholz:</t>
  </si>
  <si>
    <t>Sicherheitsbeiwerte für die Bemessungswerte:</t>
  </si>
  <si>
    <t>Klasse d. Einwirkungsdauer:</t>
  </si>
  <si>
    <t>KLED:</t>
  </si>
  <si>
    <t>Mittel</t>
  </si>
  <si>
    <t xml:space="preserve">Modifikationsbeiwert </t>
  </si>
  <si>
    <r>
      <t>k</t>
    </r>
    <r>
      <rPr>
        <vertAlign val="subscript"/>
        <sz val="11"/>
        <color theme="1"/>
        <rFont val="Aptos Narrow"/>
        <family val="2"/>
        <scheme val="minor"/>
      </rPr>
      <t xml:space="preserve">mod </t>
    </r>
    <r>
      <rPr>
        <sz val="11"/>
        <color theme="1"/>
        <rFont val="Aptos Narrow"/>
        <family val="2"/>
        <scheme val="minor"/>
      </rPr>
      <t>=</t>
    </r>
  </si>
  <si>
    <t>Sicherheitsbeiwert Holz</t>
  </si>
  <si>
    <r>
      <rPr>
        <sz val="11"/>
        <color theme="1"/>
        <rFont val="Symbol"/>
        <family val="1"/>
        <charset val="2"/>
      </rPr>
      <t>g</t>
    </r>
    <r>
      <rPr>
        <vertAlign val="subscript"/>
        <sz val="11"/>
        <color theme="1"/>
        <rFont val="Aptos Narrow"/>
        <family val="2"/>
        <scheme val="minor"/>
      </rPr>
      <t xml:space="preserve">M </t>
    </r>
    <r>
      <rPr>
        <sz val="11"/>
        <color theme="1"/>
        <rFont val="Aptos Narrow"/>
        <family val="2"/>
        <scheme val="minor"/>
      </rPr>
      <t>=</t>
    </r>
  </si>
  <si>
    <t>Sicherheitsbeiwert Stahl</t>
  </si>
  <si>
    <r>
      <rPr>
        <sz val="11"/>
        <color theme="1"/>
        <rFont val="Symbol"/>
        <family val="1"/>
        <charset val="2"/>
      </rPr>
      <t>g</t>
    </r>
    <r>
      <rPr>
        <vertAlign val="subscript"/>
        <sz val="11"/>
        <color theme="1"/>
        <rFont val="Aptos Narrow"/>
        <family val="2"/>
        <scheme val="minor"/>
      </rPr>
      <t xml:space="preserve">M,1 </t>
    </r>
    <r>
      <rPr>
        <sz val="11"/>
        <color theme="1"/>
        <rFont val="Aptos Narrow"/>
        <family val="2"/>
        <scheme val="minor"/>
      </rPr>
      <t>=</t>
    </r>
  </si>
  <si>
    <t>Druckschrauben</t>
  </si>
  <si>
    <t>Sicherheitsbeiwerte ALU</t>
  </si>
  <si>
    <r>
      <rPr>
        <sz val="11"/>
        <color theme="1"/>
        <rFont val="Symbol"/>
        <family val="1"/>
        <charset val="2"/>
      </rPr>
      <t>g</t>
    </r>
    <r>
      <rPr>
        <vertAlign val="subscript"/>
        <sz val="11"/>
        <color theme="1"/>
        <rFont val="Aptos Narrow"/>
        <family val="2"/>
        <scheme val="minor"/>
      </rPr>
      <t xml:space="preserve">M,2 </t>
    </r>
    <r>
      <rPr>
        <sz val="11"/>
        <color theme="1"/>
        <rFont val="Aptos Narrow"/>
        <family val="2"/>
        <scheme val="minor"/>
      </rPr>
      <t>=</t>
    </r>
  </si>
  <si>
    <t>Holzsortierklasse:</t>
  </si>
  <si>
    <t>Schräg-schrauben</t>
  </si>
  <si>
    <t>Horizontal-Schrauben</t>
  </si>
  <si>
    <t>Zugbelastung.</t>
  </si>
  <si>
    <t>Abscheren in Einschubr.</t>
  </si>
  <si>
    <t>Abscheren rechtw. Einschubr.</t>
  </si>
  <si>
    <t>Exentriztät</t>
  </si>
  <si>
    <t>Abscheren in Einschubr. im NT</t>
  </si>
  <si>
    <t>Abscheren in Einschubr. im HT</t>
  </si>
  <si>
    <t>Abscheren in Einschubr. in Stütze</t>
  </si>
  <si>
    <t>EVO Grip Abmessungen</t>
  </si>
  <si>
    <t>Standard Var.</t>
  </si>
  <si>
    <t>Solo Var.</t>
  </si>
  <si>
    <t xml:space="preserve">l x b x h </t>
  </si>
  <si>
    <r>
      <t>Breite  b</t>
    </r>
    <r>
      <rPr>
        <vertAlign val="subscript"/>
        <sz val="11"/>
        <color theme="1"/>
        <rFont val="Aptos Narrow"/>
        <family val="2"/>
        <scheme val="minor"/>
      </rPr>
      <t>c</t>
    </r>
  </si>
  <si>
    <r>
      <t>Höhe h</t>
    </r>
    <r>
      <rPr>
        <vertAlign val="subscript"/>
        <sz val="11"/>
        <color theme="1"/>
        <rFont val="Aptos Narrow"/>
        <family val="2"/>
        <scheme val="minor"/>
      </rPr>
      <t>c</t>
    </r>
  </si>
  <si>
    <r>
      <t>Gesamtlänge L</t>
    </r>
    <r>
      <rPr>
        <vertAlign val="subscript"/>
        <sz val="11"/>
        <color theme="1"/>
        <rFont val="Aptos Narrow"/>
        <family val="2"/>
        <scheme val="minor"/>
      </rPr>
      <t>EGC</t>
    </r>
  </si>
  <si>
    <r>
      <t>Abstand a</t>
    </r>
    <r>
      <rPr>
        <vertAlign val="subscript"/>
        <sz val="11"/>
        <color theme="1"/>
        <rFont val="Aptos Narrow"/>
        <family val="2"/>
        <scheme val="minor"/>
      </rPr>
      <t>2o</t>
    </r>
  </si>
  <si>
    <t>Anzahl</t>
  </si>
  <si>
    <r>
      <t>e</t>
    </r>
    <r>
      <rPr>
        <vertAlign val="subscript"/>
        <sz val="11"/>
        <color theme="1"/>
        <rFont val="Aptos Narrow"/>
        <family val="2"/>
        <scheme val="minor"/>
      </rPr>
      <t>45</t>
    </r>
  </si>
  <si>
    <r>
      <t>n</t>
    </r>
    <r>
      <rPr>
        <vertAlign val="subscript"/>
        <sz val="11"/>
        <color theme="1"/>
        <rFont val="Aptos Narrow"/>
        <family val="2"/>
        <scheme val="minor"/>
      </rPr>
      <t>45</t>
    </r>
    <r>
      <rPr>
        <sz val="11"/>
        <color theme="1"/>
        <rFont val="Aptos Narrow"/>
        <family val="2"/>
        <scheme val="minor"/>
      </rPr>
      <t xml:space="preserve"> Scr.</t>
    </r>
  </si>
  <si>
    <r>
      <t>n</t>
    </r>
    <r>
      <rPr>
        <vertAlign val="subscript"/>
        <sz val="11"/>
        <color theme="1"/>
        <rFont val="Aptos Narrow"/>
        <family val="2"/>
        <scheme val="minor"/>
      </rPr>
      <t>90</t>
    </r>
    <r>
      <rPr>
        <sz val="11"/>
        <color theme="1"/>
        <rFont val="Aptos Narrow"/>
        <family val="2"/>
        <scheme val="minor"/>
      </rPr>
      <t xml:space="preserve"> Scr.</t>
    </r>
  </si>
  <si>
    <t>Herleitung der Anschlusskräfte für den Nebenträger:</t>
  </si>
  <si>
    <t>Zugkraftermittlung einer 45° Schrägschraube im Nebenträger</t>
  </si>
  <si>
    <t xml:space="preserve">EVO Grip </t>
  </si>
  <si>
    <t>Bemessungswerte</t>
  </si>
  <si>
    <t>200x25</t>
  </si>
  <si>
    <t>360x30</t>
  </si>
  <si>
    <t>500x40</t>
  </si>
  <si>
    <t>Holzsortier-klassen</t>
  </si>
  <si>
    <t>char.</t>
  </si>
  <si>
    <t>Druck</t>
  </si>
  <si>
    <t>Schub</t>
  </si>
  <si>
    <t>Rollschub</t>
  </si>
  <si>
    <t>Zugschraube:</t>
  </si>
  <si>
    <t>KNAPP VG SK 8x120</t>
  </si>
  <si>
    <t>KNAPP VG SK 8x160</t>
  </si>
  <si>
    <t>KNAPP VG SK 8x200</t>
  </si>
  <si>
    <t>Durchmesser d =</t>
  </si>
  <si>
    <t>mm</t>
  </si>
  <si>
    <r>
      <t xml:space="preserve">Rohdichte </t>
    </r>
    <r>
      <rPr>
        <sz val="11"/>
        <color theme="1"/>
        <rFont val="Symbol"/>
        <family val="1"/>
        <charset val="2"/>
      </rPr>
      <t>r</t>
    </r>
    <r>
      <rPr>
        <vertAlign val="subscript"/>
        <sz val="11"/>
        <color theme="1"/>
        <rFont val="Aptos Narrow"/>
        <family val="2"/>
        <scheme val="minor"/>
      </rPr>
      <t>k</t>
    </r>
  </si>
  <si>
    <r>
      <t>f</t>
    </r>
    <r>
      <rPr>
        <vertAlign val="subscript"/>
        <sz val="11"/>
        <color theme="1"/>
        <rFont val="Aptos Narrow"/>
        <family val="2"/>
        <scheme val="minor"/>
      </rPr>
      <t>c,90,k</t>
    </r>
  </si>
  <si>
    <r>
      <t>f</t>
    </r>
    <r>
      <rPr>
        <vertAlign val="subscript"/>
        <sz val="11"/>
        <color theme="1"/>
        <rFont val="Aptos Narrow"/>
        <family val="2"/>
        <scheme val="minor"/>
      </rPr>
      <t>c,0,k</t>
    </r>
  </si>
  <si>
    <r>
      <t>f</t>
    </r>
    <r>
      <rPr>
        <vertAlign val="subscript"/>
        <sz val="11"/>
        <color theme="1"/>
        <rFont val="Aptos Narrow"/>
        <family val="2"/>
        <scheme val="minor"/>
      </rPr>
      <t>v,k</t>
    </r>
  </si>
  <si>
    <r>
      <t>f</t>
    </r>
    <r>
      <rPr>
        <vertAlign val="subscript"/>
        <sz val="11"/>
        <color theme="1"/>
        <rFont val="Aptos Narrow"/>
        <family val="2"/>
        <scheme val="minor"/>
      </rPr>
      <t>r,k</t>
    </r>
  </si>
  <si>
    <t>Länge l =</t>
  </si>
  <si>
    <t>[kg(/m³]</t>
  </si>
  <si>
    <t>[N/mm²]</t>
  </si>
  <si>
    <r>
      <t>eff. Länge L</t>
    </r>
    <r>
      <rPr>
        <vertAlign val="subscript"/>
        <sz val="11"/>
        <color theme="1"/>
        <rFont val="Aptos Narrow"/>
        <family val="2"/>
        <scheme val="minor"/>
      </rPr>
      <t xml:space="preserve">ef </t>
    </r>
    <r>
      <rPr>
        <sz val="11"/>
        <color theme="1"/>
        <rFont val="Aptos Narrow"/>
        <family val="2"/>
        <scheme val="minor"/>
      </rPr>
      <t>=</t>
    </r>
  </si>
  <si>
    <t>GL24c</t>
  </si>
  <si>
    <r>
      <t xml:space="preserve">Winkel </t>
    </r>
    <r>
      <rPr>
        <sz val="11"/>
        <color theme="1"/>
        <rFont val="Symbol"/>
        <family val="1"/>
        <charset val="2"/>
      </rPr>
      <t>a</t>
    </r>
    <r>
      <rPr>
        <sz val="11"/>
        <color theme="1"/>
        <rFont val="Aptos Narrow"/>
        <family val="2"/>
        <scheme val="minor"/>
      </rPr>
      <t xml:space="preserve"> =</t>
    </r>
  </si>
  <si>
    <t>°</t>
  </si>
  <si>
    <t>GL24h</t>
  </si>
  <si>
    <r>
      <t>Faktor k</t>
    </r>
    <r>
      <rPr>
        <vertAlign val="subscript"/>
        <sz val="11"/>
        <color theme="1"/>
        <rFont val="Aptos Narrow"/>
        <family val="2"/>
        <scheme val="minor"/>
      </rPr>
      <t>ax</t>
    </r>
    <r>
      <rPr>
        <sz val="11"/>
        <color theme="1"/>
        <rFont val="Aptos Narrow"/>
        <family val="2"/>
        <scheme val="minor"/>
      </rPr>
      <t xml:space="preserve"> =</t>
    </r>
  </si>
  <si>
    <t>GL28c</t>
  </si>
  <si>
    <r>
      <t>Ausziehp. f</t>
    </r>
    <r>
      <rPr>
        <vertAlign val="subscript"/>
        <sz val="11"/>
        <color theme="1"/>
        <rFont val="Aptos Narrow"/>
        <family val="2"/>
        <scheme val="minor"/>
      </rPr>
      <t>ax,k</t>
    </r>
    <r>
      <rPr>
        <sz val="11"/>
        <color theme="1"/>
        <rFont val="Aptos Narrow"/>
        <family val="2"/>
        <scheme val="minor"/>
      </rPr>
      <t xml:space="preserve"> =</t>
    </r>
  </si>
  <si>
    <t>N/mm²</t>
  </si>
  <si>
    <t>GL28h</t>
  </si>
  <si>
    <t>Holzsortierklasse NT:</t>
  </si>
  <si>
    <t>GL30c</t>
  </si>
  <si>
    <r>
      <t xml:space="preserve">Rohdichte </t>
    </r>
    <r>
      <rPr>
        <sz val="11"/>
        <color theme="1"/>
        <rFont val="Symbol"/>
        <family val="1"/>
        <charset val="2"/>
      </rPr>
      <t>r</t>
    </r>
    <r>
      <rPr>
        <vertAlign val="subscript"/>
        <sz val="11"/>
        <color theme="1"/>
        <rFont val="Aptos Narrow"/>
        <family val="2"/>
        <scheme val="minor"/>
      </rPr>
      <t>k</t>
    </r>
    <r>
      <rPr>
        <sz val="11"/>
        <color theme="1"/>
        <rFont val="Aptos Narrow"/>
        <family val="2"/>
        <scheme val="minor"/>
      </rPr>
      <t xml:space="preserve"> =</t>
    </r>
  </si>
  <si>
    <t>kg/m³</t>
  </si>
  <si>
    <t>GL30h</t>
  </si>
  <si>
    <r>
      <t xml:space="preserve">Rohdichte </t>
    </r>
    <r>
      <rPr>
        <sz val="11"/>
        <color theme="1"/>
        <rFont val="Symbol"/>
        <family val="1"/>
        <charset val="2"/>
      </rPr>
      <t>r</t>
    </r>
    <r>
      <rPr>
        <vertAlign val="subscript"/>
        <sz val="11"/>
        <color theme="1"/>
        <rFont val="Aptos Narrow"/>
        <family val="2"/>
        <scheme val="minor"/>
      </rPr>
      <t>a</t>
    </r>
    <r>
      <rPr>
        <sz val="11"/>
        <color theme="1"/>
        <rFont val="Aptos Narrow"/>
        <family val="2"/>
        <scheme val="minor"/>
      </rPr>
      <t xml:space="preserve"> =</t>
    </r>
  </si>
  <si>
    <t>GL32c</t>
  </si>
  <si>
    <r>
      <t>Modifikationsbeiwert k</t>
    </r>
    <r>
      <rPr>
        <vertAlign val="subscript"/>
        <sz val="11"/>
        <color theme="1"/>
        <rFont val="Aptos Narrow"/>
        <family val="2"/>
        <scheme val="minor"/>
      </rPr>
      <t xml:space="preserve">mod </t>
    </r>
    <r>
      <rPr>
        <sz val="11"/>
        <color theme="1"/>
        <rFont val="Aptos Narrow"/>
        <family val="2"/>
        <scheme val="minor"/>
      </rPr>
      <t>=</t>
    </r>
  </si>
  <si>
    <t>GL32h</t>
  </si>
  <si>
    <r>
      <t xml:space="preserve">Sicherheitsbeiwert </t>
    </r>
    <r>
      <rPr>
        <sz val="11"/>
        <color theme="1"/>
        <rFont val="Symbol"/>
        <family val="1"/>
        <charset val="2"/>
      </rPr>
      <t>g</t>
    </r>
    <r>
      <rPr>
        <vertAlign val="subscript"/>
        <sz val="11"/>
        <color theme="1"/>
        <rFont val="Aptos Narrow"/>
        <family val="2"/>
        <scheme val="minor"/>
      </rPr>
      <t xml:space="preserve">M </t>
    </r>
    <r>
      <rPr>
        <sz val="11"/>
        <color theme="1"/>
        <rFont val="Aptos Narrow"/>
        <family val="2"/>
        <scheme val="minor"/>
      </rPr>
      <t>=</t>
    </r>
  </si>
  <si>
    <r>
      <t>Gewählt: k</t>
    </r>
    <r>
      <rPr>
        <vertAlign val="subscript"/>
        <sz val="11"/>
        <color theme="1"/>
        <rFont val="Aptos Narrow"/>
        <family val="2"/>
        <scheme val="minor"/>
      </rPr>
      <t xml:space="preserve">mod </t>
    </r>
    <r>
      <rPr>
        <sz val="11"/>
        <color theme="1"/>
        <rFont val="Aptos Narrow"/>
        <family val="2"/>
        <scheme val="minor"/>
      </rPr>
      <t>=</t>
    </r>
  </si>
  <si>
    <r>
      <t>F</t>
    </r>
    <r>
      <rPr>
        <vertAlign val="subscript"/>
        <sz val="11"/>
        <color theme="1"/>
        <rFont val="Aptos Narrow"/>
        <family val="2"/>
        <scheme val="minor"/>
      </rPr>
      <t xml:space="preserve">tens,Rk </t>
    </r>
    <r>
      <rPr>
        <sz val="11"/>
        <color theme="1"/>
        <rFont val="Aptos Narrow"/>
        <family val="2"/>
        <scheme val="minor"/>
      </rPr>
      <t>=</t>
    </r>
  </si>
  <si>
    <t>kN</t>
  </si>
  <si>
    <r>
      <t xml:space="preserve">Gewählt; </t>
    </r>
    <r>
      <rPr>
        <sz val="11"/>
        <color theme="1"/>
        <rFont val="Symbol"/>
        <family val="1"/>
        <charset val="2"/>
      </rPr>
      <t>g</t>
    </r>
    <r>
      <rPr>
        <vertAlign val="subscript"/>
        <sz val="11"/>
        <color theme="1"/>
        <rFont val="Aptos Narrow"/>
        <family val="2"/>
        <scheme val="minor"/>
      </rPr>
      <t xml:space="preserve">M </t>
    </r>
    <r>
      <rPr>
        <sz val="11"/>
        <color theme="1"/>
        <rFont val="Aptos Narrow"/>
        <family val="2"/>
        <scheme val="minor"/>
      </rPr>
      <t>=</t>
    </r>
  </si>
  <si>
    <t>KLED</t>
  </si>
  <si>
    <t>kmod</t>
  </si>
  <si>
    <t>Bezeichnung</t>
  </si>
  <si>
    <t>Ständig</t>
  </si>
  <si>
    <t>Eigenlasten Decke/Dach</t>
  </si>
  <si>
    <t>Lang</t>
  </si>
  <si>
    <t>Verkehrslasten Lagerraum</t>
  </si>
  <si>
    <t>Verkehrslasten Wohnraum/ Büro</t>
  </si>
  <si>
    <t>Nebenträgernachweise:</t>
  </si>
  <si>
    <t>kurz</t>
  </si>
  <si>
    <t>Schneelasten auf Dächer</t>
  </si>
  <si>
    <t>Kurz/sehr kurz</t>
  </si>
  <si>
    <t>Windlasten auf Dächer</t>
  </si>
  <si>
    <t>effekt. Länge</t>
  </si>
  <si>
    <t>Zugkraft</t>
  </si>
  <si>
    <t>Druckfestigkeit</t>
  </si>
  <si>
    <t>Zugschrauben</t>
  </si>
  <si>
    <t>Rollschub im NT</t>
  </si>
  <si>
    <t>Querdruck im NT</t>
  </si>
  <si>
    <t>Abscherlast</t>
  </si>
  <si>
    <t>sehr kurz</t>
  </si>
  <si>
    <t>Anpralllasten an Stützen</t>
  </si>
  <si>
    <t>l x b x h</t>
  </si>
  <si>
    <r>
      <t>l</t>
    </r>
    <r>
      <rPr>
        <vertAlign val="subscript"/>
        <sz val="11"/>
        <color theme="1"/>
        <rFont val="Aptos Narrow"/>
        <family val="2"/>
        <scheme val="minor"/>
      </rPr>
      <t>ef</t>
    </r>
  </si>
  <si>
    <t>[kN/cm²]</t>
  </si>
  <si>
    <t>Mit Riffelung</t>
  </si>
  <si>
    <t>ohne Riffelung</t>
  </si>
  <si>
    <t>Differenz</t>
  </si>
  <si>
    <t>d</t>
  </si>
  <si>
    <t>Lscr</t>
  </si>
  <si>
    <t>fax,k</t>
  </si>
  <si>
    <t>ftens,k</t>
  </si>
  <si>
    <t>KNAPP VG SK 8x240</t>
  </si>
  <si>
    <t>RAPID VG SK 8x300</t>
  </si>
  <si>
    <t>RAPID VG SK 8x325</t>
  </si>
  <si>
    <t>RAPID VG SK 8x350</t>
  </si>
  <si>
    <t>RAPID VG SK 8x375</t>
  </si>
  <si>
    <t>RAPID VG SK 8x400</t>
  </si>
  <si>
    <t>Hauptträgernachweise</t>
  </si>
  <si>
    <t>Zugkraftermittlung einer 45° Schrägschraube im Hauptträger</t>
  </si>
  <si>
    <t>Druckkraftermittlung einer 90° Horizontalschraube im Hauptträger</t>
  </si>
  <si>
    <t>Druckschraube:</t>
  </si>
  <si>
    <t>Kennwerte für die Druckschraubenberechnung:</t>
  </si>
  <si>
    <r>
      <t>Kerndurchmesser d</t>
    </r>
    <r>
      <rPr>
        <vertAlign val="subscript"/>
        <sz val="11"/>
        <color theme="1"/>
        <rFont val="Aptos Narrow"/>
        <family val="2"/>
        <scheme val="minor"/>
      </rPr>
      <t>1</t>
    </r>
    <r>
      <rPr>
        <sz val="11"/>
        <color theme="1"/>
        <rFont val="Aptos Narrow"/>
        <family val="2"/>
        <scheme val="minor"/>
      </rPr>
      <t xml:space="preserve">= </t>
    </r>
  </si>
  <si>
    <r>
      <t>char. Streckgrenze f</t>
    </r>
    <r>
      <rPr>
        <vertAlign val="subscript"/>
        <sz val="11"/>
        <color theme="1"/>
        <rFont val="Aptos Narrow"/>
        <family val="2"/>
        <scheme val="minor"/>
      </rPr>
      <t xml:space="preserve">y,k </t>
    </r>
    <r>
      <rPr>
        <sz val="11"/>
        <color theme="1"/>
        <rFont val="Aptos Narrow"/>
        <family val="2"/>
        <scheme val="minor"/>
      </rPr>
      <t>=</t>
    </r>
  </si>
  <si>
    <r>
      <t xml:space="preserve">Faktor </t>
    </r>
    <r>
      <rPr>
        <sz val="11"/>
        <color theme="1"/>
        <rFont val="Symbol"/>
        <family val="1"/>
        <charset val="2"/>
      </rPr>
      <t>k</t>
    </r>
    <r>
      <rPr>
        <vertAlign val="subscript"/>
        <sz val="11"/>
        <color theme="1"/>
        <rFont val="Aptos Narrow"/>
        <family val="2"/>
        <scheme val="minor"/>
      </rPr>
      <t>c</t>
    </r>
    <r>
      <rPr>
        <sz val="11"/>
        <color theme="1"/>
        <rFont val="Aptos Narrow"/>
        <family val="2"/>
        <scheme val="minor"/>
      </rPr>
      <t xml:space="preserve"> =</t>
    </r>
  </si>
  <si>
    <r>
      <t>Plastische Normalkraft N</t>
    </r>
    <r>
      <rPr>
        <vertAlign val="subscript"/>
        <sz val="11"/>
        <color theme="1"/>
        <rFont val="Aptos Narrow"/>
        <family val="2"/>
        <scheme val="minor"/>
      </rPr>
      <t>pl,k</t>
    </r>
    <r>
      <rPr>
        <sz val="11"/>
        <color theme="1"/>
        <rFont val="Aptos Narrow"/>
        <family val="2"/>
        <scheme val="minor"/>
      </rPr>
      <t xml:space="preserve"> =</t>
    </r>
  </si>
  <si>
    <t>E-Modul Es =</t>
  </si>
  <si>
    <t>Holzsortierklasse HT:</t>
  </si>
  <si>
    <t>Flächenträgheitsmoment Is =</t>
  </si>
  <si>
    <r>
      <t>mm</t>
    </r>
    <r>
      <rPr>
        <vertAlign val="superscript"/>
        <sz val="11"/>
        <color theme="1"/>
        <rFont val="Aptos Narrow"/>
        <family val="2"/>
        <scheme val="minor"/>
      </rPr>
      <t>4</t>
    </r>
  </si>
  <si>
    <r>
      <t xml:space="preserve">Sicherheitsbeiwert </t>
    </r>
    <r>
      <rPr>
        <sz val="11"/>
        <color theme="1"/>
        <rFont val="Symbol"/>
        <family val="1"/>
        <charset val="2"/>
      </rPr>
      <t>g</t>
    </r>
    <r>
      <rPr>
        <vertAlign val="subscript"/>
        <sz val="11"/>
        <color theme="1"/>
        <rFont val="Aptos Narrow"/>
        <family val="2"/>
        <scheme val="minor"/>
      </rPr>
      <t>M,1</t>
    </r>
    <r>
      <rPr>
        <sz val="11"/>
        <color theme="1"/>
        <rFont val="Aptos Narrow"/>
        <family val="2"/>
        <scheme val="minor"/>
      </rPr>
      <t xml:space="preserve"> =</t>
    </r>
  </si>
  <si>
    <r>
      <t>c</t>
    </r>
    <r>
      <rPr>
        <vertAlign val="subscript"/>
        <sz val="11"/>
        <color theme="1"/>
        <rFont val="Aptos Narrow"/>
        <family val="2"/>
        <scheme val="minor"/>
      </rPr>
      <t>h</t>
    </r>
    <r>
      <rPr>
        <sz val="11"/>
        <color theme="1"/>
        <rFont val="Aptos Narrow"/>
        <family val="2"/>
        <scheme val="minor"/>
      </rPr>
      <t xml:space="preserve"> =</t>
    </r>
  </si>
  <si>
    <r>
      <t>N</t>
    </r>
    <r>
      <rPr>
        <vertAlign val="subscript"/>
        <sz val="11"/>
        <color theme="1"/>
        <rFont val="Aptos Narrow"/>
        <family val="2"/>
        <scheme val="minor"/>
      </rPr>
      <t xml:space="preserve">ki,k </t>
    </r>
    <r>
      <rPr>
        <sz val="11"/>
        <color theme="1"/>
        <rFont val="Aptos Narrow"/>
        <family val="2"/>
        <scheme val="minor"/>
      </rPr>
      <t>=</t>
    </r>
  </si>
  <si>
    <r>
      <rPr>
        <sz val="11"/>
        <color theme="1"/>
        <rFont val="Symbol"/>
        <family val="1"/>
        <charset val="2"/>
      </rPr>
      <t>l</t>
    </r>
    <r>
      <rPr>
        <sz val="11"/>
        <color theme="1"/>
        <rFont val="Aptos Narrow"/>
        <family val="2"/>
        <scheme val="minor"/>
      </rPr>
      <t>k =</t>
    </r>
  </si>
  <si>
    <t>k =</t>
  </si>
  <si>
    <r>
      <t>Belastung in Einschubrichtung F</t>
    </r>
    <r>
      <rPr>
        <vertAlign val="subscript"/>
        <sz val="11"/>
        <color theme="1"/>
        <rFont val="Aptos Narrow"/>
        <family val="2"/>
        <scheme val="minor"/>
      </rPr>
      <t>2,H,Rk HT</t>
    </r>
  </si>
  <si>
    <t>Platten-</t>
  </si>
  <si>
    <t>Druckkraft</t>
  </si>
  <si>
    <t>Druckfläche</t>
  </si>
  <si>
    <t>Druck Verbinderpl.</t>
  </si>
  <si>
    <r>
      <t>n</t>
    </r>
    <r>
      <rPr>
        <vertAlign val="subscript"/>
        <sz val="11"/>
        <color theme="1"/>
        <rFont val="Aptos Narrow"/>
        <family val="2"/>
        <scheme val="minor"/>
      </rPr>
      <t>c,90</t>
    </r>
    <r>
      <rPr>
        <sz val="11"/>
        <color theme="1"/>
        <rFont val="Aptos Narrow"/>
        <family val="2"/>
        <scheme val="minor"/>
      </rPr>
      <t xml:space="preserve"> Scr.</t>
    </r>
  </si>
  <si>
    <t>lef</t>
  </si>
  <si>
    <r>
      <t>A</t>
    </r>
    <r>
      <rPr>
        <vertAlign val="subscript"/>
        <sz val="11"/>
        <color theme="1"/>
        <rFont val="Aptos Narrow"/>
        <family val="2"/>
        <scheme val="minor"/>
      </rPr>
      <t>ef</t>
    </r>
  </si>
  <si>
    <t>[Stk.]</t>
  </si>
  <si>
    <t>[cm²]</t>
  </si>
  <si>
    <t>Aef =( bc+2 x ü)x (hc-20)</t>
  </si>
  <si>
    <t>kc,90 =</t>
  </si>
  <si>
    <t>ü =</t>
  </si>
  <si>
    <t>rechts und links</t>
  </si>
  <si>
    <t>Stützennachweise</t>
  </si>
  <si>
    <t>Zugkraftermittlung einer 45° Schrägschraube in der Stütze</t>
  </si>
  <si>
    <t>Druckkraftermittlung einer 90° Horizontalschraube in der Stütze</t>
  </si>
  <si>
    <t>Holzsortierklasse Stütze:</t>
  </si>
  <si>
    <r>
      <t>Druckkraft F</t>
    </r>
    <r>
      <rPr>
        <vertAlign val="subscript"/>
        <sz val="11"/>
        <color theme="1"/>
        <rFont val="Aptos Narrow"/>
        <family val="2"/>
        <scheme val="minor"/>
      </rPr>
      <t>ax,</t>
    </r>
    <r>
      <rPr>
        <vertAlign val="subscript"/>
        <sz val="11"/>
        <color theme="1"/>
        <rFont val="Symbol"/>
        <family val="1"/>
        <charset val="2"/>
      </rPr>
      <t>90</t>
    </r>
    <r>
      <rPr>
        <vertAlign val="subscript"/>
        <sz val="11"/>
        <color theme="1"/>
        <rFont val="Aptos Narrow"/>
        <family val="2"/>
        <scheme val="minor"/>
      </rPr>
      <t>,Rk</t>
    </r>
    <r>
      <rPr>
        <sz val="11"/>
        <color theme="1"/>
        <rFont val="Aptos Narrow"/>
        <family val="2"/>
        <scheme val="minor"/>
      </rPr>
      <t xml:space="preserve"> =</t>
    </r>
  </si>
  <si>
    <t xml:space="preserve">Anzahl </t>
  </si>
  <si>
    <t>Anzahl Scr.</t>
  </si>
  <si>
    <t>Rollschubfläche</t>
  </si>
  <si>
    <t>Abscherlast Stütze</t>
  </si>
  <si>
    <t>Scr. Reihen</t>
  </si>
  <si>
    <t>äußerer Reihen</t>
  </si>
  <si>
    <t>unten</t>
  </si>
  <si>
    <t>Schrauben/Druck</t>
  </si>
  <si>
    <t>Rollschub/Druck</t>
  </si>
  <si>
    <r>
      <t>n</t>
    </r>
    <r>
      <rPr>
        <vertAlign val="subscript"/>
        <sz val="11"/>
        <color theme="1"/>
        <rFont val="Aptos Narrow"/>
        <family val="2"/>
        <scheme val="minor"/>
      </rPr>
      <t>R</t>
    </r>
  </si>
  <si>
    <r>
      <t>n</t>
    </r>
    <r>
      <rPr>
        <vertAlign val="subscript"/>
        <sz val="11"/>
        <color theme="1"/>
        <rFont val="Aptos Narrow"/>
        <family val="2"/>
        <scheme val="minor"/>
      </rPr>
      <t>s</t>
    </r>
  </si>
  <si>
    <t>Fax,45,Rk</t>
  </si>
  <si>
    <t>Fax,90,Rk</t>
  </si>
  <si>
    <r>
      <t>a</t>
    </r>
    <r>
      <rPr>
        <vertAlign val="subscript"/>
        <sz val="11"/>
        <color theme="1"/>
        <rFont val="Aptos Narrow"/>
        <family val="2"/>
        <scheme val="minor"/>
      </rPr>
      <t>2o</t>
    </r>
  </si>
  <si>
    <r>
      <t>A</t>
    </r>
    <r>
      <rPr>
        <vertAlign val="subscript"/>
        <sz val="11"/>
        <color theme="1"/>
        <rFont val="Aptos Narrow"/>
        <family val="2"/>
        <scheme val="minor"/>
      </rPr>
      <t>net,c</t>
    </r>
  </si>
  <si>
    <r>
      <t>A</t>
    </r>
    <r>
      <rPr>
        <vertAlign val="subscript"/>
        <sz val="11"/>
        <color theme="1"/>
        <rFont val="Aptos Narrow"/>
        <family val="2"/>
        <scheme val="minor"/>
      </rPr>
      <t>net,v</t>
    </r>
  </si>
  <si>
    <t>[Reihen]</t>
  </si>
  <si>
    <t>[Stk]</t>
  </si>
  <si>
    <t>fv, k =</t>
  </si>
  <si>
    <t>kcr =</t>
  </si>
  <si>
    <t>Holzsortierklasse :</t>
  </si>
  <si>
    <t>Modifikationsbeiwert kmod:</t>
  </si>
  <si>
    <t>Klasse der Einwirkungsdauer:</t>
  </si>
  <si>
    <t>Durchmesser x Länge</t>
  </si>
  <si>
    <t xml:space="preserve">Quantity </t>
  </si>
  <si>
    <t xml:space="preserve"> Diameter × Length</t>
  </si>
  <si>
    <t>Quantité</t>
  </si>
  <si>
    <t>Diamètre × Longueur</t>
  </si>
  <si>
    <t>Cantidad</t>
  </si>
  <si>
    <t>Diámetro × Longitud</t>
  </si>
  <si>
    <t>Charakteristische Rohdichte:</t>
  </si>
  <si>
    <t>Ausgabe der Belastungswerte:</t>
  </si>
  <si>
    <t>Belastungswerte in Sortierklasse:</t>
  </si>
  <si>
    <t>Load values for strength class:</t>
  </si>
  <si>
    <t>Valeurs de charge  pour la classe de résistance :</t>
  </si>
  <si>
    <t>Valores de carga para clase resistencia:</t>
  </si>
  <si>
    <t>oben und unten</t>
  </si>
  <si>
    <t>Aef = bc x ((hc-20)+2 x ü)</t>
  </si>
  <si>
    <t>Timber sorting class:</t>
  </si>
  <si>
    <t>Characteristic density:</t>
  </si>
  <si>
    <t>Load-duration class:</t>
  </si>
  <si>
    <t>Output of the load values:</t>
  </si>
  <si>
    <t>Classe de durée d'exposition :</t>
  </si>
  <si>
    <t>Coefficient de modification kmod :</t>
  </si>
  <si>
    <t>Permanent</t>
  </si>
  <si>
    <t>Long-term</t>
  </si>
  <si>
    <t>Medium-term</t>
  </si>
  <si>
    <t>Short-term</t>
  </si>
  <si>
    <t>Instantaneous</t>
  </si>
  <si>
    <t>Short/ Instantaneous</t>
  </si>
  <si>
    <t>LDC</t>
  </si>
  <si>
    <t>Moyen terme</t>
  </si>
  <si>
    <t>Court terme</t>
  </si>
  <si>
    <t>Long terme</t>
  </si>
  <si>
    <t>t. court terme</t>
  </si>
  <si>
    <t>Court / t. court terme</t>
  </si>
  <si>
    <t>Permanente</t>
  </si>
  <si>
    <t>A largo plazo</t>
  </si>
  <si>
    <t>A medio plazo</t>
  </si>
  <si>
    <t>A corto plazo</t>
  </si>
  <si>
    <t>Corto/Instantáneo</t>
  </si>
  <si>
    <t>Instantáneo</t>
  </si>
  <si>
    <t>Zeitraum</t>
  </si>
  <si>
    <t>Characteristic load values</t>
  </si>
  <si>
    <t>Design values</t>
  </si>
  <si>
    <t>Valeurs de charge caractéristiques</t>
  </si>
  <si>
    <t>Valeurs de calcul</t>
  </si>
  <si>
    <t>Valores característicos de carga</t>
  </si>
  <si>
    <t>Load capacity aluminium</t>
  </si>
  <si>
    <t>Tragfähigkeit Aluminium</t>
  </si>
  <si>
    <t>Capacité de charge aluminium</t>
  </si>
  <si>
    <t>Capacidad de carga aluminio</t>
  </si>
  <si>
    <r>
      <rPr>
        <vertAlign val="superscript"/>
        <sz val="11"/>
        <color theme="1"/>
        <rFont val="Aptos Narrow"/>
        <family val="2"/>
        <scheme val="minor"/>
      </rPr>
      <t>3)</t>
    </r>
    <r>
      <rPr>
        <sz val="11"/>
        <color theme="1"/>
        <rFont val="Aptos Narrow"/>
        <family val="2"/>
        <scheme val="minor"/>
      </rPr>
      <t xml:space="preserve"> … Min.-Wert von F_2,alu,Rk ; F_</t>
    </r>
    <r>
      <rPr>
        <vertAlign val="subscript"/>
        <sz val="11"/>
        <color theme="1"/>
        <rFont val="Aptos Narrow"/>
        <family val="2"/>
        <scheme val="minor"/>
      </rPr>
      <t>2,J,screw,Rk</t>
    </r>
    <r>
      <rPr>
        <sz val="11"/>
        <color theme="1"/>
        <rFont val="Aptos Narrow"/>
        <family val="2"/>
        <scheme val="minor"/>
      </rPr>
      <t xml:space="preserve"> und F_</t>
    </r>
    <r>
      <rPr>
        <vertAlign val="subscript"/>
        <sz val="11"/>
        <color theme="1"/>
        <rFont val="Aptos Narrow"/>
        <family val="2"/>
        <scheme val="minor"/>
      </rPr>
      <t xml:space="preserve">2,J,tau,Rk </t>
    </r>
  </si>
  <si>
    <r>
      <rPr>
        <vertAlign val="superscript"/>
        <sz val="11"/>
        <color rgb="FF424242"/>
        <rFont val="Aptos Narrow"/>
        <family val="2"/>
        <scheme val="minor"/>
      </rPr>
      <t>3)</t>
    </r>
    <r>
      <rPr>
        <sz val="11"/>
        <color rgb="FF424242"/>
        <rFont val="Aptos Narrow"/>
        <family val="2"/>
        <scheme val="minor"/>
      </rPr>
      <t xml:space="preserve"> … Minimum value of  F_2,alu,Rk ; F_</t>
    </r>
    <r>
      <rPr>
        <vertAlign val="subscript"/>
        <sz val="11"/>
        <color rgb="FF424242"/>
        <rFont val="Aptos Narrow"/>
        <family val="2"/>
        <scheme val="minor"/>
      </rPr>
      <t>2,J,screw,Rk</t>
    </r>
    <r>
      <rPr>
        <sz val="11"/>
        <color rgb="FF424242"/>
        <rFont val="Aptos Narrow"/>
        <family val="2"/>
        <scheme val="minor"/>
      </rPr>
      <t xml:space="preserve"> and F_</t>
    </r>
    <r>
      <rPr>
        <vertAlign val="subscript"/>
        <sz val="11"/>
        <color rgb="FF424242"/>
        <rFont val="Aptos Narrow"/>
        <family val="2"/>
        <scheme val="minor"/>
      </rPr>
      <t xml:space="preserve">2,J,tau,Rk </t>
    </r>
  </si>
  <si>
    <r>
      <rPr>
        <vertAlign val="superscript"/>
        <sz val="11"/>
        <color rgb="FF424242"/>
        <rFont val="Aptos Narrow"/>
        <family val="2"/>
        <scheme val="minor"/>
      </rPr>
      <t>3)</t>
    </r>
    <r>
      <rPr>
        <sz val="11"/>
        <color rgb="FF424242"/>
        <rFont val="Aptos Narrow"/>
        <family val="2"/>
        <scheme val="minor"/>
      </rPr>
      <t xml:space="preserve"> … Valeur minimale de  F_2,alu,Rk ; F_</t>
    </r>
    <r>
      <rPr>
        <vertAlign val="subscript"/>
        <sz val="11"/>
        <color rgb="FF424242"/>
        <rFont val="Aptos Narrow"/>
        <family val="2"/>
        <scheme val="minor"/>
      </rPr>
      <t>2,J,screw,Rk</t>
    </r>
    <r>
      <rPr>
        <sz val="11"/>
        <color rgb="FF424242"/>
        <rFont val="Aptos Narrow"/>
        <family val="2"/>
        <scheme val="minor"/>
      </rPr>
      <t xml:space="preserve"> et F_</t>
    </r>
    <r>
      <rPr>
        <vertAlign val="subscript"/>
        <sz val="11"/>
        <color rgb="FF424242"/>
        <rFont val="Aptos Narrow"/>
        <family val="2"/>
        <scheme val="minor"/>
      </rPr>
      <t xml:space="preserve">2,J,tau,Rk </t>
    </r>
  </si>
  <si>
    <r>
      <rPr>
        <vertAlign val="superscript"/>
        <sz val="11"/>
        <color rgb="FF424242"/>
        <rFont val="Aptos Narrow"/>
        <family val="2"/>
        <scheme val="minor"/>
      </rPr>
      <t>3)</t>
    </r>
    <r>
      <rPr>
        <sz val="11"/>
        <color rgb="FF424242"/>
        <rFont val="Aptos Narrow"/>
        <family val="2"/>
        <scheme val="minor"/>
      </rPr>
      <t xml:space="preserve"> … Valor mínimo de  F_2,alu,Rk ; F_</t>
    </r>
    <r>
      <rPr>
        <vertAlign val="subscript"/>
        <sz val="11"/>
        <color rgb="FF424242"/>
        <rFont val="Aptos Narrow"/>
        <family val="2"/>
        <scheme val="minor"/>
      </rPr>
      <t>2,J,screw,Rk</t>
    </r>
    <r>
      <rPr>
        <sz val="11"/>
        <color rgb="FF424242"/>
        <rFont val="Aptos Narrow"/>
        <family val="2"/>
        <scheme val="minor"/>
      </rPr>
      <t xml:space="preserve"> y F_</t>
    </r>
    <r>
      <rPr>
        <vertAlign val="subscript"/>
        <sz val="11"/>
        <color rgb="FF424242"/>
        <rFont val="Aptos Narrow"/>
        <family val="2"/>
        <scheme val="minor"/>
      </rPr>
      <t xml:space="preserve">2,J,tau,Rk </t>
    </r>
  </si>
  <si>
    <r>
      <rPr>
        <vertAlign val="superscript"/>
        <sz val="11"/>
        <color theme="1"/>
        <rFont val="Aptos Narrow"/>
        <family val="2"/>
        <scheme val="minor"/>
      </rPr>
      <t>3)</t>
    </r>
    <r>
      <rPr>
        <sz val="11"/>
        <color theme="1"/>
        <rFont val="Aptos Narrow"/>
        <family val="2"/>
        <scheme val="minor"/>
      </rPr>
      <t xml:space="preserve"> … Min.-Wert von F_2,alu,Rk ;  F_</t>
    </r>
    <r>
      <rPr>
        <vertAlign val="subscript"/>
        <sz val="11"/>
        <color theme="1"/>
        <rFont val="Aptos Narrow"/>
        <family val="2"/>
        <scheme val="minor"/>
      </rPr>
      <t>2,H,screw,Rk</t>
    </r>
    <r>
      <rPr>
        <sz val="11"/>
        <color theme="1"/>
        <rFont val="Aptos Narrow"/>
        <family val="2"/>
        <scheme val="minor"/>
      </rPr>
      <t xml:space="preserve"> und F_</t>
    </r>
    <r>
      <rPr>
        <vertAlign val="subscript"/>
        <sz val="11"/>
        <color theme="1"/>
        <rFont val="Aptos Narrow"/>
        <family val="2"/>
        <scheme val="minor"/>
      </rPr>
      <t>2,H,</t>
    </r>
    <r>
      <rPr>
        <vertAlign val="subscript"/>
        <sz val="11"/>
        <color theme="1"/>
        <rFont val="Symbol"/>
        <family val="1"/>
        <charset val="2"/>
      </rPr>
      <t>tau</t>
    </r>
    <r>
      <rPr>
        <vertAlign val="subscript"/>
        <sz val="11"/>
        <color theme="1"/>
        <rFont val="Aptos Narrow"/>
        <family val="2"/>
        <scheme val="minor"/>
      </rPr>
      <t xml:space="preserve">,Rk </t>
    </r>
  </si>
  <si>
    <r>
      <rPr>
        <vertAlign val="superscript"/>
        <sz val="11"/>
        <color theme="1"/>
        <rFont val="Aptos Narrow"/>
        <family val="2"/>
        <scheme val="minor"/>
      </rPr>
      <t>3)</t>
    </r>
    <r>
      <rPr>
        <sz val="11"/>
        <color theme="1"/>
        <rFont val="Aptos Narrow"/>
        <family val="2"/>
        <scheme val="minor"/>
      </rPr>
      <t xml:space="preserve"> … Minimum value of F_2,alu,Rk ; </t>
    </r>
    <r>
      <rPr>
        <sz val="12"/>
        <color rgb="FF424242"/>
        <rFont val="Segoe UI"/>
        <family val="2"/>
      </rPr>
      <t>F_</t>
    </r>
    <r>
      <rPr>
        <vertAlign val="subscript"/>
        <sz val="12"/>
        <color rgb="FF424242"/>
        <rFont val="Segoe UI"/>
        <family val="2"/>
      </rPr>
      <t>2,H,screw,Rk</t>
    </r>
    <r>
      <rPr>
        <sz val="12"/>
        <color rgb="FF424242"/>
        <rFont val="Segoe UI"/>
        <family val="2"/>
      </rPr>
      <t xml:space="preserve"> </t>
    </r>
    <r>
      <rPr>
        <sz val="11"/>
        <color rgb="FF424242"/>
        <rFont val="Segoe UI"/>
        <family val="2"/>
      </rPr>
      <t>and </t>
    </r>
    <r>
      <rPr>
        <sz val="12"/>
        <color rgb="FF424242"/>
        <rFont val="Segoe UI"/>
        <family val="2"/>
      </rPr>
      <t>F_</t>
    </r>
    <r>
      <rPr>
        <vertAlign val="subscript"/>
        <sz val="12"/>
        <color rgb="FF424242"/>
        <rFont val="Aptos Display"/>
        <family val="2"/>
      </rPr>
      <t>2,H,</t>
    </r>
    <r>
      <rPr>
        <vertAlign val="subscript"/>
        <sz val="12"/>
        <color rgb="FF424242"/>
        <rFont val="Symbol"/>
        <family val="1"/>
        <charset val="2"/>
      </rPr>
      <t>tau</t>
    </r>
    <r>
      <rPr>
        <vertAlign val="subscript"/>
        <sz val="12"/>
        <color rgb="FF424242"/>
        <rFont val="Aptos Display"/>
        <family val="2"/>
      </rPr>
      <t>,Rk</t>
    </r>
  </si>
  <si>
    <r>
      <rPr>
        <vertAlign val="superscript"/>
        <sz val="11"/>
        <color theme="1"/>
        <rFont val="Aptos Narrow"/>
        <family val="2"/>
        <scheme val="minor"/>
      </rPr>
      <t>3)</t>
    </r>
    <r>
      <rPr>
        <sz val="11"/>
        <color theme="1"/>
        <rFont val="Aptos Narrow"/>
        <family val="2"/>
        <scheme val="minor"/>
      </rPr>
      <t xml:space="preserve"> … Valeur minimale de F_2,alu,Rk ; </t>
    </r>
    <r>
      <rPr>
        <sz val="12"/>
        <color rgb="FF424242"/>
        <rFont val="Segoe UI"/>
        <family val="2"/>
      </rPr>
      <t>F_</t>
    </r>
    <r>
      <rPr>
        <vertAlign val="subscript"/>
        <sz val="12"/>
        <color rgb="FF424242"/>
        <rFont val="Segoe UI"/>
        <family val="2"/>
      </rPr>
      <t>2,H,screw,Rk</t>
    </r>
    <r>
      <rPr>
        <sz val="12"/>
        <color rgb="FF424242"/>
        <rFont val="Segoe UI"/>
        <family val="2"/>
      </rPr>
      <t xml:space="preserve"> </t>
    </r>
    <r>
      <rPr>
        <sz val="11"/>
        <color rgb="FF424242"/>
        <rFont val="Segoe UI"/>
        <family val="2"/>
      </rPr>
      <t>et</t>
    </r>
    <r>
      <rPr>
        <sz val="12"/>
        <color rgb="FF424242"/>
        <rFont val="Segoe UI"/>
        <family val="2"/>
      </rPr>
      <t xml:space="preserve"> F_</t>
    </r>
    <r>
      <rPr>
        <vertAlign val="subscript"/>
        <sz val="12"/>
        <color rgb="FF424242"/>
        <rFont val="Aptos Display"/>
        <family val="2"/>
      </rPr>
      <t>2,H,</t>
    </r>
    <r>
      <rPr>
        <vertAlign val="subscript"/>
        <sz val="12"/>
        <color rgb="FF424242"/>
        <rFont val="Symbol"/>
        <family val="1"/>
        <charset val="2"/>
      </rPr>
      <t>tau</t>
    </r>
    <r>
      <rPr>
        <vertAlign val="subscript"/>
        <sz val="12"/>
        <color rgb="FF424242"/>
        <rFont val="Aptos Display"/>
        <family val="2"/>
      </rPr>
      <t>,Rk</t>
    </r>
  </si>
  <si>
    <r>
      <rPr>
        <vertAlign val="superscript"/>
        <sz val="11"/>
        <color theme="1"/>
        <rFont val="Aptos Narrow"/>
        <family val="2"/>
        <scheme val="minor"/>
      </rPr>
      <t>3)</t>
    </r>
    <r>
      <rPr>
        <sz val="11"/>
        <color theme="1"/>
        <rFont val="Aptos Narrow"/>
        <family val="2"/>
        <scheme val="minor"/>
      </rPr>
      <t xml:space="preserve"> … Valor mínimo de F_2,alu,Rk ; </t>
    </r>
    <r>
      <rPr>
        <sz val="12"/>
        <color rgb="FF424242"/>
        <rFont val="Segoe UI"/>
        <family val="2"/>
      </rPr>
      <t>F_</t>
    </r>
    <r>
      <rPr>
        <vertAlign val="subscript"/>
        <sz val="12"/>
        <color rgb="FF424242"/>
        <rFont val="Segoe UI"/>
        <family val="2"/>
      </rPr>
      <t>2,H,screw,Rk</t>
    </r>
    <r>
      <rPr>
        <sz val="12"/>
        <color rgb="FF424242"/>
        <rFont val="Segoe UI"/>
        <family val="2"/>
      </rPr>
      <t> y F_</t>
    </r>
    <r>
      <rPr>
        <vertAlign val="subscript"/>
        <sz val="12"/>
        <color rgb="FF424242"/>
        <rFont val="Segoe UI"/>
        <family val="2"/>
      </rPr>
      <t>2,H,</t>
    </r>
    <r>
      <rPr>
        <vertAlign val="subscript"/>
        <sz val="12"/>
        <color rgb="FF424242"/>
        <rFont val="Symbol"/>
        <family val="1"/>
        <charset val="2"/>
      </rPr>
      <t>tau</t>
    </r>
    <r>
      <rPr>
        <vertAlign val="subscript"/>
        <sz val="12"/>
        <color rgb="FF424242"/>
        <rFont val="Segoe UI"/>
        <family val="2"/>
      </rPr>
      <t>,Rk</t>
    </r>
  </si>
  <si>
    <r>
      <rPr>
        <vertAlign val="superscript"/>
        <sz val="11"/>
        <color theme="1"/>
        <rFont val="Aptos Narrow"/>
        <family val="2"/>
        <scheme val="minor"/>
      </rPr>
      <t>3)</t>
    </r>
    <r>
      <rPr>
        <sz val="11"/>
        <color theme="1"/>
        <rFont val="Aptos Narrow"/>
        <family val="2"/>
        <scheme val="minor"/>
      </rPr>
      <t xml:space="preserve"> … Valor mínimo de F_2,alu,Rk ; </t>
    </r>
    <r>
      <rPr>
        <sz val="12"/>
        <color rgb="FF424242"/>
        <rFont val="Segoe UI"/>
        <family val="2"/>
      </rPr>
      <t>F_</t>
    </r>
    <r>
      <rPr>
        <vertAlign val="subscript"/>
        <sz val="12"/>
        <color rgb="FF424242"/>
        <rFont val="Segoe UI"/>
        <family val="2"/>
      </rPr>
      <t>2,C,screw,Rk</t>
    </r>
    <r>
      <rPr>
        <sz val="12"/>
        <color rgb="FF424242"/>
        <rFont val="Segoe UI"/>
        <family val="2"/>
      </rPr>
      <t> y F_</t>
    </r>
    <r>
      <rPr>
        <vertAlign val="subscript"/>
        <sz val="12"/>
        <color rgb="FF424242"/>
        <rFont val="Segoe UI"/>
        <family val="2"/>
      </rPr>
      <t>2,H,</t>
    </r>
    <r>
      <rPr>
        <vertAlign val="subscript"/>
        <sz val="12"/>
        <color rgb="FF424242"/>
        <rFont val="Symbol"/>
        <family val="1"/>
        <charset val="2"/>
      </rPr>
      <t>tau</t>
    </r>
    <r>
      <rPr>
        <vertAlign val="subscript"/>
        <sz val="12"/>
        <color rgb="FF424242"/>
        <rFont val="Segoe UI"/>
        <family val="2"/>
      </rPr>
      <t>,Rk</t>
    </r>
  </si>
  <si>
    <r>
      <rPr>
        <vertAlign val="superscript"/>
        <sz val="11"/>
        <color theme="1"/>
        <rFont val="Aptos Narrow"/>
        <family val="2"/>
        <scheme val="minor"/>
      </rPr>
      <t>3)</t>
    </r>
    <r>
      <rPr>
        <sz val="11"/>
        <color theme="1"/>
        <rFont val="Aptos Narrow"/>
        <family val="2"/>
        <scheme val="minor"/>
      </rPr>
      <t xml:space="preserve"> … Valeur minimale de F_2,alu,Rk ; </t>
    </r>
    <r>
      <rPr>
        <sz val="12"/>
        <color rgb="FF424242"/>
        <rFont val="Segoe UI"/>
        <family val="2"/>
      </rPr>
      <t>F_</t>
    </r>
    <r>
      <rPr>
        <vertAlign val="subscript"/>
        <sz val="12"/>
        <color rgb="FF424242"/>
        <rFont val="Segoe UI"/>
        <family val="2"/>
      </rPr>
      <t>2,C,screw,Rk</t>
    </r>
    <r>
      <rPr>
        <sz val="12"/>
        <color rgb="FF424242"/>
        <rFont val="Segoe UI"/>
        <family val="2"/>
      </rPr>
      <t xml:space="preserve"> </t>
    </r>
    <r>
      <rPr>
        <sz val="11"/>
        <color rgb="FF424242"/>
        <rFont val="Segoe UI"/>
        <family val="2"/>
      </rPr>
      <t>et</t>
    </r>
    <r>
      <rPr>
        <sz val="12"/>
        <color rgb="FF424242"/>
        <rFont val="Segoe UI"/>
        <family val="2"/>
      </rPr>
      <t xml:space="preserve"> F_</t>
    </r>
    <r>
      <rPr>
        <vertAlign val="subscript"/>
        <sz val="12"/>
        <color rgb="FF424242"/>
        <rFont val="Aptos Display"/>
        <family val="2"/>
      </rPr>
      <t>2,H,</t>
    </r>
    <r>
      <rPr>
        <vertAlign val="subscript"/>
        <sz val="12"/>
        <color rgb="FF424242"/>
        <rFont val="Symbol"/>
        <family val="1"/>
        <charset val="2"/>
      </rPr>
      <t>tau</t>
    </r>
    <r>
      <rPr>
        <vertAlign val="subscript"/>
        <sz val="12"/>
        <color rgb="FF424242"/>
        <rFont val="Aptos Display"/>
        <family val="2"/>
      </rPr>
      <t>,Rk</t>
    </r>
  </si>
  <si>
    <r>
      <rPr>
        <vertAlign val="superscript"/>
        <sz val="11"/>
        <color theme="1"/>
        <rFont val="Aptos Narrow"/>
        <family val="2"/>
        <scheme val="minor"/>
      </rPr>
      <t>3)</t>
    </r>
    <r>
      <rPr>
        <sz val="11"/>
        <color theme="1"/>
        <rFont val="Aptos Narrow"/>
        <family val="2"/>
        <scheme val="minor"/>
      </rPr>
      <t xml:space="preserve"> … Minimum value of F_2,alu,Rk ; </t>
    </r>
    <r>
      <rPr>
        <sz val="12"/>
        <color rgb="FF424242"/>
        <rFont val="Segoe UI"/>
        <family val="2"/>
      </rPr>
      <t>F_</t>
    </r>
    <r>
      <rPr>
        <vertAlign val="subscript"/>
        <sz val="12"/>
        <color rgb="FF424242"/>
        <rFont val="Segoe UI"/>
        <family val="2"/>
      </rPr>
      <t>2,C,screw,Rk</t>
    </r>
    <r>
      <rPr>
        <sz val="12"/>
        <color rgb="FF424242"/>
        <rFont val="Segoe UI"/>
        <family val="2"/>
      </rPr>
      <t xml:space="preserve"> </t>
    </r>
    <r>
      <rPr>
        <sz val="11"/>
        <color rgb="FF424242"/>
        <rFont val="Segoe UI"/>
        <family val="2"/>
      </rPr>
      <t>and </t>
    </r>
    <r>
      <rPr>
        <sz val="12"/>
        <color rgb="FF424242"/>
        <rFont val="Segoe UI"/>
        <family val="2"/>
      </rPr>
      <t>F_</t>
    </r>
    <r>
      <rPr>
        <vertAlign val="subscript"/>
        <sz val="12"/>
        <color rgb="FF424242"/>
        <rFont val="Aptos Display"/>
        <family val="2"/>
      </rPr>
      <t>2,H,</t>
    </r>
    <r>
      <rPr>
        <vertAlign val="subscript"/>
        <sz val="12"/>
        <color rgb="FF424242"/>
        <rFont val="Symbol"/>
        <family val="1"/>
        <charset val="2"/>
      </rPr>
      <t>tau</t>
    </r>
    <r>
      <rPr>
        <vertAlign val="subscript"/>
        <sz val="12"/>
        <color rgb="FF424242"/>
        <rFont val="Aptos Display"/>
        <family val="2"/>
      </rPr>
      <t>,Rk</t>
    </r>
  </si>
  <si>
    <r>
      <rPr>
        <vertAlign val="superscript"/>
        <sz val="11"/>
        <color theme="1"/>
        <rFont val="Aptos Narrow"/>
        <family val="2"/>
        <scheme val="minor"/>
      </rPr>
      <t>3)</t>
    </r>
    <r>
      <rPr>
        <sz val="11"/>
        <color theme="1"/>
        <rFont val="Aptos Narrow"/>
        <family val="2"/>
        <scheme val="minor"/>
      </rPr>
      <t xml:space="preserve"> … Min.-Wert von F_2,alu,Rk ; F_</t>
    </r>
    <r>
      <rPr>
        <vertAlign val="subscript"/>
        <sz val="11"/>
        <color theme="1"/>
        <rFont val="Aptos Narrow"/>
        <family val="2"/>
        <scheme val="minor"/>
      </rPr>
      <t>2,C,screw,Rk</t>
    </r>
    <r>
      <rPr>
        <sz val="11"/>
        <color theme="1"/>
        <rFont val="Aptos Narrow"/>
        <family val="2"/>
        <scheme val="minor"/>
      </rPr>
      <t xml:space="preserve"> und F_</t>
    </r>
    <r>
      <rPr>
        <vertAlign val="subscript"/>
        <sz val="11"/>
        <color theme="1"/>
        <rFont val="Aptos Narrow"/>
        <family val="2"/>
        <scheme val="minor"/>
      </rPr>
      <t xml:space="preserve">2,C,tau,Rk </t>
    </r>
  </si>
  <si>
    <t>Sicherheitsbeiwert Holz:</t>
  </si>
  <si>
    <t>Sicherheitsbeiwert ALU:</t>
  </si>
  <si>
    <r>
      <t xml:space="preserve">= </t>
    </r>
    <r>
      <rPr>
        <sz val="11"/>
        <color theme="1"/>
        <rFont val="Symbol"/>
        <family val="1"/>
        <charset val="2"/>
      </rPr>
      <t>g</t>
    </r>
    <r>
      <rPr>
        <vertAlign val="subscript"/>
        <sz val="11"/>
        <color theme="1"/>
        <rFont val="Aptos Narrow"/>
        <family val="2"/>
        <scheme val="minor"/>
      </rPr>
      <t>M</t>
    </r>
  </si>
  <si>
    <r>
      <t xml:space="preserve">= </t>
    </r>
    <r>
      <rPr>
        <sz val="11"/>
        <color theme="1"/>
        <rFont val="Symbol"/>
        <family val="1"/>
        <charset val="2"/>
      </rPr>
      <t>g</t>
    </r>
    <r>
      <rPr>
        <vertAlign val="subscript"/>
        <sz val="11"/>
        <color theme="1"/>
        <rFont val="Aptos Narrow"/>
        <family val="2"/>
        <scheme val="minor"/>
      </rPr>
      <t>M,2</t>
    </r>
  </si>
  <si>
    <r>
      <t xml:space="preserve">= </t>
    </r>
    <r>
      <rPr>
        <sz val="11"/>
        <color theme="1"/>
        <rFont val="Symbol"/>
        <family val="1"/>
        <charset val="2"/>
      </rPr>
      <t>g</t>
    </r>
    <r>
      <rPr>
        <vertAlign val="subscript"/>
        <sz val="11"/>
        <color theme="1"/>
        <rFont val="Aptos Narrow"/>
        <family val="2"/>
        <scheme val="minor"/>
      </rPr>
      <t>M,1</t>
    </r>
  </si>
  <si>
    <t>Sicherheitsbeiwert Stahl:</t>
  </si>
  <si>
    <t>Main beam</t>
  </si>
  <si>
    <t>Column</t>
  </si>
  <si>
    <r>
      <t>h</t>
    </r>
    <r>
      <rPr>
        <b/>
        <vertAlign val="subscript"/>
        <sz val="12"/>
        <color theme="0"/>
        <rFont val="Aptos Narrow"/>
        <family val="2"/>
        <scheme val="minor"/>
      </rPr>
      <t>u</t>
    </r>
  </si>
  <si>
    <t>Clase de resistencia de la madera:</t>
  </si>
  <si>
    <t>Densidad característica:</t>
  </si>
  <si>
    <t>Clase de duración de la acción:</t>
  </si>
  <si>
    <t>Coeficiente de modificación - kmod:</t>
  </si>
  <si>
    <t>valores de carga emitidos:</t>
  </si>
  <si>
    <t>Valores de diseno</t>
  </si>
  <si>
    <t>Coeficiente parcial de seguridad Madera:</t>
  </si>
  <si>
    <t>Coeficiente parcial de seguridad  Aluminio:</t>
  </si>
  <si>
    <t>Coeficiente parcial de seguridad Acero:</t>
  </si>
  <si>
    <t>Modification factor - kmod:</t>
  </si>
  <si>
    <t>Partial safety  factor Timber:</t>
  </si>
  <si>
    <t>Partial safety factor Aluminum:</t>
  </si>
  <si>
    <t>Partial safety factor steel:</t>
  </si>
  <si>
    <r>
      <rPr>
        <b/>
        <sz val="11"/>
        <color theme="1"/>
        <rFont val="Aptos Narrow"/>
        <family val="2"/>
        <scheme val="minor"/>
      </rPr>
      <t>NB :</t>
    </r>
    <r>
      <rPr>
        <sz val="11"/>
        <color theme="1"/>
        <rFont val="Aptos Narrow"/>
        <family val="2"/>
        <scheme val="minor"/>
      </rPr>
      <t xml:space="preserve"> </t>
    </r>
    <r>
      <rPr>
        <b/>
        <sz val="11"/>
        <color theme="1"/>
        <rFont val="Aptos Narrow"/>
        <family val="2"/>
        <scheme val="minor"/>
      </rPr>
      <t>Remarques techniques concernant les valeurs de charges caractéristiques indiquées dans les tableaux suivants :</t>
    </r>
    <r>
      <rPr>
        <sz val="11"/>
        <color theme="1"/>
        <rFont val="Aptos Narrow"/>
        <family val="2"/>
        <scheme val="minor"/>
      </rPr>
      <t xml:space="preserve">
Les valeurs de charge indiquées ont été déterminées sur la base des formules de calcul conformément à l'évaluation technique européenne ETA 25/0702 - délivrée le 27/08/2025. Elles dépendent de plusieurs paramètres liés à la conception, qui ont été sélectionnés de manière ciblée afin d'obtenir des valeurs de charge pratiques et orientées vers l'application pour les différentes tailles de connecteurs EVO-GRIP. 
Il est important de noter que toute modification des paramètres individuels, tels que la géométrie du connecteur, les propriétés du matériau d'ancrage ou les conditions de montage, peut avoir une influence directe sur les valeurs de charge obtenues.</t>
    </r>
  </si>
  <si>
    <t>Vis orientée à 45°</t>
  </si>
  <si>
    <t>Type de bois :</t>
  </si>
  <si>
    <t>Masse volumique caract. :</t>
  </si>
  <si>
    <t>Edition des valeurs de charge :</t>
  </si>
  <si>
    <t>Facteur partiel - bois :</t>
  </si>
  <si>
    <t>Facteur partiel - aluminium :</t>
  </si>
  <si>
    <t>Facteur partiel - acier :</t>
  </si>
  <si>
    <t>Auswahlfeld für die Berechnung</t>
  </si>
  <si>
    <t>Sprachauswahl Belastungstabelle</t>
  </si>
  <si>
    <t>Ausgewählte</t>
  </si>
  <si>
    <t>Berechnung</t>
  </si>
  <si>
    <t>Capacités de charge des connecteurs EVO-GRIP "Standard" ETA-25/0702 (2025-08-27)</t>
  </si>
  <si>
    <t>Belastungswerte EVO-GRIP-Verbinder "Standard Variante" nach ETA-25/0702 Zulassung (2025-08-27)</t>
  </si>
  <si>
    <t>Valores de carga de los conectores EVO-GRIP "Variante Standard" segun ETA-25/0702 (2025-08-27)</t>
  </si>
  <si>
    <t>Load values for EVO-GRIP "Standard" connectors according to ETA-25/0702 (2025-08-27)</t>
  </si>
  <si>
    <t>4) … Mindestholzbreite  Nebenträger:  Verbinderbreite B + 40 mm</t>
  </si>
  <si>
    <t>4) … Minimum timber width  Secondary beam:  Connector width B + 40 mm</t>
  </si>
  <si>
    <t>4) … Ancho mínimo de la madera  Viga secundaria:  Ancho del conector B + 40 mm</t>
  </si>
  <si>
    <t>4) … Mindestholzbreite  Stütze:  Verbinderbreite B + 40 mm</t>
  </si>
  <si>
    <t>4) … Minimum timber width  Column:  Connector width B + 40 mm</t>
  </si>
  <si>
    <t>4) … Ancho mínimo de la madera  Columna:  Ancho del conector B + 40 mm</t>
  </si>
  <si>
    <r>
      <rPr>
        <vertAlign val="superscript"/>
        <sz val="11"/>
        <color rgb="FF424242"/>
        <rFont val="Aptos Narrow"/>
        <family val="2"/>
        <scheme val="minor"/>
      </rPr>
      <t>1)</t>
    </r>
    <r>
      <rPr>
        <sz val="11"/>
        <color rgb="FF424242"/>
        <rFont val="Aptos Narrow"/>
        <family val="2"/>
        <scheme val="minor"/>
      </rPr>
      <t xml:space="preserve"> … Capacité de charge au cisaillement des vis à 45° et coefficient de frottement de la ferrure du connecteur ; la valeur de charge dépend de la longueur des vis à 45° et de la classe de résistance du bois.</t>
    </r>
  </si>
  <si>
    <r>
      <rPr>
        <vertAlign val="superscript"/>
        <sz val="11"/>
        <color rgb="FF424242"/>
        <rFont val="Aptos Narrow"/>
        <family val="2"/>
        <scheme val="minor"/>
      </rPr>
      <t>2)</t>
    </r>
    <r>
      <rPr>
        <sz val="11"/>
        <color rgb="FF424242"/>
        <rFont val="Aptos Narrow"/>
        <family val="2"/>
        <scheme val="minor"/>
      </rPr>
      <t xml:space="preserve"> … Capacité de charge au cisaillement du bois due au cisaillement par roulement et à la compression transversale dans la poutre secondaire ; la valeur de charge dépend de la hauteur d'installation h₀.</t>
    </r>
  </si>
  <si>
    <r>
      <rPr>
        <vertAlign val="superscript"/>
        <sz val="11"/>
        <color theme="1"/>
        <rFont val="Aptos Narrow"/>
        <family val="2"/>
        <scheme val="minor"/>
      </rPr>
      <t>1)</t>
    </r>
    <r>
      <rPr>
        <sz val="11"/>
        <color theme="1"/>
        <rFont val="Aptos Narrow"/>
        <family val="2"/>
        <scheme val="minor"/>
      </rPr>
      <t xml:space="preserve"> … Capacité de charge au cisaillement des vis à 45° et coefficient de frottement de la ferrure du connecteur, ainsi que pression d'appui de cette ferrure et des vis de compression (vis horizontales à 90°) ; la valeur de charge dépend de la longueur des vis à 45° et de la classe de résistance du bois.</t>
    </r>
  </si>
  <si>
    <r>
      <rPr>
        <vertAlign val="superscript"/>
        <sz val="11"/>
        <color theme="1"/>
        <rFont val="Aptos Narrow"/>
        <family val="2"/>
        <scheme val="minor"/>
      </rPr>
      <t>2)</t>
    </r>
    <r>
      <rPr>
        <sz val="11"/>
        <color theme="1"/>
        <rFont val="Aptos Narrow"/>
        <family val="2"/>
        <scheme val="minor"/>
      </rPr>
      <t xml:space="preserve"> … Capacité de charge au cisaillement du bois due au cisaillement roulant et à la compression transversale dans la poutre principale ; la valeur de la charge dépend de la hauteur inférieure hᵤ</t>
    </r>
  </si>
  <si>
    <r>
      <rPr>
        <vertAlign val="superscript"/>
        <sz val="11"/>
        <color theme="1"/>
        <rFont val="Aptos Narrow"/>
        <family val="2"/>
        <scheme val="minor"/>
      </rPr>
      <t>2)</t>
    </r>
    <r>
      <rPr>
        <sz val="11"/>
        <color theme="1"/>
        <rFont val="Aptos Narrow"/>
        <family val="2"/>
        <scheme val="minor"/>
      </rPr>
      <t xml:space="preserve"> … Capacité au charge de cisaillement du bois due au cisaillement roulant et à la compression axiale dans le poteau ; la valeur de la charge dépend de la longueur des vis à angle de 45° et de la classe de résistance du bois.</t>
    </r>
  </si>
  <si>
    <t>4) … Largeur minimale de la poutre secondaire :  largeur du connecteur B + 40 mm</t>
  </si>
  <si>
    <t>4) … Largeur minimale du poteau :  largeur du connecteur B + 40 mm</t>
  </si>
  <si>
    <t>EVO-Grip-Größen (4)</t>
  </si>
  <si>
    <t>EVO-GRIP sizes (4)</t>
  </si>
  <si>
    <t>Dimensions EVO-GRIP (4)</t>
  </si>
  <si>
    <t>Dimensiones EVO-GRIP (4)</t>
  </si>
  <si>
    <t>Poutre secondaires</t>
  </si>
  <si>
    <t>Poutre principales</t>
  </si>
  <si>
    <t>Poteaux</t>
  </si>
  <si>
    <t>V_02_251218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</si>
</sst>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
    <numFmt numFmtId="166" formatCode="0&quot; x SK 8x160&quot;"/>
    <numFmt numFmtId="167" formatCode="0&quot; x SK 8x120&quot;"/>
    <numFmt numFmtId="168" formatCode="0&quot; x SK 8x200&quot;"/>
    <numFmt numFmtId="169" formatCode="0&quot; x SK 8x240&quot;"/>
    <numFmt numFmtId="170" formatCode="_-* #,##0.0_-;\-* #,##0.0_-;_-* &quot;-&quot;??_-;_-@_-"/>
    <numFmt numFmtId="171" formatCode="0&quot; kg/m³&quot;"/>
  </numFmts>
  <fonts count="30" x14ac:knownFonts="1">
    <font>
      <sz val="11"/>
      <color theme="1"/>
      <name val="Aptos Narrow"/>
      <family val="2"/>
      <scheme val="minor"/>
    </font>
    <font>
      <vertAlign val="superscript"/>
      <sz val="11"/>
      <color theme="1"/>
      <name val="Aptos Narrow"/>
      <family val="2"/>
      <scheme val="minor"/>
    </font>
    <font>
      <b/>
      <sz val="11"/>
      <color theme="1"/>
      <name val="Aptos Narrow"/>
      <family val="2"/>
      <scheme val="minor"/>
    </font>
    <font>
      <vertAlign val="subscript"/>
      <sz val="11"/>
      <color theme="1"/>
      <name val="Aptos Narrow"/>
      <family val="2"/>
      <scheme val="minor"/>
    </font>
    <font>
      <vertAlign val="subscript"/>
      <sz val="11"/>
      <color theme="1"/>
      <name val="Symbol"/>
      <family val="1"/>
      <charset val="2"/>
    </font>
    <font>
      <sz val="16"/>
      <color theme="1"/>
      <name val="Aptos Narrow"/>
      <family val="2"/>
      <scheme val="minor"/>
    </font>
    <font>
      <b/>
      <vertAlign val="subscript"/>
      <sz val="11"/>
      <color theme="1"/>
      <name val="Aptos Narrow"/>
      <family val="2"/>
      <scheme val="minor"/>
    </font>
    <font>
      <b/>
      <vertAlign val="superscript"/>
      <sz val="11"/>
      <color theme="1"/>
      <name val="Aptos Narrow"/>
      <family val="2"/>
      <scheme val="minor"/>
    </font>
    <font>
      <sz val="12"/>
      <color rgb="FF424242"/>
      <name val="Segoe UI"/>
      <family val="2"/>
    </font>
    <font>
      <vertAlign val="subscript"/>
      <sz val="12"/>
      <color rgb="FF424242"/>
      <name val="Segoe UI"/>
      <family val="2"/>
    </font>
    <font>
      <vertAlign val="subscript"/>
      <sz val="12"/>
      <color rgb="FF424242"/>
      <name val="Symbol"/>
      <family val="1"/>
      <charset val="2"/>
    </font>
    <font>
      <vertAlign val="subscript"/>
      <sz val="12"/>
      <color rgb="FF424242"/>
      <name val="Aptos Display"/>
      <family val="2"/>
    </font>
    <font>
      <b/>
      <sz val="11"/>
      <color rgb="FF424242"/>
      <name val="Aptos Narrow"/>
      <family val="2"/>
      <scheme val="minor"/>
    </font>
    <font>
      <sz val="11"/>
      <color rgb="FF424242"/>
      <name val="Aptos Narrow"/>
      <family val="2"/>
      <scheme val="minor"/>
    </font>
    <font>
      <vertAlign val="superscript"/>
      <sz val="11"/>
      <color rgb="FF424242"/>
      <name val="Aptos Narrow"/>
      <family val="2"/>
      <scheme val="minor"/>
    </font>
    <font>
      <vertAlign val="subscript"/>
      <sz val="11"/>
      <color rgb="FF424242"/>
      <name val="Aptos Narrow"/>
      <family val="2"/>
      <scheme val="minor"/>
    </font>
    <font>
      <sz val="11"/>
      <color rgb="FF424242"/>
      <name val="Segoe UI"/>
      <family val="2"/>
    </font>
    <font>
      <b/>
      <sz val="12"/>
      <color theme="1"/>
      <name val="Aptos Narrow"/>
      <family val="2"/>
      <scheme val="minor"/>
    </font>
    <font>
      <sz val="11"/>
      <color rgb="FF000000"/>
      <name val="Myriad Pro"/>
      <family val="2"/>
    </font>
    <font>
      <b/>
      <sz val="18"/>
      <color theme="1"/>
      <name val="Aptos Narrow"/>
      <family val="2"/>
      <scheme val="minor"/>
    </font>
    <font>
      <sz val="11"/>
      <color theme="1"/>
      <name val="Aptos Narrow"/>
      <family val="2"/>
      <scheme val="minor"/>
    </font>
    <font>
      <sz val="20"/>
      <color theme="1"/>
      <name val="Aptos Narrow"/>
      <family val="2"/>
      <scheme val="minor"/>
    </font>
    <font>
      <b/>
      <sz val="14"/>
      <color theme="1"/>
      <name val="Aptos Narrow"/>
      <family val="2"/>
      <scheme val="minor"/>
    </font>
    <font>
      <sz val="11"/>
      <color theme="1"/>
      <name val="Aptos Narrow"/>
      <family val="1"/>
      <charset val="2"/>
      <scheme val="minor"/>
    </font>
    <font>
      <sz val="11"/>
      <color theme="1"/>
      <name val="Symbol"/>
      <family val="1"/>
      <charset val="2"/>
    </font>
    <font>
      <sz val="11"/>
      <name val="Aptos Narrow"/>
      <family val="2"/>
      <scheme val="minor"/>
    </font>
    <font>
      <b/>
      <sz val="18"/>
      <color theme="0"/>
      <name val="Aptos Narrow"/>
      <family val="2"/>
      <scheme val="minor"/>
    </font>
    <font>
      <b/>
      <sz val="12"/>
      <color theme="0"/>
      <name val="Aptos Narrow"/>
      <family val="2"/>
      <scheme val="minor"/>
    </font>
    <font>
      <b/>
      <vertAlign val="subscript"/>
      <sz val="12"/>
      <color theme="0"/>
      <name val="Aptos Narrow"/>
      <family val="2"/>
      <scheme val="minor"/>
    </font>
    <font>
      <b/>
      <sz val="11"/>
      <name val="Aptos Narrow"/>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rgb="FFE26B01"/>
        <bgColor indexed="64"/>
      </patternFill>
    </fill>
    <fill>
      <patternFill patternType="solid">
        <fgColor rgb="FFEBF1DE"/>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s>
  <cellStyleXfs count="3">
    <xf numFmtId="0" fontId="0" fillId="0" borderId="0"/>
    <xf numFmtId="164" fontId="20" fillId="0" borderId="0" applyFont="0" applyFill="0" applyBorder="0" applyAlignment="0" applyProtection="0"/>
    <xf numFmtId="9" fontId="20" fillId="0" borderId="0" applyFont="0" applyFill="0" applyBorder="0" applyAlignment="0" applyProtection="0"/>
  </cellStyleXfs>
  <cellXfs count="224">
    <xf numFmtId="0" fontId="0" fillId="0" borderId="0" xfId="0"/>
    <xf numFmtId="0" fontId="2" fillId="0" borderId="0" xfId="0" applyFont="1"/>
    <xf numFmtId="0" fontId="0" fillId="0" borderId="0" xfId="0" applyAlignment="1">
      <alignment horizontal="center"/>
    </xf>
    <xf numFmtId="0" fontId="0" fillId="0" borderId="1" xfId="0" applyBorder="1"/>
    <xf numFmtId="0" fontId="0" fillId="0" borderId="1" xfId="0" applyBorder="1" applyAlignment="1">
      <alignment horizontal="center"/>
    </xf>
    <xf numFmtId="0" fontId="0" fillId="0" borderId="3" xfId="0" applyBorder="1"/>
    <xf numFmtId="0" fontId="0" fillId="0" borderId="5" xfId="0" applyBorder="1"/>
    <xf numFmtId="0" fontId="0" fillId="0" borderId="4" xfId="0" applyBorder="1"/>
    <xf numFmtId="0" fontId="0" fillId="0" borderId="3" xfId="0" applyBorder="1" applyAlignment="1">
      <alignment horizontal="center"/>
    </xf>
    <xf numFmtId="0" fontId="0" fillId="0" borderId="4" xfId="0" applyBorder="1" applyAlignment="1">
      <alignment horizontal="center"/>
    </xf>
    <xf numFmtId="0" fontId="0" fillId="0" borderId="8" xfId="0" applyBorder="1"/>
    <xf numFmtId="0" fontId="0" fillId="0" borderId="8" xfId="0"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0" fillId="0" borderId="1" xfId="0" applyBorder="1" applyAlignment="1">
      <alignment wrapText="1"/>
    </xf>
    <xf numFmtId="166" fontId="0" fillId="0" borderId="1" xfId="0" applyNumberFormat="1" applyBorder="1" applyAlignment="1">
      <alignment horizontal="center"/>
    </xf>
    <xf numFmtId="167" fontId="0" fillId="0" borderId="1" xfId="0" applyNumberFormat="1" applyBorder="1" applyAlignment="1">
      <alignment horizontal="center"/>
    </xf>
    <xf numFmtId="166" fontId="0" fillId="0" borderId="8" xfId="0" applyNumberFormat="1" applyBorder="1" applyAlignment="1">
      <alignment horizontal="center"/>
    </xf>
    <xf numFmtId="167" fontId="0" fillId="0" borderId="8" xfId="0" applyNumberFormat="1" applyBorder="1" applyAlignment="1">
      <alignment horizontal="center"/>
    </xf>
    <xf numFmtId="166" fontId="0" fillId="0" borderId="4" xfId="0" applyNumberFormat="1" applyBorder="1" applyAlignment="1">
      <alignment horizontal="center"/>
    </xf>
    <xf numFmtId="165" fontId="2" fillId="0" borderId="1" xfId="0" applyNumberFormat="1" applyFont="1" applyBorder="1" applyAlignment="1">
      <alignment horizontal="center"/>
    </xf>
    <xf numFmtId="165" fontId="2" fillId="0" borderId="8" xfId="0" applyNumberFormat="1" applyFont="1" applyBorder="1" applyAlignment="1">
      <alignment horizontal="center"/>
    </xf>
    <xf numFmtId="165" fontId="2" fillId="0" borderId="4" xfId="0" applyNumberFormat="1" applyFont="1" applyBorder="1" applyAlignment="1">
      <alignment horizontal="center"/>
    </xf>
    <xf numFmtId="168" fontId="0" fillId="0" borderId="4" xfId="0" applyNumberFormat="1" applyBorder="1" applyAlignment="1">
      <alignment horizontal="center"/>
    </xf>
    <xf numFmtId="168" fontId="0" fillId="0" borderId="1" xfId="0" applyNumberFormat="1" applyBorder="1" applyAlignment="1">
      <alignment horizontal="center"/>
    </xf>
    <xf numFmtId="165" fontId="0" fillId="0" borderId="1" xfId="0" applyNumberFormat="1" applyBorder="1" applyAlignment="1">
      <alignment horizontal="center"/>
    </xf>
    <xf numFmtId="165" fontId="0" fillId="0" borderId="8" xfId="0" applyNumberFormat="1" applyBorder="1" applyAlignment="1">
      <alignment horizontal="center"/>
    </xf>
    <xf numFmtId="165" fontId="0" fillId="0" borderId="4" xfId="0" applyNumberFormat="1" applyBorder="1" applyAlignment="1">
      <alignment horizontal="center"/>
    </xf>
    <xf numFmtId="0" fontId="5" fillId="0" borderId="0" xfId="0" applyFont="1"/>
    <xf numFmtId="169" fontId="0" fillId="0" borderId="4" xfId="0" applyNumberFormat="1" applyBorder="1" applyAlignment="1">
      <alignment horizontal="center"/>
    </xf>
    <xf numFmtId="169" fontId="0" fillId="0" borderId="1" xfId="0" applyNumberFormat="1" applyBorder="1" applyAlignment="1">
      <alignment horizontal="center"/>
    </xf>
    <xf numFmtId="168" fontId="0" fillId="0" borderId="0" xfId="0" applyNumberFormat="1" applyAlignment="1">
      <alignment horizontal="center"/>
    </xf>
    <xf numFmtId="166" fontId="0" fillId="0" borderId="0" xfId="0" applyNumberFormat="1" applyAlignment="1">
      <alignment horizontal="center"/>
    </xf>
    <xf numFmtId="165" fontId="0" fillId="0" borderId="0" xfId="0" applyNumberFormat="1" applyAlignment="1">
      <alignment horizontal="center"/>
    </xf>
    <xf numFmtId="165" fontId="2" fillId="0" borderId="0" xfId="0" applyNumberFormat="1" applyFont="1" applyAlignment="1">
      <alignment horizontal="center"/>
    </xf>
    <xf numFmtId="0" fontId="0" fillId="0" borderId="0" xfId="0" applyAlignment="1">
      <alignment horizontal="left" wrapText="1"/>
    </xf>
    <xf numFmtId="0" fontId="0" fillId="0" borderId="7" xfId="0" applyBorder="1" applyAlignment="1">
      <alignment horizontal="left" wrapText="1"/>
    </xf>
    <xf numFmtId="0" fontId="2" fillId="0" borderId="0" xfId="0" applyFont="1" applyAlignment="1">
      <alignment horizontal="left"/>
    </xf>
    <xf numFmtId="165" fontId="2" fillId="0" borderId="0" xfId="0" applyNumberFormat="1" applyFont="1" applyAlignment="1">
      <alignment horizontal="center" wrapText="1"/>
    </xf>
    <xf numFmtId="0" fontId="0" fillId="0" borderId="0" xfId="0" applyAlignment="1">
      <alignment wrapText="1"/>
    </xf>
    <xf numFmtId="0" fontId="0" fillId="0" borderId="0" xfId="0" applyAlignment="1">
      <alignment horizontal="left" vertical="top" wrapText="1"/>
    </xf>
    <xf numFmtId="0" fontId="0" fillId="0" borderId="0" xfId="0" applyAlignment="1">
      <alignment horizontal="left"/>
    </xf>
    <xf numFmtId="165" fontId="0" fillId="0" borderId="0" xfId="0" applyNumberFormat="1" applyAlignment="1">
      <alignment horizontal="center" wrapText="1"/>
    </xf>
    <xf numFmtId="0" fontId="2" fillId="0" borderId="0" xfId="0" applyFont="1" applyAlignment="1">
      <alignment horizontal="left" wrapText="1"/>
    </xf>
    <xf numFmtId="0" fontId="2" fillId="0" borderId="0" xfId="0" applyFont="1" applyAlignment="1">
      <alignment wrapText="1"/>
    </xf>
    <xf numFmtId="0" fontId="0" fillId="0" borderId="0" xfId="0" applyAlignment="1">
      <alignment horizontal="left" vertical="center" wrapText="1"/>
    </xf>
    <xf numFmtId="0" fontId="12" fillId="0" borderId="0" xfId="0" applyFont="1" applyAlignment="1">
      <alignment vertical="center" wrapText="1"/>
    </xf>
    <xf numFmtId="0" fontId="13" fillId="0" borderId="0" xfId="0" applyFont="1" applyAlignment="1">
      <alignment vertical="center" wrapText="1"/>
    </xf>
    <xf numFmtId="0" fontId="13" fillId="0" borderId="0" xfId="0" applyFont="1"/>
    <xf numFmtId="0" fontId="13" fillId="0" borderId="0" xfId="0" applyFont="1" applyAlignment="1">
      <alignment horizontal="left" vertical="center" wrapText="1" indent="1"/>
    </xf>
    <xf numFmtId="0" fontId="0" fillId="2" borderId="0" xfId="0" applyFill="1"/>
    <xf numFmtId="0" fontId="0" fillId="0" borderId="0" xfId="0" applyAlignment="1">
      <alignment horizontal="right"/>
    </xf>
    <xf numFmtId="0" fontId="0" fillId="0" borderId="0" xfId="0" applyAlignment="1">
      <alignment vertical="top" wrapText="1"/>
    </xf>
    <xf numFmtId="0" fontId="17" fillId="0" borderId="0" xfId="0" applyFont="1" applyAlignment="1">
      <alignment wrapText="1"/>
    </xf>
    <xf numFmtId="0" fontId="0" fillId="0" borderId="1" xfId="0" applyBorder="1" applyAlignment="1">
      <alignment horizontal="center" wrapText="1"/>
    </xf>
    <xf numFmtId="0" fontId="0" fillId="0" borderId="1" xfId="0" applyBorder="1" applyAlignment="1">
      <alignment horizontal="left"/>
    </xf>
    <xf numFmtId="0" fontId="18" fillId="0" borderId="0" xfId="0" applyFont="1"/>
    <xf numFmtId="0" fontId="0" fillId="0" borderId="0" xfId="0" applyAlignment="1">
      <alignment horizontal="right" vertical="center"/>
    </xf>
    <xf numFmtId="0" fontId="21" fillId="0" borderId="0" xfId="0" applyFont="1"/>
    <xf numFmtId="0" fontId="22" fillId="0" borderId="0" xfId="0" applyFont="1"/>
    <xf numFmtId="0" fontId="0" fillId="2" borderId="0" xfId="0" applyFill="1" applyAlignment="1">
      <alignment horizontal="center"/>
    </xf>
    <xf numFmtId="0" fontId="23" fillId="0" borderId="0" xfId="0" applyFont="1" applyAlignment="1">
      <alignment horizontal="right"/>
    </xf>
    <xf numFmtId="0" fontId="22" fillId="0" borderId="0" xfId="0" applyFont="1" applyAlignment="1">
      <alignment horizontal="center"/>
    </xf>
    <xf numFmtId="0" fontId="0" fillId="0" borderId="12" xfId="0" applyBorder="1"/>
    <xf numFmtId="0" fontId="0" fillId="0" borderId="13" xfId="0" applyBorder="1"/>
    <xf numFmtId="0" fontId="0" fillId="2" borderId="1" xfId="0" applyFill="1" applyBorder="1"/>
    <xf numFmtId="0" fontId="0" fillId="2" borderId="1" xfId="0" applyFill="1" applyBorder="1" applyAlignment="1">
      <alignment horizontal="center"/>
    </xf>
    <xf numFmtId="2" fontId="0" fillId="0" borderId="1" xfId="0" applyNumberFormat="1" applyBorder="1" applyAlignment="1">
      <alignment horizontal="center"/>
    </xf>
    <xf numFmtId="2" fontId="2" fillId="0" borderId="1" xfId="0" applyNumberFormat="1" applyFont="1" applyBorder="1" applyAlignment="1">
      <alignment horizontal="center"/>
    </xf>
    <xf numFmtId="164" fontId="0" fillId="0" borderId="1" xfId="0" applyNumberFormat="1" applyBorder="1"/>
    <xf numFmtId="164" fontId="2" fillId="0" borderId="1" xfId="1" applyFont="1" applyBorder="1"/>
    <xf numFmtId="164" fontId="2" fillId="0" borderId="1" xfId="0" applyNumberFormat="1" applyFont="1" applyBorder="1"/>
    <xf numFmtId="0" fontId="0" fillId="2" borderId="8" xfId="0" applyFill="1" applyBorder="1"/>
    <xf numFmtId="0" fontId="0" fillId="2" borderId="8" xfId="0" applyFill="1" applyBorder="1" applyAlignment="1">
      <alignment horizontal="center"/>
    </xf>
    <xf numFmtId="2" fontId="0" fillId="0" borderId="8" xfId="0" applyNumberFormat="1" applyBorder="1" applyAlignment="1">
      <alignment horizontal="center"/>
    </xf>
    <xf numFmtId="2" fontId="2" fillId="0" borderId="8" xfId="0" applyNumberFormat="1" applyFont="1" applyBorder="1" applyAlignment="1">
      <alignment horizontal="center"/>
    </xf>
    <xf numFmtId="164" fontId="0" fillId="0" borderId="8" xfId="0" applyNumberFormat="1" applyBorder="1"/>
    <xf numFmtId="164" fontId="2" fillId="0" borderId="8" xfId="1" applyFont="1" applyBorder="1"/>
    <xf numFmtId="164" fontId="2" fillId="0" borderId="8" xfId="0" applyNumberFormat="1" applyFont="1" applyBorder="1"/>
    <xf numFmtId="0" fontId="0" fillId="2" borderId="4" xfId="0" applyFill="1" applyBorder="1"/>
    <xf numFmtId="0" fontId="0" fillId="2" borderId="4" xfId="0" applyFill="1" applyBorder="1" applyAlignment="1">
      <alignment horizontal="center"/>
    </xf>
    <xf numFmtId="2" fontId="0" fillId="0" borderId="4" xfId="0" applyNumberFormat="1" applyBorder="1" applyAlignment="1">
      <alignment horizontal="center"/>
    </xf>
    <xf numFmtId="2" fontId="2" fillId="0" borderId="4" xfId="0" applyNumberFormat="1" applyFont="1" applyBorder="1" applyAlignment="1">
      <alignment horizontal="center"/>
    </xf>
    <xf numFmtId="164" fontId="0" fillId="0" borderId="4" xfId="0" applyNumberFormat="1" applyBorder="1"/>
    <xf numFmtId="164" fontId="2" fillId="0" borderId="4" xfId="1" applyFont="1" applyBorder="1"/>
    <xf numFmtId="164" fontId="2" fillId="0" borderId="4" xfId="0" applyNumberFormat="1" applyFont="1" applyBorder="1"/>
    <xf numFmtId="2" fontId="0" fillId="0" borderId="0" xfId="0" applyNumberFormat="1" applyAlignment="1">
      <alignment horizontal="center"/>
    </xf>
    <xf numFmtId="2" fontId="2" fillId="0" borderId="0" xfId="0" applyNumberFormat="1" applyFont="1" applyAlignment="1">
      <alignment horizontal="center"/>
    </xf>
    <xf numFmtId="164" fontId="0" fillId="0" borderId="0" xfId="0" applyNumberFormat="1"/>
    <xf numFmtId="164" fontId="2" fillId="0" borderId="0" xfId="1" applyFont="1"/>
    <xf numFmtId="164" fontId="2" fillId="0" borderId="0" xfId="0" applyNumberFormat="1" applyFont="1"/>
    <xf numFmtId="170" fontId="0" fillId="0" borderId="0" xfId="0" applyNumberFormat="1" applyAlignment="1">
      <alignment horizontal="center"/>
    </xf>
    <xf numFmtId="170" fontId="0" fillId="0" borderId="0" xfId="0" applyNumberFormat="1"/>
    <xf numFmtId="170" fontId="2" fillId="0" borderId="0" xfId="0" applyNumberFormat="1" applyFont="1"/>
    <xf numFmtId="0" fontId="0" fillId="0" borderId="1" xfId="0" applyBorder="1" applyAlignment="1">
      <alignment horizontal="center" vertical="center"/>
    </xf>
    <xf numFmtId="164" fontId="0" fillId="0" borderId="1" xfId="1" applyFont="1" applyBorder="1" applyAlignment="1">
      <alignment horizontal="center"/>
    </xf>
    <xf numFmtId="2" fontId="0" fillId="0" borderId="1" xfId="1" applyNumberFormat="1" applyFont="1" applyBorder="1" applyAlignment="1">
      <alignment horizontal="center"/>
    </xf>
    <xf numFmtId="0" fontId="0" fillId="0" borderId="9" xfId="0" applyBorder="1" applyAlignment="1">
      <alignment horizontal="right"/>
    </xf>
    <xf numFmtId="0" fontId="0" fillId="0" borderId="11" xfId="0" applyBorder="1"/>
    <xf numFmtId="2" fontId="0" fillId="0" borderId="1" xfId="0" applyNumberFormat="1" applyBorder="1" applyAlignment="1">
      <alignment horizontal="center" vertical="center"/>
    </xf>
    <xf numFmtId="0" fontId="0" fillId="0" borderId="5" xfId="0" applyBorder="1" applyAlignment="1">
      <alignment horizontal="right"/>
    </xf>
    <xf numFmtId="0" fontId="0" fillId="0" borderId="9" xfId="0" applyBorder="1"/>
    <xf numFmtId="0" fontId="22" fillId="0" borderId="0" xfId="0" applyFont="1" applyAlignment="1">
      <alignment horizontal="left"/>
    </xf>
    <xf numFmtId="0" fontId="0" fillId="0" borderId="5" xfId="0" applyBorder="1" applyAlignment="1">
      <alignment horizontal="center"/>
    </xf>
    <xf numFmtId="0" fontId="0" fillId="0" borderId="7" xfId="0" applyBorder="1" applyAlignment="1">
      <alignment horizontal="center"/>
    </xf>
    <xf numFmtId="164" fontId="0" fillId="0" borderId="1" xfId="0" applyNumberFormat="1" applyBorder="1" applyAlignment="1">
      <alignment horizontal="center"/>
    </xf>
    <xf numFmtId="170" fontId="0" fillId="0" borderId="1" xfId="1" applyNumberFormat="1" applyFont="1" applyBorder="1"/>
    <xf numFmtId="170" fontId="0" fillId="0" borderId="1" xfId="0" applyNumberFormat="1" applyBorder="1"/>
    <xf numFmtId="164" fontId="0" fillId="0" borderId="0" xfId="1" applyFont="1"/>
    <xf numFmtId="9" fontId="0" fillId="0" borderId="0" xfId="2" applyFont="1"/>
    <xf numFmtId="164" fontId="0" fillId="0" borderId="8" xfId="0" applyNumberFormat="1" applyBorder="1" applyAlignment="1">
      <alignment horizontal="center"/>
    </xf>
    <xf numFmtId="164" fontId="0" fillId="0" borderId="8" xfId="1" applyFont="1" applyBorder="1" applyAlignment="1">
      <alignment horizontal="center"/>
    </xf>
    <xf numFmtId="170" fontId="0" fillId="0" borderId="8" xfId="1" applyNumberFormat="1" applyFont="1" applyBorder="1"/>
    <xf numFmtId="170" fontId="0" fillId="0" borderId="8" xfId="0" applyNumberFormat="1" applyBorder="1"/>
    <xf numFmtId="164" fontId="0" fillId="0" borderId="4" xfId="0" applyNumberFormat="1" applyBorder="1" applyAlignment="1">
      <alignment horizontal="center"/>
    </xf>
    <xf numFmtId="164" fontId="0" fillId="0" borderId="4" xfId="1" applyFont="1" applyBorder="1" applyAlignment="1">
      <alignment horizontal="center"/>
    </xf>
    <xf numFmtId="170" fontId="0" fillId="0" borderId="4" xfId="1" applyNumberFormat="1" applyFont="1" applyBorder="1"/>
    <xf numFmtId="170" fontId="0" fillId="0" borderId="4" xfId="0" applyNumberFormat="1" applyBorder="1"/>
    <xf numFmtId="170" fontId="0" fillId="0" borderId="0" xfId="1" applyNumberFormat="1" applyFont="1"/>
    <xf numFmtId="164" fontId="0" fillId="0" borderId="0" xfId="1" applyFont="1" applyAlignment="1"/>
    <xf numFmtId="164" fontId="0" fillId="0" borderId="0" xfId="1" applyFont="1" applyFill="1"/>
    <xf numFmtId="0" fontId="0" fillId="0" borderId="15" xfId="0" applyBorder="1"/>
    <xf numFmtId="164" fontId="0" fillId="0" borderId="1" xfId="1" applyFont="1" applyBorder="1"/>
    <xf numFmtId="164" fontId="0" fillId="0" borderId="8" xfId="1" applyFont="1" applyBorder="1"/>
    <xf numFmtId="164" fontId="0" fillId="0" borderId="4" xfId="1" applyFont="1" applyBorder="1"/>
    <xf numFmtId="0" fontId="0" fillId="0" borderId="0" xfId="0" applyAlignment="1">
      <alignment horizontal="center" vertical="center"/>
    </xf>
    <xf numFmtId="1" fontId="0" fillId="0" borderId="1" xfId="0" applyNumberFormat="1" applyBorder="1" applyAlignment="1">
      <alignment horizontal="center"/>
    </xf>
    <xf numFmtId="2" fontId="0" fillId="0" borderId="0" xfId="1" applyNumberFormat="1" applyFont="1" applyFill="1" applyBorder="1" applyAlignment="1">
      <alignment horizontal="center"/>
    </xf>
    <xf numFmtId="164" fontId="0" fillId="0" borderId="0" xfId="1" applyFont="1" applyFill="1" applyBorder="1"/>
    <xf numFmtId="0" fontId="0" fillId="0" borderId="7" xfId="0" applyBorder="1" applyAlignment="1">
      <alignment horizontal="right"/>
    </xf>
    <xf numFmtId="0" fontId="25" fillId="0" borderId="1" xfId="0" applyFont="1" applyBorder="1"/>
    <xf numFmtId="0" fontId="25" fillId="0" borderId="1" xfId="0" applyFont="1" applyBorder="1" applyAlignment="1">
      <alignment horizontal="center"/>
    </xf>
    <xf numFmtId="0" fontId="25" fillId="2" borderId="1" xfId="0" applyFont="1" applyFill="1" applyBorder="1" applyAlignment="1">
      <alignment horizontal="center"/>
    </xf>
    <xf numFmtId="164" fontId="25" fillId="0" borderId="1" xfId="0" applyNumberFormat="1" applyFont="1" applyBorder="1"/>
    <xf numFmtId="164" fontId="25" fillId="0" borderId="1" xfId="1" applyFont="1" applyBorder="1" applyAlignment="1">
      <alignment horizontal="center"/>
    </xf>
    <xf numFmtId="164" fontId="25" fillId="0" borderId="1" xfId="1" applyFont="1" applyBorder="1"/>
    <xf numFmtId="0" fontId="25" fillId="0" borderId="0" xfId="0" applyFont="1"/>
    <xf numFmtId="164" fontId="0" fillId="0" borderId="0" xfId="1" applyFont="1" applyAlignment="1">
      <alignment horizontal="center"/>
    </xf>
    <xf numFmtId="1" fontId="0" fillId="0" borderId="8" xfId="0" applyNumberFormat="1" applyBorder="1" applyAlignment="1">
      <alignment horizontal="center"/>
    </xf>
    <xf numFmtId="1" fontId="0" fillId="0" borderId="4" xfId="0" applyNumberFormat="1" applyBorder="1" applyAlignment="1">
      <alignment horizontal="center"/>
    </xf>
    <xf numFmtId="165" fontId="0" fillId="0" borderId="16" xfId="0" applyNumberFormat="1" applyBorder="1" applyAlignment="1">
      <alignment horizontal="center"/>
    </xf>
    <xf numFmtId="0" fontId="0" fillId="0" borderId="6" xfId="0" applyBorder="1" applyAlignment="1">
      <alignment horizontal="right"/>
    </xf>
    <xf numFmtId="0" fontId="0" fillId="0" borderId="14" xfId="0" applyBorder="1"/>
    <xf numFmtId="0" fontId="0" fillId="0" borderId="0" xfId="0" applyAlignment="1">
      <alignment vertical="center" wrapText="1"/>
    </xf>
    <xf numFmtId="1" fontId="0" fillId="0" borderId="1" xfId="1" applyNumberFormat="1" applyFont="1" applyBorder="1" applyAlignment="1">
      <alignment horizontal="center"/>
    </xf>
    <xf numFmtId="1" fontId="0" fillId="0" borderId="8" xfId="1" applyNumberFormat="1" applyFont="1" applyBorder="1" applyAlignment="1">
      <alignment horizontal="center"/>
    </xf>
    <xf numFmtId="1" fontId="0" fillId="0" borderId="4" xfId="1" applyNumberFormat="1" applyFont="1" applyBorder="1" applyAlignment="1">
      <alignment horizontal="center"/>
    </xf>
    <xf numFmtId="1" fontId="0" fillId="0" borderId="18" xfId="0" applyNumberFormat="1" applyBorder="1" applyAlignment="1">
      <alignment horizontal="center"/>
    </xf>
    <xf numFmtId="0" fontId="0" fillId="0" borderId="0" xfId="0" quotePrefix="1"/>
    <xf numFmtId="0" fontId="19" fillId="0" borderId="0" xfId="0" applyFont="1"/>
    <xf numFmtId="0" fontId="27" fillId="3" borderId="3" xfId="0" applyFont="1" applyFill="1" applyBorder="1" applyAlignment="1">
      <alignment horizontal="left" vertical="center"/>
    </xf>
    <xf numFmtId="0" fontId="27" fillId="3" borderId="1" xfId="0" applyFont="1" applyFill="1" applyBorder="1" applyAlignment="1">
      <alignment horizontal="center" vertical="center"/>
    </xf>
    <xf numFmtId="0" fontId="27" fillId="3" borderId="1" xfId="0" applyFont="1" applyFill="1" applyBorder="1" applyAlignment="1">
      <alignment horizontal="center" vertical="center" wrapText="1"/>
    </xf>
    <xf numFmtId="0" fontId="27" fillId="3" borderId="11" xfId="0" applyFont="1" applyFill="1" applyBorder="1" applyAlignment="1">
      <alignment vertical="center"/>
    </xf>
    <xf numFmtId="0" fontId="27" fillId="3" borderId="5" xfId="0" applyFont="1" applyFill="1" applyBorder="1" applyAlignment="1">
      <alignment vertical="center" wrapText="1"/>
    </xf>
    <xf numFmtId="0" fontId="27" fillId="3" borderId="3" xfId="0" applyFont="1" applyFill="1" applyBorder="1" applyAlignment="1">
      <alignment horizontal="center" vertical="center"/>
    </xf>
    <xf numFmtId="0" fontId="27" fillId="3" borderId="4" xfId="0" applyFont="1" applyFill="1" applyBorder="1" applyAlignment="1">
      <alignment horizontal="center"/>
    </xf>
    <xf numFmtId="0" fontId="27" fillId="3" borderId="3" xfId="0" applyFont="1" applyFill="1" applyBorder="1" applyAlignment="1">
      <alignment vertical="center"/>
    </xf>
    <xf numFmtId="0" fontId="27" fillId="3" borderId="11" xfId="0" applyFont="1" applyFill="1" applyBorder="1" applyAlignment="1">
      <alignment vertical="center" wrapText="1"/>
    </xf>
    <xf numFmtId="0" fontId="0" fillId="4" borderId="1" xfId="0" applyFill="1" applyBorder="1" applyAlignment="1" applyProtection="1">
      <alignment horizontal="center"/>
      <protection locked="0"/>
    </xf>
    <xf numFmtId="0" fontId="25" fillId="4" borderId="1" xfId="0" applyFont="1" applyFill="1" applyBorder="1" applyAlignment="1" applyProtection="1">
      <alignment horizontal="center"/>
      <protection locked="0"/>
    </xf>
    <xf numFmtId="0" fontId="0" fillId="4" borderId="8" xfId="0" applyFill="1" applyBorder="1" applyAlignment="1" applyProtection="1">
      <alignment horizontal="center"/>
      <protection locked="0"/>
    </xf>
    <xf numFmtId="0" fontId="0" fillId="4" borderId="4" xfId="0" applyFill="1" applyBorder="1" applyAlignment="1" applyProtection="1">
      <alignment horizontal="center"/>
      <protection locked="0"/>
    </xf>
    <xf numFmtId="0" fontId="29" fillId="4" borderId="1" xfId="0" applyFont="1" applyFill="1" applyBorder="1" applyAlignment="1" applyProtection="1">
      <alignment horizontal="center" vertical="center"/>
      <protection locked="0"/>
    </xf>
    <xf numFmtId="0" fontId="0" fillId="0" borderId="19" xfId="0" applyBorder="1"/>
    <xf numFmtId="0" fontId="19" fillId="0" borderId="0" xfId="0" applyFont="1" applyAlignment="1">
      <alignment horizontal="left"/>
    </xf>
    <xf numFmtId="0" fontId="25" fillId="0" borderId="0" xfId="0" applyFont="1" applyAlignment="1">
      <alignment wrapText="1"/>
    </xf>
    <xf numFmtId="0" fontId="25" fillId="0" borderId="0" xfId="0" applyFont="1" applyAlignment="1">
      <alignment vertical="center" wrapText="1"/>
    </xf>
    <xf numFmtId="171" fontId="0" fillId="0" borderId="1" xfId="0" applyNumberFormat="1" applyBorder="1" applyAlignment="1">
      <alignment horizontal="center"/>
    </xf>
    <xf numFmtId="0" fontId="26" fillId="3" borderId="0" xfId="0" applyFont="1" applyFill="1" applyAlignment="1">
      <alignment horizontal="center"/>
    </xf>
    <xf numFmtId="169" fontId="0" fillId="4" borderId="17" xfId="0" applyNumberFormat="1" applyFill="1" applyBorder="1" applyAlignment="1" applyProtection="1">
      <alignment horizontal="center" vertical="center"/>
      <protection locked="0"/>
    </xf>
    <xf numFmtId="169" fontId="0" fillId="4" borderId="5" xfId="0" applyNumberFormat="1" applyFill="1" applyBorder="1" applyAlignment="1" applyProtection="1">
      <alignment horizontal="center" vertical="center"/>
      <protection locked="0"/>
    </xf>
    <xf numFmtId="169" fontId="0" fillId="4" borderId="4" xfId="0" applyNumberFormat="1" applyFill="1" applyBorder="1" applyAlignment="1" applyProtection="1">
      <alignment horizontal="center" vertical="center"/>
      <protection locked="0"/>
    </xf>
    <xf numFmtId="167" fontId="0" fillId="4" borderId="3" xfId="0" applyNumberFormat="1" applyFill="1" applyBorder="1" applyAlignment="1" applyProtection="1">
      <alignment horizontal="center" vertical="center"/>
      <protection locked="0"/>
    </xf>
    <xf numFmtId="167" fontId="0" fillId="4" borderId="5" xfId="0" applyNumberFormat="1" applyFill="1" applyBorder="1" applyAlignment="1" applyProtection="1">
      <alignment horizontal="center" vertical="center"/>
      <protection locked="0"/>
    </xf>
    <xf numFmtId="167" fontId="0" fillId="4" borderId="16" xfId="0" applyNumberFormat="1" applyFill="1" applyBorder="1" applyAlignment="1" applyProtection="1">
      <alignment horizontal="center" vertical="center"/>
      <protection locked="0"/>
    </xf>
    <xf numFmtId="0" fontId="27" fillId="3" borderId="5"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0" fillId="0" borderId="1" xfId="0" applyBorder="1" applyAlignment="1">
      <alignment horizontal="center"/>
    </xf>
    <xf numFmtId="0" fontId="2" fillId="0" borderId="1" xfId="0" applyFont="1" applyBorder="1" applyAlignment="1">
      <alignment horizontal="left"/>
    </xf>
    <xf numFmtId="0" fontId="27" fillId="3" borderId="9" xfId="0" applyFont="1" applyFill="1" applyBorder="1" applyAlignment="1">
      <alignment horizontal="center" vertical="center" wrapText="1"/>
    </xf>
    <xf numFmtId="0" fontId="27" fillId="3" borderId="11" xfId="0" applyFont="1" applyFill="1" applyBorder="1" applyAlignment="1">
      <alignment horizontal="center" vertical="center" wrapText="1"/>
    </xf>
    <xf numFmtId="0" fontId="0" fillId="4" borderId="5"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27" fillId="3" borderId="9" xfId="0" applyFont="1" applyFill="1" applyBorder="1" applyAlignment="1">
      <alignment horizontal="right" vertical="center"/>
    </xf>
    <xf numFmtId="0" fontId="27" fillId="3" borderId="10" xfId="0" applyFont="1" applyFill="1" applyBorder="1" applyAlignment="1">
      <alignment horizontal="right" vertical="center"/>
    </xf>
    <xf numFmtId="166" fontId="0" fillId="4" borderId="3" xfId="0" applyNumberFormat="1" applyFill="1" applyBorder="1" applyAlignment="1" applyProtection="1">
      <alignment horizontal="center" vertical="center"/>
      <protection locked="0"/>
    </xf>
    <xf numFmtId="166" fontId="0" fillId="4" borderId="5" xfId="0" applyNumberFormat="1" applyFill="1" applyBorder="1" applyAlignment="1" applyProtection="1">
      <alignment horizontal="center" vertical="center"/>
      <protection locked="0"/>
    </xf>
    <xf numFmtId="166" fontId="0" fillId="4" borderId="16" xfId="0" applyNumberFormat="1" applyFill="1" applyBorder="1" applyAlignment="1" applyProtection="1">
      <alignment horizontal="center" vertical="center"/>
      <protection locked="0"/>
    </xf>
    <xf numFmtId="0" fontId="27" fillId="3" borderId="9" xfId="0" applyFont="1" applyFill="1" applyBorder="1" applyAlignment="1">
      <alignment horizontal="right" vertical="center" wrapText="1"/>
    </xf>
    <xf numFmtId="0" fontId="27" fillId="3" borderId="10" xfId="0" applyFont="1" applyFill="1" applyBorder="1" applyAlignment="1">
      <alignment horizontal="right" vertical="center" wrapText="1"/>
    </xf>
    <xf numFmtId="168" fontId="0" fillId="4" borderId="17" xfId="0" applyNumberFormat="1" applyFill="1" applyBorder="1" applyAlignment="1" applyProtection="1">
      <alignment horizontal="center" vertical="center"/>
      <protection locked="0"/>
    </xf>
    <xf numFmtId="168" fontId="0" fillId="4" borderId="5" xfId="0" applyNumberFormat="1" applyFill="1" applyBorder="1" applyAlignment="1" applyProtection="1">
      <alignment horizontal="center" vertical="center"/>
      <protection locked="0"/>
    </xf>
    <xf numFmtId="168" fontId="0" fillId="4" borderId="4" xfId="0" applyNumberFormat="1" applyFill="1" applyBorder="1" applyAlignment="1" applyProtection="1">
      <alignment horizontal="center" vertical="center"/>
      <protection locked="0"/>
    </xf>
    <xf numFmtId="166" fontId="0" fillId="4" borderId="17" xfId="0" applyNumberFormat="1" applyFill="1" applyBorder="1" applyAlignment="1" applyProtection="1">
      <alignment horizontal="center" vertical="center"/>
      <protection locked="0"/>
    </xf>
    <xf numFmtId="166" fontId="0" fillId="4" borderId="4" xfId="0" applyNumberFormat="1" applyFill="1" applyBorder="1" applyAlignment="1" applyProtection="1">
      <alignment horizontal="center" vertical="center"/>
      <protection locked="0"/>
    </xf>
    <xf numFmtId="0" fontId="27" fillId="3" borderId="3" xfId="0" applyFont="1" applyFill="1" applyBorder="1" applyAlignment="1">
      <alignment horizontal="center" vertical="center" wrapText="1"/>
    </xf>
    <xf numFmtId="0" fontId="0" fillId="0" borderId="0" xfId="0" applyAlignment="1">
      <alignment horizontal="left" vertical="center" wrapText="1"/>
    </xf>
    <xf numFmtId="0" fontId="0" fillId="4" borderId="3" xfId="0" applyFill="1" applyBorder="1" applyAlignment="1" applyProtection="1">
      <alignment horizontal="center" vertical="center"/>
      <protection locked="0"/>
    </xf>
    <xf numFmtId="0" fontId="0" fillId="4" borderId="16" xfId="0" applyFill="1" applyBorder="1" applyAlignment="1" applyProtection="1">
      <alignment horizontal="center" vertical="center"/>
      <protection locked="0"/>
    </xf>
    <xf numFmtId="0" fontId="0" fillId="4" borderId="0" xfId="0" applyFill="1" applyAlignment="1">
      <alignment vertical="top" wrapText="1"/>
    </xf>
    <xf numFmtId="0" fontId="0" fillId="0" borderId="2" xfId="0" applyBorder="1" applyAlignment="1">
      <alignment horizontal="left" wrapText="1"/>
    </xf>
    <xf numFmtId="0" fontId="0" fillId="0" borderId="9" xfId="0" applyBorder="1" applyAlignment="1">
      <alignment horizontal="center"/>
    </xf>
    <xf numFmtId="0" fontId="0" fillId="0" borderId="11" xfId="0" applyBorder="1" applyAlignment="1">
      <alignment horizontal="center"/>
    </xf>
    <xf numFmtId="0" fontId="29" fillId="4" borderId="1" xfId="0" applyFont="1" applyFill="1" applyBorder="1" applyAlignment="1" applyProtection="1">
      <alignment horizontal="left"/>
      <protection locked="0"/>
    </xf>
    <xf numFmtId="0" fontId="27" fillId="3" borderId="6" xfId="0" applyFont="1" applyFill="1" applyBorder="1" applyAlignment="1">
      <alignment horizontal="center" vertical="center" wrapText="1"/>
    </xf>
    <xf numFmtId="0" fontId="27" fillId="3" borderId="14" xfId="0" applyFont="1" applyFill="1" applyBorder="1" applyAlignment="1">
      <alignment horizontal="center" vertical="center" wrapText="1"/>
    </xf>
    <xf numFmtId="0" fontId="0" fillId="0" borderId="3" xfId="0" applyBorder="1" applyAlignment="1">
      <alignment horizontal="center"/>
    </xf>
    <xf numFmtId="164" fontId="0" fillId="0" borderId="6" xfId="1" applyFont="1" applyBorder="1" applyAlignment="1">
      <alignment horizontal="center"/>
    </xf>
    <xf numFmtId="164" fontId="0" fillId="0" borderId="14" xfId="1" applyFont="1" applyBorder="1" applyAlignment="1">
      <alignment horizontal="center"/>
    </xf>
    <xf numFmtId="0" fontId="0" fillId="0" borderId="0" xfId="0" applyAlignment="1">
      <alignment horizontal="center"/>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wrapText="1"/>
    </xf>
    <xf numFmtId="0" fontId="0" fillId="0" borderId="0" xfId="0" applyAlignment="1">
      <alignment horizontal="center" wrapText="1"/>
    </xf>
    <xf numFmtId="0" fontId="0" fillId="0" borderId="1" xfId="0" applyBorder="1" applyAlignment="1">
      <alignment horizontal="center" wrapText="1"/>
    </xf>
    <xf numFmtId="0" fontId="22" fillId="0" borderId="0" xfId="0" applyFont="1" applyAlignment="1">
      <alignment horizontal="right"/>
    </xf>
    <xf numFmtId="0" fontId="22" fillId="0" borderId="0" xfId="0" applyFont="1" applyAlignment="1">
      <alignment horizontal="center"/>
    </xf>
    <xf numFmtId="0" fontId="0" fillId="2" borderId="0" xfId="0" applyFill="1" applyAlignment="1">
      <alignment wrapText="1"/>
    </xf>
    <xf numFmtId="0" fontId="0" fillId="0" borderId="0" xfId="0" applyAlignment="1">
      <alignment horizontal="left" vertical="top"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left" wrapText="1"/>
    </xf>
    <xf numFmtId="0" fontId="0" fillId="0" borderId="7" xfId="0" applyBorder="1" applyAlignment="1">
      <alignment horizontal="left" wrapText="1"/>
    </xf>
  </cellXfs>
  <cellStyles count="3">
    <cellStyle name="Komma" xfId="1" builtinId="3"/>
    <cellStyle name="Prozent" xfId="2" builtinId="5"/>
    <cellStyle name="Standard" xfId="0" builtinId="0"/>
  </cellStyles>
  <dxfs count="0"/>
  <tableStyles count="0" defaultTableStyle="TableStyleMedium2" defaultPivotStyle="PivotStyleLight16"/>
  <colors>
    <mruColors>
      <color rgb="FFEBF1DE"/>
      <color rgb="FFE26B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5</xdr:col>
      <xdr:colOff>151494</xdr:colOff>
      <xdr:row>1</xdr:row>
      <xdr:rowOff>41413</xdr:rowOff>
    </xdr:from>
    <xdr:to>
      <xdr:col>6</xdr:col>
      <xdr:colOff>839857</xdr:colOff>
      <xdr:row>9</xdr:row>
      <xdr:rowOff>200094</xdr:rowOff>
    </xdr:to>
    <xdr:pic>
      <xdr:nvPicPr>
        <xdr:cNvPr id="2" name="Grafik 1">
          <a:extLst>
            <a:ext uri="{FF2B5EF4-FFF2-40B4-BE49-F238E27FC236}">
              <a16:creationId xmlns:a16="http://schemas.microsoft.com/office/drawing/2014/main" id="{1E87C93B-044F-7D66-E35B-BD20E4BF2603}"/>
            </a:ext>
          </a:extLst>
        </xdr:cNvPr>
        <xdr:cNvPicPr>
          <a:picLocks noChangeAspect="1"/>
        </xdr:cNvPicPr>
      </xdr:nvPicPr>
      <xdr:blipFill>
        <a:blip xmlns:r="http://schemas.openxmlformats.org/officeDocument/2006/relationships" r:embed="rId1"/>
        <a:stretch>
          <a:fillRect/>
        </a:stretch>
      </xdr:blipFill>
      <xdr:spPr>
        <a:xfrm>
          <a:off x="7233124" y="347870"/>
          <a:ext cx="1952289" cy="2825681"/>
        </a:xfrm>
        <a:prstGeom prst="rect">
          <a:avLst/>
        </a:prstGeom>
      </xdr:spPr>
    </xdr:pic>
    <xdr:clientData/>
  </xdr:twoCellAnchor>
  <xdr:twoCellAnchor editAs="oneCell">
    <xdr:from>
      <xdr:col>7</xdr:col>
      <xdr:colOff>378036</xdr:colOff>
      <xdr:row>1</xdr:row>
      <xdr:rowOff>99392</xdr:rowOff>
    </xdr:from>
    <xdr:to>
      <xdr:col>8</xdr:col>
      <xdr:colOff>516123</xdr:colOff>
      <xdr:row>10</xdr:row>
      <xdr:rowOff>24848</xdr:rowOff>
    </xdr:to>
    <xdr:pic>
      <xdr:nvPicPr>
        <xdr:cNvPr id="3" name="Grafik 2">
          <a:extLst>
            <a:ext uri="{FF2B5EF4-FFF2-40B4-BE49-F238E27FC236}">
              <a16:creationId xmlns:a16="http://schemas.microsoft.com/office/drawing/2014/main" id="{DE9B4262-87C0-EAF9-22A2-DF74D2325A8D}"/>
            </a:ext>
          </a:extLst>
        </xdr:cNvPr>
        <xdr:cNvPicPr>
          <a:picLocks noChangeAspect="1"/>
        </xdr:cNvPicPr>
      </xdr:nvPicPr>
      <xdr:blipFill>
        <a:blip xmlns:r="http://schemas.openxmlformats.org/officeDocument/2006/relationships" r:embed="rId2"/>
        <a:stretch>
          <a:fillRect/>
        </a:stretch>
      </xdr:blipFill>
      <xdr:spPr>
        <a:xfrm>
          <a:off x="10101819" y="405849"/>
          <a:ext cx="1749881" cy="2824369"/>
        </a:xfrm>
        <a:prstGeom prst="rect">
          <a:avLst/>
        </a:prstGeom>
      </xdr:spPr>
    </xdr:pic>
    <xdr:clientData/>
  </xdr:twoCellAnchor>
  <xdr:twoCellAnchor editAs="oneCell">
    <xdr:from>
      <xdr:col>3</xdr:col>
      <xdr:colOff>628728</xdr:colOff>
      <xdr:row>2</xdr:row>
      <xdr:rowOff>157369</xdr:rowOff>
    </xdr:from>
    <xdr:to>
      <xdr:col>5</xdr:col>
      <xdr:colOff>162336</xdr:colOff>
      <xdr:row>5</xdr:row>
      <xdr:rowOff>165653</xdr:rowOff>
    </xdr:to>
    <xdr:pic>
      <xdr:nvPicPr>
        <xdr:cNvPr id="4" name="Grafik 3">
          <a:extLst>
            <a:ext uri="{FF2B5EF4-FFF2-40B4-BE49-F238E27FC236}">
              <a16:creationId xmlns:a16="http://schemas.microsoft.com/office/drawing/2014/main" id="{55EB60A5-7B1E-D6B3-BA79-768E7EF92B04}"/>
            </a:ext>
          </a:extLst>
        </xdr:cNvPr>
        <xdr:cNvPicPr>
          <a:picLocks noChangeAspect="1"/>
        </xdr:cNvPicPr>
      </xdr:nvPicPr>
      <xdr:blipFill>
        <a:blip xmlns:r="http://schemas.openxmlformats.org/officeDocument/2006/relationships" r:embed="rId3"/>
        <a:stretch>
          <a:fillRect/>
        </a:stretch>
      </xdr:blipFill>
      <xdr:spPr>
        <a:xfrm>
          <a:off x="5209011" y="654326"/>
          <a:ext cx="1864748" cy="16399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1085850</xdr:colOff>
      <xdr:row>127</xdr:row>
      <xdr:rowOff>47625</xdr:rowOff>
    </xdr:from>
    <xdr:to>
      <xdr:col>11</xdr:col>
      <xdr:colOff>233946</xdr:colOff>
      <xdr:row>129</xdr:row>
      <xdr:rowOff>57150</xdr:rowOff>
    </xdr:to>
    <xdr:pic>
      <xdr:nvPicPr>
        <xdr:cNvPr id="2" name="Grafik 1">
          <a:extLst>
            <a:ext uri="{FF2B5EF4-FFF2-40B4-BE49-F238E27FC236}">
              <a16:creationId xmlns:a16="http://schemas.microsoft.com/office/drawing/2014/main" id="{B762C8CE-432C-421F-86F6-B60EA8AB45F6}"/>
            </a:ext>
          </a:extLst>
        </xdr:cNvPr>
        <xdr:cNvPicPr>
          <a:picLocks noChangeAspect="1"/>
        </xdr:cNvPicPr>
      </xdr:nvPicPr>
      <xdr:blipFill>
        <a:blip xmlns:r="http://schemas.openxmlformats.org/officeDocument/2006/relationships" r:embed="rId1"/>
        <a:stretch>
          <a:fillRect/>
        </a:stretch>
      </xdr:blipFill>
      <xdr:spPr>
        <a:xfrm>
          <a:off x="11058525" y="25927050"/>
          <a:ext cx="1548396" cy="390525"/>
        </a:xfrm>
        <a:prstGeom prst="rect">
          <a:avLst/>
        </a:prstGeom>
      </xdr:spPr>
    </xdr:pic>
    <xdr:clientData/>
  </xdr:twoCellAnchor>
  <xdr:twoCellAnchor editAs="oneCell">
    <xdr:from>
      <xdr:col>11</xdr:col>
      <xdr:colOff>304800</xdr:colOff>
      <xdr:row>127</xdr:row>
      <xdr:rowOff>19050</xdr:rowOff>
    </xdr:from>
    <xdr:to>
      <xdr:col>12</xdr:col>
      <xdr:colOff>352425</xdr:colOff>
      <xdr:row>129</xdr:row>
      <xdr:rowOff>48939</xdr:rowOff>
    </xdr:to>
    <xdr:pic>
      <xdr:nvPicPr>
        <xdr:cNvPr id="3" name="Grafik 2">
          <a:extLst>
            <a:ext uri="{FF2B5EF4-FFF2-40B4-BE49-F238E27FC236}">
              <a16:creationId xmlns:a16="http://schemas.microsoft.com/office/drawing/2014/main" id="{F8442D51-8A85-4DBC-8E51-E237C5D37A40}"/>
            </a:ext>
          </a:extLst>
        </xdr:cNvPr>
        <xdr:cNvPicPr>
          <a:picLocks noChangeAspect="1"/>
        </xdr:cNvPicPr>
      </xdr:nvPicPr>
      <xdr:blipFill>
        <a:blip xmlns:r="http://schemas.openxmlformats.org/officeDocument/2006/relationships" r:embed="rId2"/>
        <a:stretch>
          <a:fillRect/>
        </a:stretch>
      </xdr:blipFill>
      <xdr:spPr>
        <a:xfrm>
          <a:off x="12677775" y="25898475"/>
          <a:ext cx="1323975" cy="410889"/>
        </a:xfrm>
        <a:prstGeom prst="rect">
          <a:avLst/>
        </a:prstGeom>
      </xdr:spPr>
    </xdr:pic>
    <xdr:clientData/>
  </xdr:twoCellAnchor>
  <xdr:twoCellAnchor editAs="oneCell">
    <xdr:from>
      <xdr:col>13</xdr:col>
      <xdr:colOff>114301</xdr:colOff>
      <xdr:row>127</xdr:row>
      <xdr:rowOff>57150</xdr:rowOff>
    </xdr:from>
    <xdr:to>
      <xdr:col>15</xdr:col>
      <xdr:colOff>136074</xdr:colOff>
      <xdr:row>129</xdr:row>
      <xdr:rowOff>95250</xdr:rowOff>
    </xdr:to>
    <xdr:pic>
      <xdr:nvPicPr>
        <xdr:cNvPr id="4" name="Grafik 3">
          <a:extLst>
            <a:ext uri="{FF2B5EF4-FFF2-40B4-BE49-F238E27FC236}">
              <a16:creationId xmlns:a16="http://schemas.microsoft.com/office/drawing/2014/main" id="{40334AE2-C07F-43DB-91AF-E863718BE703}"/>
            </a:ext>
          </a:extLst>
        </xdr:cNvPr>
        <xdr:cNvPicPr>
          <a:picLocks noChangeAspect="1"/>
        </xdr:cNvPicPr>
      </xdr:nvPicPr>
      <xdr:blipFill>
        <a:blip xmlns:r="http://schemas.openxmlformats.org/officeDocument/2006/relationships" r:embed="rId3"/>
        <a:stretch>
          <a:fillRect/>
        </a:stretch>
      </xdr:blipFill>
      <xdr:spPr>
        <a:xfrm>
          <a:off x="15459076" y="25936575"/>
          <a:ext cx="2260148" cy="419100"/>
        </a:xfrm>
        <a:prstGeom prst="rect">
          <a:avLst/>
        </a:prstGeom>
      </xdr:spPr>
    </xdr:pic>
    <xdr:clientData/>
  </xdr:twoCellAnchor>
  <xdr:twoCellAnchor editAs="oneCell">
    <xdr:from>
      <xdr:col>9</xdr:col>
      <xdr:colOff>152400</xdr:colOff>
      <xdr:row>79</xdr:row>
      <xdr:rowOff>28575</xdr:rowOff>
    </xdr:from>
    <xdr:to>
      <xdr:col>10</xdr:col>
      <xdr:colOff>153</xdr:colOff>
      <xdr:row>80</xdr:row>
      <xdr:rowOff>142918</xdr:rowOff>
    </xdr:to>
    <xdr:pic>
      <xdr:nvPicPr>
        <xdr:cNvPr id="5" name="Grafik 4">
          <a:extLst>
            <a:ext uri="{FF2B5EF4-FFF2-40B4-BE49-F238E27FC236}">
              <a16:creationId xmlns:a16="http://schemas.microsoft.com/office/drawing/2014/main" id="{7C26DF35-98CA-4EF0-B745-3BF87C61B81C}"/>
            </a:ext>
          </a:extLst>
        </xdr:cNvPr>
        <xdr:cNvPicPr>
          <a:picLocks noChangeAspect="1"/>
        </xdr:cNvPicPr>
      </xdr:nvPicPr>
      <xdr:blipFill>
        <a:blip xmlns:r="http://schemas.openxmlformats.org/officeDocument/2006/relationships" r:embed="rId4"/>
        <a:stretch>
          <a:fillRect/>
        </a:stretch>
      </xdr:blipFill>
      <xdr:spPr>
        <a:xfrm>
          <a:off x="10125075" y="16182975"/>
          <a:ext cx="1095528" cy="304843"/>
        </a:xfrm>
        <a:prstGeom prst="rect">
          <a:avLst/>
        </a:prstGeom>
      </xdr:spPr>
    </xdr:pic>
    <xdr:clientData/>
  </xdr:twoCellAnchor>
  <xdr:twoCellAnchor editAs="oneCell">
    <xdr:from>
      <xdr:col>10</xdr:col>
      <xdr:colOff>619126</xdr:colOff>
      <xdr:row>79</xdr:row>
      <xdr:rowOff>47624</xdr:rowOff>
    </xdr:from>
    <xdr:to>
      <xdr:col>12</xdr:col>
      <xdr:colOff>839123</xdr:colOff>
      <xdr:row>82</xdr:row>
      <xdr:rowOff>133350</xdr:rowOff>
    </xdr:to>
    <xdr:pic>
      <xdr:nvPicPr>
        <xdr:cNvPr id="6" name="Grafik 5">
          <a:extLst>
            <a:ext uri="{FF2B5EF4-FFF2-40B4-BE49-F238E27FC236}">
              <a16:creationId xmlns:a16="http://schemas.microsoft.com/office/drawing/2014/main" id="{DEBFAF71-FE58-499D-BD40-4B724706FE0E}"/>
            </a:ext>
          </a:extLst>
        </xdr:cNvPr>
        <xdr:cNvPicPr>
          <a:picLocks noChangeAspect="1"/>
        </xdr:cNvPicPr>
      </xdr:nvPicPr>
      <xdr:blipFill rotWithShape="1">
        <a:blip xmlns:r="http://schemas.openxmlformats.org/officeDocument/2006/relationships" r:embed="rId5"/>
        <a:srcRect t="9744" b="-1"/>
        <a:stretch>
          <a:fillRect/>
        </a:stretch>
      </xdr:blipFill>
      <xdr:spPr>
        <a:xfrm>
          <a:off x="11839576" y="16202024"/>
          <a:ext cx="2648872" cy="65722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1B30E-D90E-43EF-A2C5-E6BB63DC0C51}">
  <sheetPr>
    <pageSetUpPr fitToPage="1"/>
  </sheetPr>
  <dimension ref="A1:J97"/>
  <sheetViews>
    <sheetView showGridLines="0" showRowColHeaders="0" tabSelected="1" showWhiteSpace="0" topLeftCell="A3" zoomScale="115" zoomScaleNormal="115" workbookViewId="0">
      <selection activeCell="B6" sqref="B6"/>
    </sheetView>
  </sheetViews>
  <sheetFormatPr baseColWidth="10" defaultColWidth="11.5703125" defaultRowHeight="15" x14ac:dyDescent="0.25"/>
  <cols>
    <col min="1" max="1" width="36.85546875" customWidth="1"/>
    <col min="2" max="2" width="16.85546875" customWidth="1"/>
    <col min="3" max="3" width="19" customWidth="1"/>
    <col min="4" max="4" width="12.7109375" customWidth="1"/>
    <col min="5" max="5" width="21.85546875" customWidth="1"/>
    <col min="6" max="6" width="18.42578125" customWidth="1"/>
    <col min="7" max="7" width="20.7109375" customWidth="1"/>
    <col min="8" max="8" width="23.5703125" customWidth="1"/>
    <col min="9" max="9" width="20.7109375" customWidth="1"/>
    <col min="10" max="10" width="12.7109375" bestFit="1" customWidth="1"/>
    <col min="11" max="11" width="10.42578125" bestFit="1" customWidth="1"/>
    <col min="12" max="12" width="10.85546875" bestFit="1" customWidth="1"/>
  </cols>
  <sheetData>
    <row r="1" spans="1:10" ht="24" x14ac:dyDescent="0.4">
      <c r="A1" s="169" t="str">
        <f>HLOOKUP(I1,Übersetzungen!A1:D2,2,FALSE)</f>
        <v>Belastungswerte EVO-GRIP-Verbinder "Standard Variante" nach ETA-25/0702 Zulassung (2025-08-27)</v>
      </c>
      <c r="B1" s="169"/>
      <c r="C1" s="169"/>
      <c r="D1" s="169"/>
      <c r="E1" s="169"/>
      <c r="F1" s="169"/>
      <c r="G1" s="169"/>
      <c r="H1" s="57" t="s">
        <v>74</v>
      </c>
      <c r="I1" s="163" t="s">
        <v>118</v>
      </c>
      <c r="J1" s="57" t="s">
        <v>70</v>
      </c>
    </row>
    <row r="2" spans="1:10" x14ac:dyDescent="0.25">
      <c r="J2" s="57" t="s">
        <v>430</v>
      </c>
    </row>
    <row r="3" spans="1:10" ht="98.25" customHeight="1" x14ac:dyDescent="0.4">
      <c r="A3" s="165" t="str">
        <f>HLOOKUP(I1,Übersetzungen!A1:D21,4,FALSE)</f>
        <v>NEBENTRÄGER</v>
      </c>
      <c r="B3" s="28"/>
      <c r="C3" s="28"/>
      <c r="D3" s="28"/>
      <c r="E3" s="28"/>
      <c r="F3" s="28"/>
      <c r="G3" s="28"/>
      <c r="H3" s="28"/>
      <c r="I3" s="28"/>
    </row>
    <row r="4" spans="1:10" x14ac:dyDescent="0.25">
      <c r="A4" t="str">
        <f>HLOOKUP($I$1,Übersetzungen!$A$1:$D$41,41,FALSE)</f>
        <v>Holzsortierklasse :</v>
      </c>
      <c r="B4" s="160" t="s">
        <v>193</v>
      </c>
    </row>
    <row r="5" spans="1:10" x14ac:dyDescent="0.25">
      <c r="A5" t="str">
        <f>HLOOKUP($I$1,Übersetzungen!$A$1:$D$42,42,FALSE)</f>
        <v>Charakteristische Rohdichte:</v>
      </c>
      <c r="B5" s="168">
        <f>VLOOKUP(Belastungstabelle_Website!B4,Herleitung!$S$45:$T$52,2,FALSE)</f>
        <v>385</v>
      </c>
      <c r="C5" s="125"/>
    </row>
    <row r="6" spans="1:10" x14ac:dyDescent="0.25">
      <c r="A6" t="str">
        <f>HLOOKUP($I$1,Übersetzungen!$A$1:$D$43,43,FALSE)</f>
        <v>Klasse der Einwirkungsdauer:</v>
      </c>
      <c r="B6" s="160" t="s">
        <v>131</v>
      </c>
      <c r="C6" s="2"/>
    </row>
    <row r="7" spans="1:10" x14ac:dyDescent="0.25">
      <c r="A7" t="str">
        <f>HLOOKUP($I$1,Übersetzungen!$A$1:$D$44,44,FALSE)</f>
        <v>Modifikationsbeiwert kmod:</v>
      </c>
      <c r="B7" s="4">
        <f>VLOOKUP(B6,Herleitung!W57:X62,2,FALSE)</f>
        <v>0.8</v>
      </c>
    </row>
    <row r="8" spans="1:10" ht="18" x14ac:dyDescent="0.35">
      <c r="A8" t="str">
        <f>HLOOKUP(Belastungstabelle_Website!$I$1,Übersetzungen!$A$1:D55,55,FALSE)</f>
        <v>Sicherheitsbeiwert Holz:</v>
      </c>
      <c r="B8" s="160">
        <v>1.3</v>
      </c>
      <c r="C8" s="148" t="s">
        <v>374</v>
      </c>
      <c r="D8" s="2"/>
      <c r="E8" s="2"/>
    </row>
    <row r="9" spans="1:10" ht="18" x14ac:dyDescent="0.35">
      <c r="A9" t="str">
        <f>HLOOKUP(Belastungstabelle_Website!$I$1,Übersetzungen!$A$1:D56,56,FALSE)</f>
        <v>Sicherheitsbeiwert ALU:</v>
      </c>
      <c r="B9" s="160">
        <v>1.25</v>
      </c>
      <c r="C9" s="148" t="s">
        <v>375</v>
      </c>
      <c r="D9" s="2"/>
      <c r="E9" s="2"/>
    </row>
    <row r="10" spans="1:10" ht="18" x14ac:dyDescent="0.35">
      <c r="A10" t="str">
        <f>HLOOKUP(Belastungstabelle_Website!$I$1,Übersetzungen!$A$1:D57,57,FALSE)</f>
        <v>Sicherheitsbeiwert Stahl:</v>
      </c>
      <c r="B10" s="160">
        <v>1.1000000000000001</v>
      </c>
      <c r="C10" s="148" t="s">
        <v>376</v>
      </c>
      <c r="D10" s="178" t="str">
        <f>IF($I$1=Übersetzungen!$A$1,"",$I$1)</f>
        <v/>
      </c>
      <c r="E10" s="178"/>
    </row>
    <row r="11" spans="1:10" x14ac:dyDescent="0.25">
      <c r="A11" t="str">
        <f>HLOOKUP($I$1,Übersetzungen!$A$1:$D$45,45,FALSE)</f>
        <v>Ausgabe der Belastungswerte:</v>
      </c>
      <c r="B11" s="204" t="s">
        <v>166</v>
      </c>
      <c r="C11" s="204"/>
      <c r="D11" s="202" t="str">
        <f>IF($I$1=Übersetzungen!$A$1,"",IF(Belastungstabelle_Website!$I$1=Übersetzungen!$B$1,VLOOKUP(Belastungstabelle_Website!$B$11,Übersetzungen!$A$52:$B$53,2,FALSE),IF(Belastungstabelle_Website!$I$1=Übersetzungen!$C$1,VLOOKUP(Belastungstabelle_Website!$B$11,Übersetzungen!$A$52:$C$53,3,FALSE),VLOOKUP(Belastungstabelle_Website!$B$11,Übersetzungen!$A$52:$D$53,4,FALSE))))</f>
        <v/>
      </c>
      <c r="E11" s="203"/>
      <c r="F11" s="2" t="str">
        <f>A37</f>
        <v>HAUPTTRÄGER</v>
      </c>
      <c r="G11" t="str">
        <f>A3</f>
        <v>NEBENTRÄGER</v>
      </c>
      <c r="H11" s="2" t="str">
        <f>A66</f>
        <v>STÜTZE</v>
      </c>
      <c r="I11" t="str">
        <f>A3</f>
        <v>NEBENTRÄGER</v>
      </c>
    </row>
    <row r="12" spans="1:10" x14ac:dyDescent="0.25">
      <c r="A12" s="63"/>
      <c r="B12" s="1"/>
    </row>
    <row r="13" spans="1:10" ht="30.75" customHeight="1" x14ac:dyDescent="0.25">
      <c r="A13" s="150" t="str">
        <f>HLOOKUP(I1,Übersetzungen!A1:D22,5,FALSE)</f>
        <v>EVO-Grip-Größen (4)</v>
      </c>
      <c r="B13" s="205" t="str">
        <f>HLOOKUP(I1,Übersetzungen!A1:D23,6,FALSE)</f>
        <v>45° Schrägschrauben</v>
      </c>
      <c r="C13" s="206"/>
      <c r="D13" s="180" t="str">
        <f>HLOOKUP(I1,Übersetzungen!A1:D24,7,FALSE)</f>
        <v>90° Horizontal-Schrauben</v>
      </c>
      <c r="E13" s="181"/>
      <c r="F13" s="152" t="str">
        <f>HLOOKUP(I1,Übersetzungen!A1:D25,8,FALSE)</f>
        <v>Einbauhöhe</v>
      </c>
      <c r="G13" s="152" t="str">
        <f>HLOOKUP($I$1,Übersetzungen!$A$1:$D$54,54,FALSE)</f>
        <v>Tragfähigkeit Aluminium</v>
      </c>
      <c r="H13" s="184" t="str">
        <f>HLOOKUP(I1,Übersetzungen!A1:D25,9,FALSE)</f>
        <v>Belastungswerte in Sortierklasse:</v>
      </c>
      <c r="I13" s="185"/>
      <c r="J13" s="153" t="str">
        <f>B4</f>
        <v>GL24h</v>
      </c>
    </row>
    <row r="14" spans="1:10" ht="32.25" customHeight="1" x14ac:dyDescent="0.25">
      <c r="A14" s="154" t="str">
        <f>HLOOKUP(I1,Übersetzungen!A1:D25,10,FALSE)</f>
        <v>H x B x T (Höhe x Breite x Tiefe)</v>
      </c>
      <c r="B14" s="196" t="str">
        <f>HLOOKUP($I$1,Übersetzungen!$A$1:$D$25,11,FALSE)</f>
        <v>Anzahl</v>
      </c>
      <c r="C14" s="196" t="str">
        <f>HLOOKUP($I$1,Übersetzungen!$A$1:$D$25,12,FALSE)</f>
        <v>Durchmesser x Länge</v>
      </c>
      <c r="D14" s="196" t="str">
        <f>HLOOKUP($I$1,Übersetzungen!$A$1:$D$25,11,FALSE)</f>
        <v>Anzahl</v>
      </c>
      <c r="E14" s="196" t="str">
        <f>HLOOKUP($I$1,Übersetzungen!$A$1:$D$25,12,FALSE)</f>
        <v>Durchmesser x Länge</v>
      </c>
      <c r="F14" s="155" t="str">
        <f>HLOOKUP(I1,Übersetzungen!A1:D26,13,FALSE)</f>
        <v>ho</v>
      </c>
      <c r="G14" s="155" t="str">
        <f>IF($B$11=Herleitung!$S$39,"F2,alu,Rk","F2,alu,Rd")</f>
        <v>F2,alu,Rd</v>
      </c>
      <c r="H14" s="155" t="str">
        <f>IF($B$11=Herleitung!$S$39,"F2,J,screw,Rk  (1)","F2,J,screw,Rd  (1)")</f>
        <v>F2,J,screw,Rd  (1)</v>
      </c>
      <c r="I14" s="155" t="str">
        <f>IF($B$11=Herleitung!$S$39,"F2,J,tau,Rk  (2)","F2,J,tau,Rd  (2)")</f>
        <v>F2,J,tau,Rd  (2)</v>
      </c>
      <c r="J14" s="155" t="str">
        <f>IF($B$11=Herleitung!$S$39,"F2,J,Rk  (3)","F2,J,Rd  (3)")</f>
        <v>F2,J,Rd  (3)</v>
      </c>
    </row>
    <row r="15" spans="1:10" ht="15.75" x14ac:dyDescent="0.25">
      <c r="A15" s="156" t="s">
        <v>0</v>
      </c>
      <c r="B15" s="177"/>
      <c r="C15" s="177"/>
      <c r="D15" s="177"/>
      <c r="E15" s="177"/>
      <c r="F15" s="156" t="s">
        <v>0</v>
      </c>
      <c r="G15" s="156" t="s">
        <v>1</v>
      </c>
      <c r="H15" s="156" t="s">
        <v>1</v>
      </c>
      <c r="I15" s="156" t="s">
        <v>1</v>
      </c>
      <c r="J15" s="156" t="s">
        <v>1</v>
      </c>
    </row>
    <row r="16" spans="1:10" x14ac:dyDescent="0.25">
      <c r="A16" s="3" t="s">
        <v>3</v>
      </c>
      <c r="B16" s="126">
        <v>4</v>
      </c>
      <c r="C16" s="198" t="s">
        <v>176</v>
      </c>
      <c r="D16" s="126">
        <v>3</v>
      </c>
      <c r="E16" s="198" t="s">
        <v>177</v>
      </c>
      <c r="F16" s="159">
        <v>60</v>
      </c>
      <c r="G16" s="25">
        <f>Herleitung!$J17</f>
        <v>192</v>
      </c>
      <c r="H16" s="25">
        <f>Herleitung!P17</f>
        <v>33.996619261191306</v>
      </c>
      <c r="I16" s="25">
        <f>Herleitung!Q17</f>
        <v>35.535950769230773</v>
      </c>
      <c r="J16" s="20">
        <f>MIN(G16:I16)</f>
        <v>33.996619261191306</v>
      </c>
    </row>
    <row r="17" spans="1:10" x14ac:dyDescent="0.25">
      <c r="A17" s="3" t="s">
        <v>4</v>
      </c>
      <c r="B17" s="126">
        <v>6</v>
      </c>
      <c r="C17" s="182"/>
      <c r="D17" s="126">
        <v>3</v>
      </c>
      <c r="E17" s="182"/>
      <c r="F17" s="159">
        <v>100</v>
      </c>
      <c r="G17" s="25">
        <f>Herleitung!J18</f>
        <v>320</v>
      </c>
      <c r="H17" s="25">
        <f>Herleitung!P18</f>
        <v>50.994928891786955</v>
      </c>
      <c r="I17" s="25">
        <f>Herleitung!Q18</f>
        <v>42.436135384615383</v>
      </c>
      <c r="J17" s="20">
        <f t="shared" ref="J17:J30" si="0">MIN(G17:I17)</f>
        <v>42.436135384615383</v>
      </c>
    </row>
    <row r="18" spans="1:10" x14ac:dyDescent="0.25">
      <c r="A18" s="3" t="s">
        <v>5</v>
      </c>
      <c r="B18" s="126">
        <v>8</v>
      </c>
      <c r="C18" s="182"/>
      <c r="D18" s="126">
        <v>3</v>
      </c>
      <c r="E18" s="182"/>
      <c r="F18" s="159">
        <v>140</v>
      </c>
      <c r="G18" s="25">
        <f>Herleitung!J19</f>
        <v>448</v>
      </c>
      <c r="H18" s="25">
        <f>Herleitung!P19</f>
        <v>67.993238522382612</v>
      </c>
      <c r="I18" s="25">
        <f>Herleitung!Q19</f>
        <v>49.336320000000001</v>
      </c>
      <c r="J18" s="20">
        <f t="shared" si="0"/>
        <v>49.336320000000001</v>
      </c>
    </row>
    <row r="19" spans="1:10" ht="15.75" thickBot="1" x14ac:dyDescent="0.3">
      <c r="A19" s="10" t="s">
        <v>20</v>
      </c>
      <c r="B19" s="138">
        <v>8</v>
      </c>
      <c r="C19" s="199"/>
      <c r="D19" s="138">
        <v>3</v>
      </c>
      <c r="E19" s="199"/>
      <c r="F19" s="161">
        <v>150</v>
      </c>
      <c r="G19" s="26">
        <f>Herleitung!J20</f>
        <v>576</v>
      </c>
      <c r="H19" s="26">
        <f>Herleitung!P20</f>
        <v>67.993238522382612</v>
      </c>
      <c r="I19" s="26">
        <f>Herleitung!Q20</f>
        <v>51.061366153846151</v>
      </c>
      <c r="J19" s="21">
        <f t="shared" si="0"/>
        <v>51.061366153846151</v>
      </c>
    </row>
    <row r="20" spans="1:10" ht="15.75" thickTop="1" x14ac:dyDescent="0.25">
      <c r="A20" s="7" t="s">
        <v>6</v>
      </c>
      <c r="B20" s="139">
        <v>8</v>
      </c>
      <c r="C20" s="182" t="s">
        <v>177</v>
      </c>
      <c r="D20" s="139">
        <v>4</v>
      </c>
      <c r="E20" s="182" t="s">
        <v>177</v>
      </c>
      <c r="F20" s="162">
        <v>60</v>
      </c>
      <c r="G20" s="27">
        <f>Herleitung!J21</f>
        <v>240</v>
      </c>
      <c r="H20" s="27">
        <f>Herleitung!P21</f>
        <v>81.650543226303299</v>
      </c>
      <c r="I20" s="27">
        <f>Herleitung!Q21</f>
        <v>98.304000000000002</v>
      </c>
      <c r="J20" s="22">
        <f t="shared" si="0"/>
        <v>81.650543226303299</v>
      </c>
    </row>
    <row r="21" spans="1:10" x14ac:dyDescent="0.25">
      <c r="A21" s="3" t="s">
        <v>7</v>
      </c>
      <c r="B21" s="126">
        <v>10</v>
      </c>
      <c r="C21" s="182"/>
      <c r="D21" s="126">
        <v>4</v>
      </c>
      <c r="E21" s="182"/>
      <c r="F21" s="159">
        <v>100</v>
      </c>
      <c r="G21" s="25">
        <f>Herleitung!J22</f>
        <v>400</v>
      </c>
      <c r="H21" s="27">
        <f>Herleitung!P22</f>
        <v>102.06317903287913</v>
      </c>
      <c r="I21" s="27">
        <f>Herleitung!Q22</f>
        <v>110.592</v>
      </c>
      <c r="J21" s="20">
        <f t="shared" si="0"/>
        <v>102.06317903287913</v>
      </c>
    </row>
    <row r="22" spans="1:10" x14ac:dyDescent="0.25">
      <c r="A22" s="3" t="s">
        <v>8</v>
      </c>
      <c r="B22" s="126">
        <v>12</v>
      </c>
      <c r="C22" s="182"/>
      <c r="D22" s="126">
        <v>4</v>
      </c>
      <c r="E22" s="182"/>
      <c r="F22" s="159">
        <v>140</v>
      </c>
      <c r="G22" s="25">
        <f>Herleitung!J23</f>
        <v>560</v>
      </c>
      <c r="H22" s="27">
        <f>Herleitung!P23</f>
        <v>122.47581483945496</v>
      </c>
      <c r="I22" s="27">
        <f>Herleitung!Q23</f>
        <v>122.88</v>
      </c>
      <c r="J22" s="20">
        <f t="shared" si="0"/>
        <v>122.47581483945496</v>
      </c>
    </row>
    <row r="23" spans="1:10" ht="15.75" thickBot="1" x14ac:dyDescent="0.3">
      <c r="A23" s="10" t="s">
        <v>21</v>
      </c>
      <c r="B23" s="138">
        <v>14</v>
      </c>
      <c r="C23" s="199"/>
      <c r="D23" s="138">
        <v>4</v>
      </c>
      <c r="E23" s="199"/>
      <c r="F23" s="161">
        <v>180</v>
      </c>
      <c r="G23" s="26">
        <f>Herleitung!J24</f>
        <v>720</v>
      </c>
      <c r="H23" s="140">
        <f>Herleitung!P24</f>
        <v>142.88845064603078</v>
      </c>
      <c r="I23" s="140">
        <f>Herleitung!Q24</f>
        <v>135.16800000000001</v>
      </c>
      <c r="J23" s="21">
        <f t="shared" si="0"/>
        <v>135.16800000000001</v>
      </c>
    </row>
    <row r="24" spans="1:10" ht="15.75" thickTop="1" x14ac:dyDescent="0.25">
      <c r="A24" s="7" t="s">
        <v>9</v>
      </c>
      <c r="B24" s="139">
        <v>12</v>
      </c>
      <c r="C24" s="182" t="s">
        <v>178</v>
      </c>
      <c r="D24" s="147">
        <v>6</v>
      </c>
      <c r="E24" s="182" t="s">
        <v>177</v>
      </c>
      <c r="F24" s="162">
        <v>60</v>
      </c>
      <c r="G24" s="27">
        <f>Herleitung!J25</f>
        <v>384</v>
      </c>
      <c r="H24" s="27">
        <f>Herleitung!P25</f>
        <v>171.57172337423646</v>
      </c>
      <c r="I24" s="27">
        <f>Herleitung!Q25</f>
        <v>217.4030769230769</v>
      </c>
      <c r="J24" s="22">
        <f t="shared" si="0"/>
        <v>171.57172337423646</v>
      </c>
    </row>
    <row r="25" spans="1:10" x14ac:dyDescent="0.25">
      <c r="A25" s="3" t="s">
        <v>10</v>
      </c>
      <c r="B25" s="139">
        <v>20</v>
      </c>
      <c r="C25" s="182"/>
      <c r="D25" s="126">
        <v>6</v>
      </c>
      <c r="E25" s="182"/>
      <c r="F25" s="162">
        <v>240</v>
      </c>
      <c r="G25" s="25">
        <f>Herleitung!J26</f>
        <v>800</v>
      </c>
      <c r="H25" s="27">
        <f>Herleitung!P26</f>
        <v>285.95287229039411</v>
      </c>
      <c r="I25" s="27">
        <f>Herleitung!Q26</f>
        <v>238.27692307692305</v>
      </c>
      <c r="J25" s="20">
        <f t="shared" si="0"/>
        <v>238.27692307692305</v>
      </c>
    </row>
    <row r="26" spans="1:10" x14ac:dyDescent="0.25">
      <c r="A26" s="3" t="s">
        <v>11</v>
      </c>
      <c r="B26" s="139">
        <v>20</v>
      </c>
      <c r="C26" s="182"/>
      <c r="D26" s="126">
        <v>6</v>
      </c>
      <c r="E26" s="182"/>
      <c r="F26" s="159">
        <v>140</v>
      </c>
      <c r="G26" s="25">
        <f>Herleitung!J27</f>
        <v>896</v>
      </c>
      <c r="H26" s="27">
        <f>Herleitung!P27</f>
        <v>285.95287229039411</v>
      </c>
      <c r="I26" s="27">
        <f>Herleitung!Q27</f>
        <v>255.21230769230766</v>
      </c>
      <c r="J26" s="20">
        <f t="shared" si="0"/>
        <v>255.21230769230766</v>
      </c>
    </row>
    <row r="27" spans="1:10" x14ac:dyDescent="0.25">
      <c r="A27" s="3" t="s">
        <v>16</v>
      </c>
      <c r="B27" s="139">
        <v>20</v>
      </c>
      <c r="C27" s="182"/>
      <c r="D27" s="126">
        <v>6</v>
      </c>
      <c r="E27" s="182"/>
      <c r="F27" s="159">
        <v>180</v>
      </c>
      <c r="G27" s="25">
        <f>Herleitung!J28</f>
        <v>1152</v>
      </c>
      <c r="H27" s="27">
        <f>Herleitung!P28</f>
        <v>285.95287229039411</v>
      </c>
      <c r="I27" s="27">
        <f>Herleitung!Q28</f>
        <v>274.11692307692306</v>
      </c>
      <c r="J27" s="20">
        <f t="shared" si="0"/>
        <v>274.11692307692306</v>
      </c>
    </row>
    <row r="28" spans="1:10" x14ac:dyDescent="0.25">
      <c r="A28" s="3" t="s">
        <v>17</v>
      </c>
      <c r="B28" s="139">
        <v>22</v>
      </c>
      <c r="C28" s="182"/>
      <c r="D28" s="126">
        <v>6</v>
      </c>
      <c r="E28" s="182"/>
      <c r="F28" s="159">
        <v>220</v>
      </c>
      <c r="G28" s="25">
        <f>Herleitung!J29</f>
        <v>1408</v>
      </c>
      <c r="H28" s="27">
        <f>Herleitung!P29</f>
        <v>314.54815951943351</v>
      </c>
      <c r="I28" s="27">
        <f>Herleitung!Q29</f>
        <v>293.0215384615384</v>
      </c>
      <c r="J28" s="20">
        <f t="shared" si="0"/>
        <v>293.0215384615384</v>
      </c>
    </row>
    <row r="29" spans="1:10" x14ac:dyDescent="0.25">
      <c r="A29" s="3" t="s">
        <v>18</v>
      </c>
      <c r="B29" s="139">
        <v>24</v>
      </c>
      <c r="C29" s="182"/>
      <c r="D29" s="126">
        <v>6</v>
      </c>
      <c r="E29" s="182"/>
      <c r="F29" s="159">
        <v>260</v>
      </c>
      <c r="G29" s="25">
        <f>Herleitung!J30</f>
        <v>1664</v>
      </c>
      <c r="H29" s="27">
        <f>Herleitung!P30</f>
        <v>343.14344674847291</v>
      </c>
      <c r="I29" s="27">
        <f>Herleitung!Q30</f>
        <v>311.92615384615385</v>
      </c>
      <c r="J29" s="20">
        <f t="shared" si="0"/>
        <v>311.92615384615385</v>
      </c>
    </row>
    <row r="30" spans="1:10" x14ac:dyDescent="0.25">
      <c r="A30" s="3" t="s">
        <v>19</v>
      </c>
      <c r="B30" s="139">
        <v>24</v>
      </c>
      <c r="C30" s="183"/>
      <c r="D30" s="126">
        <v>6</v>
      </c>
      <c r="E30" s="183"/>
      <c r="F30" s="159">
        <v>300</v>
      </c>
      <c r="G30" s="25">
        <f>Herleitung!J31</f>
        <v>1920</v>
      </c>
      <c r="H30" s="27">
        <f>Herleitung!P31</f>
        <v>343.14344674847291</v>
      </c>
      <c r="I30" s="27">
        <f>Herleitung!Q31</f>
        <v>330.83076923076919</v>
      </c>
      <c r="J30" s="20">
        <f t="shared" si="0"/>
        <v>330.83076923076919</v>
      </c>
    </row>
    <row r="31" spans="1:10" ht="32.25" customHeight="1" x14ac:dyDescent="0.25">
      <c r="A31" s="201" t="str">
        <f>HLOOKUP(I1,Übersetzungen!A1:D27,14,FALSE)</f>
        <v>1) … Querkrafttragfähigkeit der 45° Schrauben und dem Reibbeiwert der Verbinderplatte; Belastungswert abhängig von Schraubenlänge der 45° Schrägschrauben und der Holzsortierklasse</v>
      </c>
      <c r="B31" s="201"/>
      <c r="C31" s="201"/>
      <c r="D31" s="201"/>
      <c r="E31" s="201"/>
      <c r="F31" s="201"/>
      <c r="G31" s="201"/>
      <c r="H31" s="201"/>
      <c r="I31" s="201"/>
    </row>
    <row r="32" spans="1:10" ht="37.5" customHeight="1" x14ac:dyDescent="0.25">
      <c r="A32" s="197" t="str">
        <f>HLOOKUP(I1,Übersetzungen!A1:D28,15,FALSE)</f>
        <v>2) … Querkrafttragfähigkeit vom Holz in Folge von Rollschub und Querdruck im Nebenträger; Belastungswert abhängig von Einbauhöhe h0</v>
      </c>
      <c r="B32" s="197"/>
      <c r="C32" s="197"/>
      <c r="D32" s="197"/>
      <c r="E32" s="197"/>
      <c r="F32" s="197"/>
      <c r="G32" s="197"/>
      <c r="H32" s="197"/>
      <c r="I32" s="197"/>
    </row>
    <row r="33" spans="1:10" x14ac:dyDescent="0.25">
      <c r="A33" s="164" t="str">
        <f>HLOOKUP(I1,Übersetzungen!A1:D29,16,FALSE)</f>
        <v xml:space="preserve">3) … Min.-Wert von F_2,alu,Rk ; F_2,J,screw,Rk und F_2,J,tau,Rk </v>
      </c>
      <c r="C33" s="31"/>
      <c r="D33" s="31"/>
      <c r="E33" s="32"/>
      <c r="F33" s="2"/>
      <c r="G33" s="33"/>
      <c r="H33" s="33"/>
      <c r="I33" s="34"/>
    </row>
    <row r="34" spans="1:10" x14ac:dyDescent="0.25">
      <c r="A34" s="41" t="str">
        <f>HLOOKUP($I$1,Übersetzungen!$A$1:$D$58,58,FALSE)</f>
        <v>4) … Mindestholzbreite  Nebenträger:  Verbinderbreite B + 40 mm</v>
      </c>
      <c r="C34" s="31"/>
      <c r="D34" s="31"/>
      <c r="E34" s="32"/>
      <c r="F34" s="2"/>
      <c r="G34" s="33"/>
      <c r="H34" s="33"/>
      <c r="I34" s="34"/>
    </row>
    <row r="35" spans="1:10" x14ac:dyDescent="0.25">
      <c r="C35" s="31"/>
      <c r="D35" s="31"/>
      <c r="E35" s="32"/>
      <c r="F35" s="2"/>
      <c r="G35" s="33"/>
      <c r="H35" s="33"/>
      <c r="I35" s="34"/>
    </row>
    <row r="37" spans="1:10" ht="24" x14ac:dyDescent="0.4">
      <c r="A37" s="149" t="str">
        <f>HLOOKUP(I1,Übersetzungen!A1:D30,17,FALSE)</f>
        <v>HAUPTTRÄGER</v>
      </c>
      <c r="B37" s="1"/>
    </row>
    <row r="38" spans="1:10" x14ac:dyDescent="0.25">
      <c r="A38" t="str">
        <f>HLOOKUP($I$1,Übersetzungen!$A$1:$D$41,41,FALSE)</f>
        <v>Holzsortierklasse :</v>
      </c>
      <c r="B38" s="159" t="s">
        <v>193</v>
      </c>
    </row>
    <row r="39" spans="1:10" x14ac:dyDescent="0.25">
      <c r="A39" t="str">
        <f>HLOOKUP($I$1,Übersetzungen!$A$1:$D$42,42,FALSE)</f>
        <v>Charakteristische Rohdichte:</v>
      </c>
      <c r="B39" s="168">
        <f>VLOOKUP(Belastungstabelle_Website!B38,Herleitung!$S$45:$T$52,2,FALSE)</f>
        <v>385</v>
      </c>
      <c r="C39" s="125"/>
    </row>
    <row r="40" spans="1:10" x14ac:dyDescent="0.25">
      <c r="A40" t="str">
        <f>HLOOKUP($I$1,Übersetzungen!$A$1:$D$43,43,FALSE)</f>
        <v>Klasse der Einwirkungsdauer:</v>
      </c>
      <c r="B40" s="4" t="str">
        <f>$B$6</f>
        <v>Mittel</v>
      </c>
      <c r="C40" s="2"/>
    </row>
    <row r="41" spans="1:10" x14ac:dyDescent="0.25">
      <c r="A41" t="str">
        <f>HLOOKUP($I$1,Übersetzungen!$A$1:$D$44,44,FALSE)</f>
        <v>Modifikationsbeiwert kmod:</v>
      </c>
      <c r="B41" s="4">
        <f>$B$7</f>
        <v>0.8</v>
      </c>
      <c r="D41" s="178" t="str">
        <f>IF($I$1=Übersetzungen!$A$1,"",$I$1)</f>
        <v/>
      </c>
      <c r="E41" s="178"/>
    </row>
    <row r="42" spans="1:10" x14ac:dyDescent="0.25">
      <c r="A42" t="str">
        <f>HLOOKUP($I$1,Übersetzungen!$A$1:$D$45,45,FALSE)</f>
        <v>Ausgabe der Belastungswerte:</v>
      </c>
      <c r="B42" s="179" t="str">
        <f>$B$11</f>
        <v>Bemessungswerte</v>
      </c>
      <c r="C42" s="179"/>
      <c r="D42" s="178" t="str">
        <f>IF($I$1=Übersetzungen!$A$1,"",IF(Belastungstabelle_Website!$I$1=Übersetzungen!$B$1,VLOOKUP(Belastungstabelle_Website!$B$11,Übersetzungen!$A$52:$B$53,2,FALSE),IF(Belastungstabelle_Website!$I$1=Übersetzungen!$C$1,VLOOKUP(Belastungstabelle_Website!$B$11,Übersetzungen!$A$52:$C$53,3,FALSE),VLOOKUP(Belastungstabelle_Website!$B$11,Übersetzungen!$A$52:$D$53,4,FALSE))))</f>
        <v/>
      </c>
      <c r="E42" s="178"/>
    </row>
    <row r="43" spans="1:10" x14ac:dyDescent="0.25">
      <c r="A43" s="1"/>
      <c r="B43" s="1"/>
    </row>
    <row r="44" spans="1:10" ht="31.5" x14ac:dyDescent="0.25">
      <c r="A44" s="157" t="str">
        <f>HLOOKUP(I1,Übersetzungen!A1:D31,18,FALSE)</f>
        <v>EVO-Grip-Größen</v>
      </c>
      <c r="B44" s="180" t="str">
        <f>HLOOKUP(I1,Übersetzungen!A1:D32,19,FALSE)</f>
        <v>45° Schrägschrauben</v>
      </c>
      <c r="C44" s="181"/>
      <c r="D44" s="180" t="str">
        <f>HLOOKUP(I1,Übersetzungen!A1:D33,20,FALSE)</f>
        <v>90° Horizontal-Schrauben</v>
      </c>
      <c r="E44" s="181"/>
      <c r="F44" s="151" t="str">
        <f>HLOOKUP(I1,Übersetzungen!A1:D34,21,FALSE)</f>
        <v>Untere Höhe</v>
      </c>
      <c r="G44" s="152" t="str">
        <f>HLOOKUP($I$1,Übersetzungen!$A$1:$D$54,54,FALSE)</f>
        <v>Tragfähigkeit Aluminium</v>
      </c>
      <c r="H44" s="184" t="str">
        <f>HLOOKUP(I1,Übersetzungen!A1:D35,22,FALSE)</f>
        <v>Belastungswerte in Sortierklasse:</v>
      </c>
      <c r="I44" s="185"/>
      <c r="J44" s="153" t="str">
        <f>B38</f>
        <v>GL24h</v>
      </c>
    </row>
    <row r="45" spans="1:10" ht="33.75" customHeight="1" x14ac:dyDescent="0.25">
      <c r="A45" s="154" t="str">
        <f>HLOOKUP(I1,Übersetzungen!A1:D36,23,FALSE)</f>
        <v>H x B x T (Höhe x Breite x Tiefe)</v>
      </c>
      <c r="B45" s="176" t="str">
        <f>HLOOKUP($I$1,Übersetzungen!$A$1:$D$25,11,FALSE)</f>
        <v>Anzahl</v>
      </c>
      <c r="C45" s="196" t="str">
        <f>HLOOKUP($I$1,Übersetzungen!$A$1:$D$25,12,FALSE)</f>
        <v>Durchmesser x Länge</v>
      </c>
      <c r="D45" s="196" t="str">
        <f>HLOOKUP($I$1,Übersetzungen!$A$1:$D$25,11,FALSE)</f>
        <v>Anzahl</v>
      </c>
      <c r="E45" s="196" t="str">
        <f>HLOOKUP($I$1,Übersetzungen!$A$1:$D$25,12,FALSE)</f>
        <v>Durchmesser x Länge</v>
      </c>
      <c r="F45" s="155" t="s">
        <v>380</v>
      </c>
      <c r="G45" s="155" t="str">
        <f>IF($B$11=Herleitung!$S$39,"F2,alu,Rk","F2,alu,Rd")</f>
        <v>F2,alu,Rd</v>
      </c>
      <c r="H45" s="155" t="str">
        <f>IF($B$11=Herleitung!$S$39,"F2,H,screw,Rk  (1)","F2,H,screw,Rd  (1)")</f>
        <v>F2,H,screw,Rd  (1)</v>
      </c>
      <c r="I45" s="155" t="str">
        <f>IF($B$11=Herleitung!$S$39,"F2,H,tau,Rk  (2)","F2,H,tau,Rd  (2)")</f>
        <v>F2,H,tau,Rd  (2)</v>
      </c>
      <c r="J45" s="155" t="str">
        <f>IF($B$11=Herleitung!$S$39,"F2,H,Rk  (3)","F2,H,Rd  (3)")</f>
        <v>F2,H,Rd  (3)</v>
      </c>
    </row>
    <row r="46" spans="1:10" ht="15.75" x14ac:dyDescent="0.25">
      <c r="A46" s="156" t="s">
        <v>0</v>
      </c>
      <c r="B46" s="177"/>
      <c r="C46" s="177"/>
      <c r="D46" s="177"/>
      <c r="E46" s="177"/>
      <c r="F46" s="156" t="s">
        <v>0</v>
      </c>
      <c r="G46" s="156" t="s">
        <v>1</v>
      </c>
      <c r="H46" s="156" t="s">
        <v>1</v>
      </c>
      <c r="I46" s="156" t="s">
        <v>1</v>
      </c>
      <c r="J46" s="156" t="s">
        <v>1</v>
      </c>
    </row>
    <row r="47" spans="1:10" x14ac:dyDescent="0.25">
      <c r="A47" s="3" t="s">
        <v>3</v>
      </c>
      <c r="B47" s="4">
        <v>4</v>
      </c>
      <c r="C47" s="173" t="s">
        <v>176</v>
      </c>
      <c r="D47" s="144">
        <v>3</v>
      </c>
      <c r="E47" s="186" t="s">
        <v>177</v>
      </c>
      <c r="F47" s="159">
        <v>20</v>
      </c>
      <c r="G47" s="25">
        <f>Herleitung!$J17</f>
        <v>192</v>
      </c>
      <c r="H47" s="25">
        <f>Herleitung!S17</f>
        <v>33.996619261191306</v>
      </c>
      <c r="I47" s="25">
        <f>Herleitung!T17</f>
        <v>35.990843076923078</v>
      </c>
      <c r="J47" s="20">
        <f>MIN(G47:I47)</f>
        <v>33.996619261191306</v>
      </c>
    </row>
    <row r="48" spans="1:10" x14ac:dyDescent="0.25">
      <c r="A48" s="3" t="s">
        <v>4</v>
      </c>
      <c r="B48" s="4">
        <v>6</v>
      </c>
      <c r="C48" s="174"/>
      <c r="D48" s="144">
        <v>3</v>
      </c>
      <c r="E48" s="187"/>
      <c r="F48" s="159">
        <v>30</v>
      </c>
      <c r="G48" s="25">
        <f>Herleitung!$J18</f>
        <v>320</v>
      </c>
      <c r="H48" s="25">
        <f>Herleitung!S18</f>
        <v>50.994928891786962</v>
      </c>
      <c r="I48" s="25">
        <f>Herleitung!T18</f>
        <v>43.357735384615374</v>
      </c>
      <c r="J48" s="20">
        <f t="shared" ref="J48:J61" si="1">MIN(G48:I48)</f>
        <v>43.357735384615374</v>
      </c>
    </row>
    <row r="49" spans="1:10" x14ac:dyDescent="0.25">
      <c r="A49" s="3" t="s">
        <v>5</v>
      </c>
      <c r="B49" s="4">
        <v>8</v>
      </c>
      <c r="C49" s="174"/>
      <c r="D49" s="144">
        <v>3</v>
      </c>
      <c r="E49" s="187"/>
      <c r="F49" s="159">
        <v>40</v>
      </c>
      <c r="G49" s="25">
        <f>Herleitung!$J19</f>
        <v>448</v>
      </c>
      <c r="H49" s="25">
        <f>Herleitung!S19</f>
        <v>67.993238522382612</v>
      </c>
      <c r="I49" s="25">
        <f>Herleitung!T19</f>
        <v>51.315396923076918</v>
      </c>
      <c r="J49" s="20">
        <f t="shared" si="1"/>
        <v>51.315396923076918</v>
      </c>
    </row>
    <row r="50" spans="1:10" ht="15.75" thickBot="1" x14ac:dyDescent="0.3">
      <c r="A50" s="10" t="s">
        <v>20</v>
      </c>
      <c r="B50" s="11">
        <v>8</v>
      </c>
      <c r="C50" s="175"/>
      <c r="D50" s="145">
        <v>3</v>
      </c>
      <c r="E50" s="188"/>
      <c r="F50" s="161">
        <v>40</v>
      </c>
      <c r="G50" s="26">
        <f>Herleitung!$J20</f>
        <v>576</v>
      </c>
      <c r="H50" s="26">
        <f>Herleitung!S20</f>
        <v>67.993238522382612</v>
      </c>
      <c r="I50" s="26">
        <f>Herleitung!T20</f>
        <v>56.809550769230761</v>
      </c>
      <c r="J50" s="21">
        <f t="shared" si="1"/>
        <v>56.809550769230761</v>
      </c>
    </row>
    <row r="51" spans="1:10" ht="15.75" thickTop="1" x14ac:dyDescent="0.25">
      <c r="A51" s="7" t="s">
        <v>6</v>
      </c>
      <c r="B51" s="9">
        <v>8</v>
      </c>
      <c r="C51" s="173" t="s">
        <v>177</v>
      </c>
      <c r="D51" s="146">
        <v>4</v>
      </c>
      <c r="E51" s="186" t="s">
        <v>177</v>
      </c>
      <c r="F51" s="162">
        <v>20</v>
      </c>
      <c r="G51" s="27">
        <f>Herleitung!$J21</f>
        <v>240</v>
      </c>
      <c r="H51" s="27">
        <f>Herleitung!S21</f>
        <v>81.650543226303313</v>
      </c>
      <c r="I51" s="27">
        <f>Herleitung!T21</f>
        <v>98.422153846153847</v>
      </c>
      <c r="J51" s="22">
        <f t="shared" si="1"/>
        <v>81.650543226303313</v>
      </c>
    </row>
    <row r="52" spans="1:10" x14ac:dyDescent="0.25">
      <c r="A52" s="3" t="s">
        <v>7</v>
      </c>
      <c r="B52" s="4">
        <v>10</v>
      </c>
      <c r="C52" s="174"/>
      <c r="D52" s="144">
        <v>4</v>
      </c>
      <c r="E52" s="187"/>
      <c r="F52" s="159">
        <v>20</v>
      </c>
      <c r="G52" s="25">
        <f>Herleitung!$J22</f>
        <v>400</v>
      </c>
      <c r="H52" s="25">
        <f>Herleitung!S22</f>
        <v>102.06317903287913</v>
      </c>
      <c r="I52" s="25">
        <f>Herleitung!T22</f>
        <v>106.69292307692308</v>
      </c>
      <c r="J52" s="20">
        <f t="shared" si="1"/>
        <v>102.06317903287913</v>
      </c>
    </row>
    <row r="53" spans="1:10" x14ac:dyDescent="0.25">
      <c r="A53" s="3" t="s">
        <v>8</v>
      </c>
      <c r="B53" s="4">
        <v>12</v>
      </c>
      <c r="C53" s="174"/>
      <c r="D53" s="144">
        <v>4</v>
      </c>
      <c r="E53" s="187"/>
      <c r="F53" s="159">
        <v>40</v>
      </c>
      <c r="G53" s="25">
        <f>Herleitung!$J23</f>
        <v>560</v>
      </c>
      <c r="H53" s="25">
        <f>Herleitung!S23</f>
        <v>122.47581483945496</v>
      </c>
      <c r="I53" s="25">
        <f>Herleitung!T23</f>
        <v>123.17538461538463</v>
      </c>
      <c r="J53" s="20">
        <f t="shared" si="1"/>
        <v>122.47581483945496</v>
      </c>
    </row>
    <row r="54" spans="1:10" ht="15.75" thickBot="1" x14ac:dyDescent="0.3">
      <c r="A54" s="10" t="s">
        <v>21</v>
      </c>
      <c r="B54" s="11">
        <v>14</v>
      </c>
      <c r="C54" s="175"/>
      <c r="D54" s="145">
        <v>4</v>
      </c>
      <c r="E54" s="188"/>
      <c r="F54" s="161">
        <v>50</v>
      </c>
      <c r="G54" s="26">
        <f>Herleitung!$J24</f>
        <v>720</v>
      </c>
      <c r="H54" s="26">
        <f>Herleitung!S24</f>
        <v>142.8884506460308</v>
      </c>
      <c r="I54" s="26">
        <f>Herleitung!T24</f>
        <v>136.43815384615385</v>
      </c>
      <c r="J54" s="21">
        <f t="shared" si="1"/>
        <v>136.43815384615385</v>
      </c>
    </row>
    <row r="55" spans="1:10" ht="15.75" thickTop="1" x14ac:dyDescent="0.25">
      <c r="A55" s="7" t="s">
        <v>9</v>
      </c>
      <c r="B55" s="9">
        <v>12</v>
      </c>
      <c r="C55" s="191" t="s">
        <v>178</v>
      </c>
      <c r="D55" s="146">
        <v>6</v>
      </c>
      <c r="E55" s="194" t="s">
        <v>177</v>
      </c>
      <c r="F55" s="162">
        <v>20</v>
      </c>
      <c r="G55" s="27">
        <f>Herleitung!$J25</f>
        <v>384</v>
      </c>
      <c r="H55" s="27">
        <f>Herleitung!S25</f>
        <v>171.57172337423646</v>
      </c>
      <c r="I55" s="27">
        <f>Herleitung!T25</f>
        <v>217.1076923076923</v>
      </c>
      <c r="J55" s="22">
        <f t="shared" si="1"/>
        <v>171.57172337423646</v>
      </c>
    </row>
    <row r="56" spans="1:10" x14ac:dyDescent="0.25">
      <c r="A56" s="3" t="s">
        <v>10</v>
      </c>
      <c r="B56" s="4">
        <v>20</v>
      </c>
      <c r="C56" s="192"/>
      <c r="D56" s="144">
        <v>6</v>
      </c>
      <c r="E56" s="187"/>
      <c r="F56" s="159">
        <v>40</v>
      </c>
      <c r="G56" s="25">
        <f>Herleitung!$J26</f>
        <v>800</v>
      </c>
      <c r="H56" s="25">
        <f>Herleitung!S26</f>
        <v>285.95287229039411</v>
      </c>
      <c r="I56" s="25">
        <f>Herleitung!T26</f>
        <v>240.44307692307689</v>
      </c>
      <c r="J56" s="20">
        <f t="shared" si="1"/>
        <v>240.44307692307689</v>
      </c>
    </row>
    <row r="57" spans="1:10" x14ac:dyDescent="0.25">
      <c r="A57" s="3" t="s">
        <v>11</v>
      </c>
      <c r="B57" s="4">
        <v>20</v>
      </c>
      <c r="C57" s="192"/>
      <c r="D57" s="144">
        <v>6</v>
      </c>
      <c r="E57" s="187"/>
      <c r="F57" s="159">
        <v>50</v>
      </c>
      <c r="G57" s="25">
        <f>Herleitung!$J27</f>
        <v>896</v>
      </c>
      <c r="H57" s="25">
        <f>Herleitung!S27</f>
        <v>285.95287229039411</v>
      </c>
      <c r="I57" s="25">
        <f>Herleitung!T27</f>
        <v>259.2</v>
      </c>
      <c r="J57" s="20">
        <f t="shared" si="1"/>
        <v>259.2</v>
      </c>
    </row>
    <row r="58" spans="1:10" x14ac:dyDescent="0.25">
      <c r="A58" s="3" t="s">
        <v>16</v>
      </c>
      <c r="B58" s="4">
        <v>20</v>
      </c>
      <c r="C58" s="192"/>
      <c r="D58" s="144">
        <v>6</v>
      </c>
      <c r="E58" s="187"/>
      <c r="F58" s="159">
        <v>60</v>
      </c>
      <c r="G58" s="25">
        <f>Herleitung!$J28</f>
        <v>1152</v>
      </c>
      <c r="H58" s="25">
        <f>Herleitung!S28</f>
        <v>285.95287229039411</v>
      </c>
      <c r="I58" s="25">
        <f>Herleitung!T28</f>
        <v>278.54769230769227</v>
      </c>
      <c r="J58" s="20">
        <f t="shared" si="1"/>
        <v>278.54769230769227</v>
      </c>
    </row>
    <row r="59" spans="1:10" x14ac:dyDescent="0.25">
      <c r="A59" s="3" t="s">
        <v>17</v>
      </c>
      <c r="B59" s="4">
        <v>22</v>
      </c>
      <c r="C59" s="192"/>
      <c r="D59" s="144">
        <v>6</v>
      </c>
      <c r="E59" s="187"/>
      <c r="F59" s="159">
        <v>70</v>
      </c>
      <c r="G59" s="25">
        <f>Herleitung!$J29</f>
        <v>1408</v>
      </c>
      <c r="H59" s="25">
        <f>Herleitung!S29</f>
        <v>314.54815951943351</v>
      </c>
      <c r="I59" s="25">
        <f>Herleitung!T29</f>
        <v>298.4861538461538</v>
      </c>
      <c r="J59" s="20">
        <f t="shared" si="1"/>
        <v>298.4861538461538</v>
      </c>
    </row>
    <row r="60" spans="1:10" x14ac:dyDescent="0.25">
      <c r="A60" s="3" t="s">
        <v>18</v>
      </c>
      <c r="B60" s="4">
        <v>24</v>
      </c>
      <c r="C60" s="192"/>
      <c r="D60" s="144">
        <v>6</v>
      </c>
      <c r="E60" s="187"/>
      <c r="F60" s="159">
        <v>80</v>
      </c>
      <c r="G60" s="25">
        <f>Herleitung!$J30</f>
        <v>1664</v>
      </c>
      <c r="H60" s="25">
        <f>Herleitung!S30</f>
        <v>343.14344674847291</v>
      </c>
      <c r="I60" s="25">
        <f>Herleitung!T30</f>
        <v>319.01538461538456</v>
      </c>
      <c r="J60" s="20">
        <f t="shared" si="1"/>
        <v>319.01538461538456</v>
      </c>
    </row>
    <row r="61" spans="1:10" x14ac:dyDescent="0.25">
      <c r="A61" s="3" t="s">
        <v>19</v>
      </c>
      <c r="B61" s="4">
        <v>24</v>
      </c>
      <c r="C61" s="193"/>
      <c r="D61" s="144">
        <v>6</v>
      </c>
      <c r="E61" s="195"/>
      <c r="F61" s="159">
        <v>90</v>
      </c>
      <c r="G61" s="25">
        <f>Herleitung!$J31</f>
        <v>1920</v>
      </c>
      <c r="H61" s="25">
        <f>Herleitung!S31</f>
        <v>343.14344674847291</v>
      </c>
      <c r="I61" s="25">
        <f>Herleitung!T31</f>
        <v>340.13538461538462</v>
      </c>
      <c r="J61" s="20">
        <f t="shared" si="1"/>
        <v>340.13538461538462</v>
      </c>
    </row>
    <row r="62" spans="1:10" ht="30.75" customHeight="1" x14ac:dyDescent="0.25">
      <c r="A62" s="201" t="str">
        <f>HLOOKUP(I1,Übersetzungen!A1:D36,26,FALSE)</f>
        <v>1) … Querkrafttragfähigkeit der 45° Schrauben und dem Reibbeiwert der Verbinderplatte sowie der Druckpressung der Verbinderplatte und der Druckschrauben (90° Horizontalschrauben); Belastungswert abhängig von Schraubenlänge der 45° Schrägschrauben und der Holzsortierklasse</v>
      </c>
      <c r="B62" s="201"/>
      <c r="C62" s="201"/>
      <c r="D62" s="201"/>
      <c r="E62" s="201"/>
      <c r="F62" s="201"/>
      <c r="G62" s="201"/>
      <c r="H62" s="201"/>
      <c r="I62" s="201"/>
    </row>
    <row r="63" spans="1:10" ht="36" customHeight="1" x14ac:dyDescent="0.25">
      <c r="A63" s="197" t="str">
        <f>HLOOKUP(I1,Übersetzungen!A1:D37,27,FALSE)</f>
        <v>2) … Querkrafttragfähigkeit vom Holz in Folge von Rollschub und Querdruck im Hauptträger; Belastungswert abhängig von untere Höhe hu</v>
      </c>
      <c r="B63" s="197"/>
      <c r="C63" s="197"/>
      <c r="D63" s="197"/>
      <c r="E63" s="197"/>
      <c r="F63" s="197"/>
      <c r="G63" s="197"/>
      <c r="H63" s="197"/>
      <c r="I63" s="197"/>
    </row>
    <row r="64" spans="1:10" x14ac:dyDescent="0.25">
      <c r="A64" s="164" t="str">
        <f>HLOOKUP(I1,Übersetzungen!A1:D38,28,FALSE)</f>
        <v xml:space="preserve">3) … Min.-Wert von F_2,alu,Rk ;  F_2,H,screw,Rk und F_2,H,tau,Rk </v>
      </c>
      <c r="C64" s="31"/>
      <c r="D64" s="31"/>
      <c r="E64" s="32"/>
      <c r="F64" s="2"/>
      <c r="G64" s="33"/>
      <c r="H64" s="33"/>
      <c r="I64" s="34"/>
    </row>
    <row r="66" spans="1:9" ht="24" x14ac:dyDescent="0.4">
      <c r="A66" s="149" t="str">
        <f>HLOOKUP(I1,Übersetzungen!A1:D39,29,FALSE)</f>
        <v>STÜTZE</v>
      </c>
      <c r="B66" s="1"/>
    </row>
    <row r="67" spans="1:9" x14ac:dyDescent="0.25">
      <c r="A67" t="str">
        <f>HLOOKUP($I$1,Übersetzungen!$A$1:$D$41,41,FALSE)</f>
        <v>Holzsortierklasse :</v>
      </c>
      <c r="B67" s="159" t="s">
        <v>193</v>
      </c>
    </row>
    <row r="68" spans="1:9" x14ac:dyDescent="0.25">
      <c r="A68" t="str">
        <f>HLOOKUP($I$1,Übersetzungen!$A$1:$D$42,42,FALSE)</f>
        <v>Charakteristische Rohdichte:</v>
      </c>
      <c r="B68" s="168">
        <f>VLOOKUP(Belastungstabelle_Website!B67,Herleitung!$S$45:$T$52,2,FALSE)</f>
        <v>385</v>
      </c>
      <c r="C68" s="125"/>
    </row>
    <row r="69" spans="1:9" x14ac:dyDescent="0.25">
      <c r="A69" t="str">
        <f>HLOOKUP($I$1,Übersetzungen!$A$1:$D$43,43,FALSE)</f>
        <v>Klasse der Einwirkungsdauer:</v>
      </c>
      <c r="B69" s="4" t="str">
        <f>$B$6</f>
        <v>Mittel</v>
      </c>
      <c r="C69" s="2"/>
    </row>
    <row r="70" spans="1:9" x14ac:dyDescent="0.25">
      <c r="A70" t="str">
        <f>HLOOKUP($I$1,Übersetzungen!$A$1:$D$44,44,FALSE)</f>
        <v>Modifikationsbeiwert kmod:</v>
      </c>
      <c r="B70" s="4">
        <f>$B$7</f>
        <v>0.8</v>
      </c>
      <c r="D70" s="178" t="str">
        <f>IF($I$1=Übersetzungen!$A$1,"",$I$1)</f>
        <v/>
      </c>
      <c r="E70" s="178"/>
    </row>
    <row r="71" spans="1:9" x14ac:dyDescent="0.25">
      <c r="A71" t="str">
        <f>HLOOKUP($I$1,Übersetzungen!$A$1:$D$45,45,FALSE)</f>
        <v>Ausgabe der Belastungswerte:</v>
      </c>
      <c r="B71" s="179" t="str">
        <f>$B$11</f>
        <v>Bemessungswerte</v>
      </c>
      <c r="C71" s="179"/>
      <c r="D71" s="178" t="str">
        <f>IF($I$1=Übersetzungen!$A$1,"",IF(Belastungstabelle_Website!$I$1=Übersetzungen!$B$1,VLOOKUP(Belastungstabelle_Website!$B$11,Übersetzungen!$A$52:$B$53,2,FALSE),IF(Belastungstabelle_Website!$I$1=Übersetzungen!$C$1,VLOOKUP(Belastungstabelle_Website!$B$11,Übersetzungen!$A$52:$C$53,3,FALSE),VLOOKUP(Belastungstabelle_Website!$B$11,Übersetzungen!$A$52:$D$53,4,FALSE))))</f>
        <v/>
      </c>
      <c r="E71" s="178"/>
    </row>
    <row r="72" spans="1:9" x14ac:dyDescent="0.25">
      <c r="A72" s="1"/>
      <c r="B72" s="1"/>
    </row>
    <row r="73" spans="1:9" ht="32.25" customHeight="1" x14ac:dyDescent="0.25">
      <c r="A73" s="157" t="str">
        <f>HLOOKUP(I1,Übersetzungen!A1:D40,30,FALSE)</f>
        <v>EVO-Grip-Größen (4)</v>
      </c>
      <c r="B73" s="180" t="str">
        <f>HLOOKUP(I1,Übersetzungen!A1:D41,31,FALSE)</f>
        <v>45° Schrägschrauben</v>
      </c>
      <c r="C73" s="181"/>
      <c r="D73" s="180" t="str">
        <f>HLOOKUP(I1,Übersetzungen!A1:D42,32,FALSE)</f>
        <v>90° Horizontal-Schrauben</v>
      </c>
      <c r="E73" s="181"/>
      <c r="F73" s="152" t="str">
        <f>HLOOKUP($I$1,Übersetzungen!$A$1:$D$54,54,FALSE)</f>
        <v>Tragfähigkeit Aluminium</v>
      </c>
      <c r="G73" s="189" t="str">
        <f>HLOOKUP(I1,Übersetzungen!A1:D43,33,FALSE)</f>
        <v>Belastungswerte in Sortierklasse:</v>
      </c>
      <c r="H73" s="190"/>
      <c r="I73" s="158" t="str">
        <f>B67</f>
        <v>GL24h</v>
      </c>
    </row>
    <row r="74" spans="1:9" ht="33.75" customHeight="1" x14ac:dyDescent="0.25">
      <c r="A74" s="154" t="str">
        <f>HLOOKUP(I1,Übersetzungen!A1:D44,34,FALSE)</f>
        <v>H x B x T (Höhe x Breite x Tiefe)</v>
      </c>
      <c r="B74" s="176" t="str">
        <f>HLOOKUP($I$1,Übersetzungen!$A$1:$D$25,11,FALSE)</f>
        <v>Anzahl</v>
      </c>
      <c r="C74" s="196" t="str">
        <f>HLOOKUP($I$1,Übersetzungen!$A$1:$D$25,12,FALSE)</f>
        <v>Durchmesser x Länge</v>
      </c>
      <c r="D74" s="176" t="str">
        <f>HLOOKUP($I$1,Übersetzungen!$A$1:$D$25,11,FALSE)</f>
        <v>Anzahl</v>
      </c>
      <c r="E74" s="196" t="str">
        <f>HLOOKUP($I$1,Übersetzungen!$A$1:$D$25,12,FALSE)</f>
        <v>Durchmesser x Länge</v>
      </c>
      <c r="F74" s="155" t="str">
        <f>IF($B$11=Herleitung!$S$39,"F2,alu,Rk","F2,alu,Rd")</f>
        <v>F2,alu,Rd</v>
      </c>
      <c r="G74" s="155" t="str">
        <f>IF($B$11=Herleitung!$S$39,"F2,C,screw,Rk  (1)","F2,C,screw,Rd  (1)")</f>
        <v>F2,C,screw,Rd  (1)</v>
      </c>
      <c r="H74" s="155" t="str">
        <f>IF($B$11=Herleitung!$S$39,"F2,C,tau,Rk  (2)","F2,C,tau,Rd  (2)")</f>
        <v>F2,C,tau,Rd  (2)</v>
      </c>
      <c r="I74" s="155" t="str">
        <f>IF($B$11=Herleitung!$S$39,"F2,C,Rk  (3)","F2,C,Rd  (3)")</f>
        <v>F2,C,Rd  (3)</v>
      </c>
    </row>
    <row r="75" spans="1:9" ht="15.75" x14ac:dyDescent="0.25">
      <c r="A75" s="156" t="s">
        <v>0</v>
      </c>
      <c r="B75" s="177"/>
      <c r="C75" s="177"/>
      <c r="D75" s="177"/>
      <c r="E75" s="177"/>
      <c r="F75" s="156" t="s">
        <v>1</v>
      </c>
      <c r="G75" s="156" t="s">
        <v>1</v>
      </c>
      <c r="H75" s="156" t="s">
        <v>1</v>
      </c>
      <c r="I75" s="156" t="s">
        <v>1</v>
      </c>
    </row>
    <row r="76" spans="1:9" x14ac:dyDescent="0.25">
      <c r="A76" s="3" t="s">
        <v>3</v>
      </c>
      <c r="B76" s="4">
        <v>4</v>
      </c>
      <c r="C76" s="173" t="s">
        <v>176</v>
      </c>
      <c r="D76" s="144">
        <v>3</v>
      </c>
      <c r="E76" s="173" t="s">
        <v>177</v>
      </c>
      <c r="F76" s="25">
        <f>Herleitung!$J17</f>
        <v>192</v>
      </c>
      <c r="G76" s="25">
        <f>Herleitung!V17</f>
        <v>33.996619261191306</v>
      </c>
      <c r="H76" s="25">
        <f>Herleitung!W17</f>
        <v>36.234927423104224</v>
      </c>
      <c r="I76" s="20">
        <f>MIN(F76:H76)</f>
        <v>33.996619261191306</v>
      </c>
    </row>
    <row r="77" spans="1:9" x14ac:dyDescent="0.25">
      <c r="A77" s="3" t="s">
        <v>4</v>
      </c>
      <c r="B77" s="4">
        <v>6</v>
      </c>
      <c r="C77" s="174"/>
      <c r="D77" s="144">
        <v>3</v>
      </c>
      <c r="E77" s="174"/>
      <c r="F77" s="25">
        <f>Herleitung!$J18</f>
        <v>320</v>
      </c>
      <c r="G77" s="25">
        <f>Herleitung!V18</f>
        <v>50.994928891786962</v>
      </c>
      <c r="H77" s="25">
        <f>Herleitung!W18</f>
        <v>69.728648220942873</v>
      </c>
      <c r="I77" s="20">
        <f t="shared" ref="I77:I90" si="2">MIN(F77:H77)</f>
        <v>50.994928891786962</v>
      </c>
    </row>
    <row r="78" spans="1:9" x14ac:dyDescent="0.25">
      <c r="A78" s="3" t="s">
        <v>5</v>
      </c>
      <c r="B78" s="4">
        <v>8</v>
      </c>
      <c r="C78" s="174"/>
      <c r="D78" s="144">
        <v>3</v>
      </c>
      <c r="E78" s="174"/>
      <c r="F78" s="25">
        <f>Herleitung!$J19</f>
        <v>448</v>
      </c>
      <c r="G78" s="25">
        <f>Herleitung!V19</f>
        <v>67.993238522382612</v>
      </c>
      <c r="H78" s="25">
        <f>Herleitung!W19</f>
        <v>127.83585507172862</v>
      </c>
      <c r="I78" s="20">
        <f t="shared" si="2"/>
        <v>67.993238522382612</v>
      </c>
    </row>
    <row r="79" spans="1:9" ht="15.75" thickBot="1" x14ac:dyDescent="0.3">
      <c r="A79" s="10" t="s">
        <v>20</v>
      </c>
      <c r="B79" s="11">
        <v>8</v>
      </c>
      <c r="C79" s="175"/>
      <c r="D79" s="145">
        <v>3</v>
      </c>
      <c r="E79" s="175"/>
      <c r="F79" s="26">
        <f>Herleitung!$J20</f>
        <v>576</v>
      </c>
      <c r="G79" s="26">
        <f>Herleitung!V20</f>
        <v>67.993238522382612</v>
      </c>
      <c r="H79" s="26">
        <f>Herleitung!W20</f>
        <v>185.94306192251435</v>
      </c>
      <c r="I79" s="21">
        <f t="shared" si="2"/>
        <v>67.993238522382612</v>
      </c>
    </row>
    <row r="80" spans="1:9" ht="15.75" thickTop="1" x14ac:dyDescent="0.25">
      <c r="A80" s="7" t="s">
        <v>6</v>
      </c>
      <c r="B80" s="9">
        <v>8</v>
      </c>
      <c r="C80" s="173" t="s">
        <v>177</v>
      </c>
      <c r="D80" s="146">
        <v>4</v>
      </c>
      <c r="E80" s="173" t="s">
        <v>177</v>
      </c>
      <c r="F80" s="27">
        <f>Herleitung!$J21</f>
        <v>240</v>
      </c>
      <c r="G80" s="27">
        <f>Herleitung!V21</f>
        <v>81.650543226303313</v>
      </c>
      <c r="H80" s="27">
        <f>Herleitung!W21</f>
        <v>79.90744470114447</v>
      </c>
      <c r="I80" s="22">
        <f t="shared" si="2"/>
        <v>79.90744470114447</v>
      </c>
    </row>
    <row r="81" spans="1:9" x14ac:dyDescent="0.25">
      <c r="A81" s="3" t="s">
        <v>7</v>
      </c>
      <c r="B81" s="4">
        <v>10</v>
      </c>
      <c r="C81" s="174"/>
      <c r="D81" s="144">
        <v>4</v>
      </c>
      <c r="E81" s="174"/>
      <c r="F81" s="25">
        <f>Herleitung!$J22</f>
        <v>400</v>
      </c>
      <c r="G81" s="25">
        <f>Herleitung!V22</f>
        <v>102.06317903287913</v>
      </c>
      <c r="H81" s="25">
        <f>Herleitung!W22</f>
        <v>101.83097947037525</v>
      </c>
      <c r="I81" s="20">
        <f t="shared" si="2"/>
        <v>101.83097947037525</v>
      </c>
    </row>
    <row r="82" spans="1:9" x14ac:dyDescent="0.25">
      <c r="A82" s="3" t="s">
        <v>8</v>
      </c>
      <c r="B82" s="4">
        <v>12</v>
      </c>
      <c r="C82" s="174"/>
      <c r="D82" s="144">
        <v>4</v>
      </c>
      <c r="E82" s="174"/>
      <c r="F82" s="25">
        <f>Herleitung!$J23</f>
        <v>560</v>
      </c>
      <c r="G82" s="25">
        <f>Herleitung!V23</f>
        <v>122.47581483945496</v>
      </c>
      <c r="H82" s="25">
        <f>Herleitung!W23</f>
        <v>140.7606356609688</v>
      </c>
      <c r="I82" s="20">
        <f t="shared" si="2"/>
        <v>122.47581483945496</v>
      </c>
    </row>
    <row r="83" spans="1:9" ht="15.75" thickBot="1" x14ac:dyDescent="0.3">
      <c r="A83" s="10" t="s">
        <v>21</v>
      </c>
      <c r="B83" s="11">
        <v>14</v>
      </c>
      <c r="C83" s="175"/>
      <c r="D83" s="145">
        <v>4</v>
      </c>
      <c r="E83" s="175"/>
      <c r="F83" s="26">
        <f>Herleitung!$J24</f>
        <v>720</v>
      </c>
      <c r="G83" s="26">
        <f>Herleitung!V24</f>
        <v>142.8884506460308</v>
      </c>
      <c r="H83" s="26">
        <f>Herleitung!W24</f>
        <v>218.96098880595147</v>
      </c>
      <c r="I83" s="21">
        <f t="shared" si="2"/>
        <v>142.8884506460308</v>
      </c>
    </row>
    <row r="84" spans="1:9" ht="15.75" thickTop="1" x14ac:dyDescent="0.25">
      <c r="A84" s="7" t="s">
        <v>9</v>
      </c>
      <c r="B84" s="9">
        <v>12</v>
      </c>
      <c r="C84" s="170" t="s">
        <v>245</v>
      </c>
      <c r="D84" s="146">
        <v>6</v>
      </c>
      <c r="E84" s="170" t="s">
        <v>177</v>
      </c>
      <c r="F84" s="27">
        <f>Herleitung!$J25</f>
        <v>384</v>
      </c>
      <c r="G84" s="27">
        <f>Herleitung!V25</f>
        <v>158.81494390882733</v>
      </c>
      <c r="H84" s="27">
        <f>Herleitung!W25</f>
        <v>153.77326438188007</v>
      </c>
      <c r="I84" s="22">
        <f t="shared" si="2"/>
        <v>153.77326438188007</v>
      </c>
    </row>
    <row r="85" spans="1:9" x14ac:dyDescent="0.25">
      <c r="A85" s="3" t="s">
        <v>10</v>
      </c>
      <c r="B85" s="4">
        <v>20</v>
      </c>
      <c r="C85" s="171"/>
      <c r="D85" s="144">
        <v>6</v>
      </c>
      <c r="E85" s="171"/>
      <c r="F85" s="25">
        <f>Herleitung!$J26</f>
        <v>800</v>
      </c>
      <c r="G85" s="25">
        <f>Herleitung!V26</f>
        <v>244.10725160113503</v>
      </c>
      <c r="H85" s="25">
        <f>Herleitung!W26</f>
        <v>176.84095668957238</v>
      </c>
      <c r="I85" s="20">
        <f t="shared" si="2"/>
        <v>176.84095668957238</v>
      </c>
    </row>
    <row r="86" spans="1:9" x14ac:dyDescent="0.25">
      <c r="A86" s="3" t="s">
        <v>11</v>
      </c>
      <c r="B86" s="4">
        <v>20</v>
      </c>
      <c r="C86" s="171"/>
      <c r="D86" s="144">
        <v>6</v>
      </c>
      <c r="E86" s="171"/>
      <c r="F86" s="25">
        <f>Herleitung!$J27</f>
        <v>896</v>
      </c>
      <c r="G86" s="25">
        <f>Herleitung!V27</f>
        <v>306.23363331640837</v>
      </c>
      <c r="H86" s="25">
        <f>Herleitung!W27</f>
        <v>262.84007584841402</v>
      </c>
      <c r="I86" s="20">
        <f t="shared" si="2"/>
        <v>262.84007584841402</v>
      </c>
    </row>
    <row r="87" spans="1:9" x14ac:dyDescent="0.25">
      <c r="A87" s="3" t="s">
        <v>16</v>
      </c>
      <c r="B87" s="4">
        <v>20</v>
      </c>
      <c r="C87" s="171"/>
      <c r="D87" s="144">
        <v>6</v>
      </c>
      <c r="E87" s="171"/>
      <c r="F87" s="25">
        <f>Herleitung!$J28</f>
        <v>1152</v>
      </c>
      <c r="G87" s="25">
        <f>Herleitung!V28</f>
        <v>311.85971371157518</v>
      </c>
      <c r="H87" s="25">
        <f>Herleitung!W28</f>
        <v>382.31283759769309</v>
      </c>
      <c r="I87" s="20">
        <f t="shared" si="2"/>
        <v>311.85971371157518</v>
      </c>
    </row>
    <row r="88" spans="1:9" x14ac:dyDescent="0.25">
      <c r="A88" s="3" t="s">
        <v>17</v>
      </c>
      <c r="B88" s="4">
        <v>22</v>
      </c>
      <c r="C88" s="171"/>
      <c r="D88" s="144">
        <v>6</v>
      </c>
      <c r="E88" s="171"/>
      <c r="F88" s="25">
        <f>Herleitung!$J29</f>
        <v>1408</v>
      </c>
      <c r="G88" s="25">
        <f>Herleitung!V29</f>
        <v>343.04568508273269</v>
      </c>
      <c r="H88" s="25">
        <f>Herleitung!W29</f>
        <v>501.78559934697216</v>
      </c>
      <c r="I88" s="20">
        <f t="shared" si="2"/>
        <v>343.04568508273269</v>
      </c>
    </row>
    <row r="89" spans="1:9" x14ac:dyDescent="0.25">
      <c r="A89" s="3" t="s">
        <v>18</v>
      </c>
      <c r="B89" s="4">
        <v>24</v>
      </c>
      <c r="C89" s="171"/>
      <c r="D89" s="144">
        <v>6</v>
      </c>
      <c r="E89" s="171"/>
      <c r="F89" s="25">
        <f>Herleitung!$J30</f>
        <v>1664</v>
      </c>
      <c r="G89" s="25">
        <f>Herleitung!V30</f>
        <v>374.2316564538902</v>
      </c>
      <c r="H89" s="25">
        <f>Herleitung!W30</f>
        <v>621.25836109625118</v>
      </c>
      <c r="I89" s="20">
        <f t="shared" si="2"/>
        <v>374.2316564538902</v>
      </c>
    </row>
    <row r="90" spans="1:9" x14ac:dyDescent="0.25">
      <c r="A90" s="3" t="s">
        <v>19</v>
      </c>
      <c r="B90" s="4">
        <v>24</v>
      </c>
      <c r="C90" s="172"/>
      <c r="D90" s="144">
        <v>6</v>
      </c>
      <c r="E90" s="172"/>
      <c r="F90" s="25">
        <f>Herleitung!$J31</f>
        <v>1920</v>
      </c>
      <c r="G90" s="25">
        <f>Herleitung!V31</f>
        <v>374.2316564538902</v>
      </c>
      <c r="H90" s="25">
        <f>Herleitung!W31</f>
        <v>740.73112284553019</v>
      </c>
      <c r="I90" s="20">
        <f t="shared" si="2"/>
        <v>374.2316564538902</v>
      </c>
    </row>
    <row r="91" spans="1:9" ht="30.75" customHeight="1" x14ac:dyDescent="0.25">
      <c r="A91" s="201" t="str">
        <f>HLOOKUP(I1,Übersetzungen!A1:D47,37,FALSE)</f>
        <v>1) … Querkrafttragfähigkeit der 45° Schrauben und dem Reibbeiwert der Verbinderplatte sowie der Druckpressung der Verbinderplatte und der Druckschrauben (90° Horizontalschrauben); Belastungswert abhängig von Schraubenlänge der 45° Schrägschrauben und der Holzsortierklasse</v>
      </c>
      <c r="B91" s="201"/>
      <c r="C91" s="201"/>
      <c r="D91" s="201"/>
      <c r="E91" s="201"/>
      <c r="F91" s="201"/>
      <c r="G91" s="201"/>
      <c r="H91" s="201"/>
      <c r="I91" s="201"/>
    </row>
    <row r="92" spans="1:9" ht="33" customHeight="1" x14ac:dyDescent="0.25">
      <c r="A92" s="197" t="str">
        <f>HLOOKUP(I1,Übersetzungen!A1:D48,38,FALSE)</f>
        <v>2) … Querkrafttragfähigkeit vom Holz in Folge von Rollschub und Längsdruck in der Stütze; Belastungswert abhängig von der Schraubenlänge der 45° Schrägschrauben und von der Holzsortierklasse</v>
      </c>
      <c r="B92" s="197"/>
      <c r="C92" s="197"/>
      <c r="D92" s="197"/>
      <c r="E92" s="197"/>
      <c r="F92" s="197"/>
      <c r="G92" s="197"/>
      <c r="H92" s="197"/>
      <c r="I92" s="197"/>
    </row>
    <row r="93" spans="1:9" x14ac:dyDescent="0.25">
      <c r="A93" s="164" t="str">
        <f>HLOOKUP(I1,Übersetzungen!A1:D49,39,FALSE)</f>
        <v xml:space="preserve">3) … Min.-Wert von F_2,alu,Rk ; F_2,C,screw,Rk und F_2,C,tau,Rk </v>
      </c>
      <c r="C93" s="31"/>
      <c r="D93" s="31"/>
      <c r="E93" s="32"/>
      <c r="F93" s="2"/>
      <c r="G93" s="33"/>
      <c r="H93" s="33"/>
      <c r="I93" s="34"/>
    </row>
    <row r="94" spans="1:9" x14ac:dyDescent="0.25">
      <c r="A94" s="41" t="str">
        <f>HLOOKUP($I$1,Übersetzungen!$A$1:$D$59,59,FALSE)</f>
        <v>4) … Mindestholzbreite  Stütze:  Verbinderbreite B + 40 mm</v>
      </c>
      <c r="C94" s="31"/>
      <c r="D94" s="31"/>
      <c r="E94" s="32"/>
      <c r="F94" s="2"/>
      <c r="G94" s="33"/>
      <c r="H94" s="33"/>
      <c r="I94" s="34"/>
    </row>
    <row r="95" spans="1:9" x14ac:dyDescent="0.25">
      <c r="C95" s="31"/>
      <c r="D95" s="31"/>
      <c r="E95" s="32"/>
      <c r="F95" s="2"/>
      <c r="G95" s="33"/>
      <c r="H95" s="33"/>
      <c r="I95" s="34"/>
    </row>
    <row r="97" spans="1:9" ht="80.25" customHeight="1" x14ac:dyDescent="0.25">
      <c r="A97" s="200" t="str">
        <f>HLOOKUP(I1,Übersetzungen!A1:D50,40,FALSE)</f>
        <v>Haftungsausschluss:
Die Bemessung ist vom Kunden oder einem von ihm beauftragten Ingenieurbüro eigenverantwortlich vorzunehmen. Jeder Vorschlag oder jede Unterstützung durch Mitarbeitende der KNAPP GmbH stellt lediglich eine unverbindliche Empfehlung dar und darf nicht ungeprüft umgesetzt werden. Eine Haftung der KNAPP GmbH für die Richtigkeit der Berechnung oder deren Ergebnisse wird ausdrücklich ausgeschlossen.
Die KNAPP GmbH stellt die zur Bemessung und zur Kontrolle der Bemessung erforderlichen ETA-Dokumente online auf ihrer Homepage zur Verfügung.</v>
      </c>
      <c r="B97" s="200"/>
      <c r="C97" s="200"/>
      <c r="D97" s="200"/>
      <c r="E97" s="200"/>
      <c r="F97" s="200"/>
      <c r="G97" s="200"/>
      <c r="H97" s="200"/>
      <c r="I97" s="200"/>
    </row>
  </sheetData>
  <sheetProtection algorithmName="SHA-512" hashValue="zcN68hyiIMCBXLRLutCBVAe1Qp5fRwsx2NGB04RCu8wqrDSrkHZrNXXjne20cXCqr+D/9c2qxysaixv9BWcaUA==" saltValue="muKdiB4Yjd9LVSypnEpwWw==" spinCount="100000" sheet="1" objects="1" scenarios="1" selectLockedCells="1"/>
  <mergeCells count="56">
    <mergeCell ref="D10:E10"/>
    <mergeCell ref="D11:E11"/>
    <mergeCell ref="C14:C15"/>
    <mergeCell ref="E14:E15"/>
    <mergeCell ref="B11:C11"/>
    <mergeCell ref="B13:C13"/>
    <mergeCell ref="D13:E13"/>
    <mergeCell ref="B14:B15"/>
    <mergeCell ref="C51:C54"/>
    <mergeCell ref="A97:I97"/>
    <mergeCell ref="A31:I31"/>
    <mergeCell ref="A91:I91"/>
    <mergeCell ref="A92:I92"/>
    <mergeCell ref="C45:C46"/>
    <mergeCell ref="E45:E46"/>
    <mergeCell ref="C74:C75"/>
    <mergeCell ref="E74:E75"/>
    <mergeCell ref="A62:I62"/>
    <mergeCell ref="E16:E19"/>
    <mergeCell ref="A32:I32"/>
    <mergeCell ref="E20:E23"/>
    <mergeCell ref="E24:E30"/>
    <mergeCell ref="B44:C44"/>
    <mergeCell ref="D44:E44"/>
    <mergeCell ref="H13:I13"/>
    <mergeCell ref="H44:I44"/>
    <mergeCell ref="C47:C50"/>
    <mergeCell ref="E47:E50"/>
    <mergeCell ref="G73:H73"/>
    <mergeCell ref="E51:E54"/>
    <mergeCell ref="C55:C61"/>
    <mergeCell ref="E55:E61"/>
    <mergeCell ref="D45:D46"/>
    <mergeCell ref="D41:E41"/>
    <mergeCell ref="B42:C42"/>
    <mergeCell ref="D42:E42"/>
    <mergeCell ref="A63:I63"/>
    <mergeCell ref="D14:D15"/>
    <mergeCell ref="C16:C19"/>
    <mergeCell ref="C20:C23"/>
    <mergeCell ref="A1:G1"/>
    <mergeCell ref="C84:C90"/>
    <mergeCell ref="E76:E79"/>
    <mergeCell ref="E80:E83"/>
    <mergeCell ref="E84:E90"/>
    <mergeCell ref="B74:B75"/>
    <mergeCell ref="D74:D75"/>
    <mergeCell ref="C76:C79"/>
    <mergeCell ref="C80:C83"/>
    <mergeCell ref="D70:E70"/>
    <mergeCell ref="B71:C71"/>
    <mergeCell ref="D71:E71"/>
    <mergeCell ref="B73:C73"/>
    <mergeCell ref="D73:E73"/>
    <mergeCell ref="B45:B46"/>
    <mergeCell ref="C24:C30"/>
  </mergeCells>
  <printOptions horizontalCentered="1"/>
  <pageMargins left="0.70866141732283472" right="0.70866141732283472" top="0.78740157480314965" bottom="0.78740157480314965" header="0.31496062992125984" footer="0.31496062992125984"/>
  <pageSetup paperSize="9" scale="38" orientation="portrait" r:id="rId1"/>
  <headerFooter>
    <oddFooter>&amp;CKnapp GmbH (Austria/Europe) Wassergasse 31 I A-3324 Euratsfeld  
Statik +43 (0) 7474 / 799 10 I statik@knapp-verbinder.com I www.knapp-verbinder.com I France +33 (0)3 88 48 17 87 I france@knapp-connectors.com I  www.knapp-connectors.com/fr
&amp;R&amp;P</oddFooter>
  </headerFooter>
  <rowBreaks count="1" manualBreakCount="1">
    <brk id="65" max="9" man="1"/>
  </rowBreaks>
  <ignoredErrors>
    <ignoredError sqref="H47:H49 H52 H50:H51 H53:H61 I47:I61 J47:J61" evalError="1"/>
  </ignoredError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F2C89B14-02F5-4F30-9AE8-3131A10E784D}">
          <x14:formula1>
            <xm:f>Übersetzungen!$A$1:$D$1</xm:f>
          </x14:formula1>
          <xm:sqref>I1</xm:sqref>
        </x14:dataValidation>
        <x14:dataValidation type="list" allowBlank="1" showInputMessage="1" showErrorMessage="1" xr:uid="{CDFE1254-F14D-4525-A4A6-9E50BBA810FC}">
          <x14:formula1>
            <xm:f>Herleitung!$S$45:$S$52</xm:f>
          </x14:formula1>
          <xm:sqref>B4 B38 B67</xm:sqref>
        </x14:dataValidation>
        <x14:dataValidation type="list" allowBlank="1" showInputMessage="1" showErrorMessage="1" xr:uid="{3F3F2AEA-47F4-4D9C-B9A1-7108F469DD21}">
          <x14:formula1>
            <xm:f>Herleitung!$S$67:$S$75</xm:f>
          </x14:formula1>
          <xm:sqref>C16:C24 C47:C61 C76 C80 C84:C90</xm:sqref>
        </x14:dataValidation>
        <x14:dataValidation type="list" allowBlank="1" showInputMessage="1" showErrorMessage="1" xr:uid="{7DD3E4ED-15A1-4C75-BD41-9BD924B8C8AD}">
          <x14:formula1>
            <xm:f>Herleitung!$S$67:$S$69</xm:f>
          </x14:formula1>
          <xm:sqref>E16:E30 E47:E54 E76:E83</xm:sqref>
        </x14:dataValidation>
        <x14:dataValidation type="list" allowBlank="1" showInputMessage="1" showErrorMessage="1" xr:uid="{314B4AD4-F15E-4CAE-9683-B138DDF0576D}">
          <x14:formula1>
            <xm:f>Herleitung!$W$57:$W$62</xm:f>
          </x14:formula1>
          <xm:sqref>B6</xm:sqref>
        </x14:dataValidation>
        <x14:dataValidation type="list" allowBlank="1" showInputMessage="1" showErrorMessage="1" xr:uid="{919ADC4C-DE36-4B7C-8B9B-A54F40391AA8}">
          <x14:formula1>
            <xm:f>Herleitung!$S$67:$S$70</xm:f>
          </x14:formula1>
          <xm:sqref>E55:E61 E84:E90</xm:sqref>
        </x14:dataValidation>
        <x14:dataValidation type="list" allowBlank="1" showInputMessage="1" showErrorMessage="1" xr:uid="{DEA68572-4236-4A21-87FE-5811366DEB42}">
          <x14:formula1>
            <xm:f>Herleitung!$S$39:$S$40</xm:f>
          </x14:formula1>
          <xm:sqref>B11:C11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88FAB-9705-4E4B-93D8-A1ADFBA51811}">
  <dimension ref="A1:Z178"/>
  <sheetViews>
    <sheetView topLeftCell="A11" workbookViewId="0">
      <selection activeCell="I35" sqref="I35"/>
    </sheetView>
  </sheetViews>
  <sheetFormatPr baseColWidth="10" defaultRowHeight="15" x14ac:dyDescent="0.25"/>
  <cols>
    <col min="1" max="1" width="24.7109375" customWidth="1"/>
    <col min="2" max="2" width="21.85546875" bestFit="1" customWidth="1"/>
    <col min="3" max="3" width="18.85546875" customWidth="1"/>
    <col min="4" max="4" width="22" customWidth="1"/>
    <col min="5" max="5" width="10.7109375" customWidth="1"/>
    <col min="6" max="6" width="13.140625" customWidth="1"/>
    <col min="7" max="7" width="11.7109375" customWidth="1"/>
    <col min="8" max="8" width="12.85546875" customWidth="1"/>
    <col min="9" max="9" width="13.7109375" customWidth="1"/>
    <col min="10" max="10" width="18.7109375" customWidth="1"/>
    <col min="11" max="11" width="17.28515625" customWidth="1"/>
    <col min="12" max="12" width="19.140625" customWidth="1"/>
    <col min="13" max="13" width="25.42578125" customWidth="1"/>
    <col min="14" max="14" width="12.42578125" customWidth="1"/>
    <col min="15" max="15" width="21.140625" customWidth="1"/>
    <col min="16" max="16" width="12.5703125" customWidth="1"/>
    <col min="17" max="17" width="20.42578125" customWidth="1"/>
    <col min="18" max="18" width="20" customWidth="1"/>
    <col min="19" max="19" width="17" customWidth="1"/>
    <col min="20" max="20" width="19.85546875" customWidth="1"/>
    <col min="21" max="21" width="19.7109375" customWidth="1"/>
    <col min="22" max="22" width="18.5703125" customWidth="1"/>
    <col min="23" max="23" width="18.42578125" customWidth="1"/>
    <col min="24" max="24" width="15.140625" customWidth="1"/>
  </cols>
  <sheetData>
    <row r="1" spans="1:24" ht="26.25" x14ac:dyDescent="0.4">
      <c r="A1" s="58" t="s">
        <v>125</v>
      </c>
    </row>
    <row r="3" spans="1:24" ht="18.75" x14ac:dyDescent="0.3">
      <c r="A3" s="216" t="str">
        <f>Belastungstabelle_Website!B11</f>
        <v>Bemessungswerte</v>
      </c>
      <c r="B3" s="216"/>
      <c r="C3" s="59" t="s">
        <v>127</v>
      </c>
    </row>
    <row r="5" spans="1:24" x14ac:dyDescent="0.25">
      <c r="A5" t="s">
        <v>128</v>
      </c>
      <c r="H5" s="2"/>
      <c r="I5" s="2"/>
      <c r="J5" s="2"/>
      <c r="K5" s="2"/>
      <c r="L5" s="2"/>
      <c r="M5" s="2"/>
      <c r="N5" s="2"/>
      <c r="O5" s="2"/>
      <c r="P5" s="2"/>
      <c r="Q5" s="2"/>
      <c r="R5" s="2"/>
      <c r="S5" s="2"/>
      <c r="T5" s="2"/>
      <c r="U5" s="2"/>
      <c r="V5" s="2"/>
      <c r="W5" s="2"/>
      <c r="X5" s="2"/>
    </row>
    <row r="6" spans="1:24" x14ac:dyDescent="0.25">
      <c r="A6" t="s">
        <v>129</v>
      </c>
      <c r="B6" s="51" t="s">
        <v>130</v>
      </c>
      <c r="C6" s="2" t="str">
        <f>Belastungstabelle_Website!B6</f>
        <v>Mittel</v>
      </c>
      <c r="H6" s="2"/>
      <c r="I6" s="2"/>
      <c r="J6" s="2"/>
      <c r="K6" s="2"/>
      <c r="L6" s="2"/>
      <c r="M6" s="2"/>
      <c r="N6" s="2"/>
      <c r="O6" s="2"/>
      <c r="P6" s="2"/>
      <c r="Q6" s="2"/>
      <c r="R6" s="2"/>
      <c r="S6" s="2"/>
      <c r="T6" s="2"/>
      <c r="U6" s="2"/>
      <c r="V6" s="2"/>
      <c r="W6" s="2"/>
      <c r="X6" s="2"/>
    </row>
    <row r="7" spans="1:24" ht="18" x14ac:dyDescent="0.35">
      <c r="A7" t="s">
        <v>132</v>
      </c>
      <c r="B7" s="51" t="s">
        <v>133</v>
      </c>
      <c r="C7" s="2">
        <f>Belastungstabelle_Website!B7</f>
        <v>0.8</v>
      </c>
      <c r="H7" s="2"/>
      <c r="I7" s="2"/>
      <c r="J7" s="2"/>
      <c r="K7" s="2"/>
      <c r="L7" s="2"/>
      <c r="M7" s="2"/>
      <c r="N7" s="2"/>
      <c r="O7" s="2"/>
      <c r="Q7" s="2"/>
      <c r="R7" s="2"/>
      <c r="S7" s="2"/>
      <c r="T7" s="2"/>
      <c r="U7" s="2"/>
      <c r="V7" s="2"/>
      <c r="W7" s="2"/>
      <c r="X7" s="2"/>
    </row>
    <row r="8" spans="1:24" ht="18" x14ac:dyDescent="0.35">
      <c r="A8" t="s">
        <v>134</v>
      </c>
      <c r="B8" s="61" t="s">
        <v>135</v>
      </c>
      <c r="C8" s="2">
        <f>Belastungstabelle_Website!B8</f>
        <v>1.3</v>
      </c>
      <c r="H8" s="2"/>
      <c r="I8" s="2"/>
      <c r="J8" s="2"/>
      <c r="K8" s="2"/>
      <c r="L8" s="2"/>
      <c r="M8" s="2"/>
      <c r="N8" s="2"/>
      <c r="O8" s="2"/>
      <c r="P8" s="2"/>
      <c r="Q8" s="2"/>
      <c r="R8" s="2"/>
      <c r="S8" s="2"/>
      <c r="T8" s="2"/>
      <c r="U8" s="2"/>
      <c r="V8" s="2"/>
      <c r="W8" s="2"/>
      <c r="X8" s="2"/>
    </row>
    <row r="9" spans="1:24" ht="18" x14ac:dyDescent="0.35">
      <c r="A9" t="s">
        <v>136</v>
      </c>
      <c r="B9" s="61" t="s">
        <v>137</v>
      </c>
      <c r="C9" s="2">
        <f>Belastungstabelle_Website!B10</f>
        <v>1.1000000000000001</v>
      </c>
      <c r="D9" t="s">
        <v>138</v>
      </c>
      <c r="H9" s="2"/>
      <c r="I9" s="2"/>
      <c r="J9" s="2"/>
      <c r="K9" s="2"/>
      <c r="L9" s="2"/>
      <c r="M9" s="2"/>
      <c r="N9" s="2"/>
      <c r="O9" s="2"/>
    </row>
    <row r="10" spans="1:24" ht="18" x14ac:dyDescent="0.35">
      <c r="A10" t="s">
        <v>139</v>
      </c>
      <c r="B10" s="61" t="s">
        <v>140</v>
      </c>
      <c r="C10" s="2">
        <f>Belastungstabelle_Website!B9</f>
        <v>1.25</v>
      </c>
    </row>
    <row r="11" spans="1:24" ht="18.75" x14ac:dyDescent="0.3">
      <c r="B11" s="61"/>
      <c r="H11" s="62"/>
      <c r="I11" s="62"/>
      <c r="J11" s="62"/>
      <c r="K11" s="62"/>
      <c r="L11" s="62"/>
      <c r="M11" s="62"/>
      <c r="P11" s="217" t="str">
        <f>A3</f>
        <v>Bemessungswerte</v>
      </c>
      <c r="Q11" s="217"/>
      <c r="R11" s="217"/>
      <c r="S11" s="217"/>
      <c r="T11" s="217"/>
      <c r="U11" s="217"/>
      <c r="V11" s="217"/>
      <c r="W11" s="217"/>
      <c r="X11" s="217"/>
    </row>
    <row r="12" spans="1:24" ht="18.75" x14ac:dyDescent="0.3">
      <c r="B12" s="61"/>
      <c r="H12" s="217" t="str">
        <f>A3</f>
        <v>Bemessungswerte</v>
      </c>
      <c r="I12" s="217"/>
      <c r="J12" s="217"/>
      <c r="K12" s="217"/>
      <c r="L12" s="217"/>
      <c r="M12" s="217"/>
      <c r="P12" s="210" t="s">
        <v>141</v>
      </c>
      <c r="Q12" s="210"/>
      <c r="R12" t="str">
        <f>B49</f>
        <v>GL24h</v>
      </c>
      <c r="S12" s="210" t="s">
        <v>141</v>
      </c>
      <c r="T12" s="210"/>
      <c r="U12" t="str">
        <f>B96</f>
        <v>GL24h</v>
      </c>
      <c r="V12" t="s">
        <v>141</v>
      </c>
      <c r="W12" t="str">
        <f>M156</f>
        <v>GL24h</v>
      </c>
    </row>
    <row r="13" spans="1:24" x14ac:dyDescent="0.25">
      <c r="A13" s="63"/>
      <c r="B13" s="63"/>
      <c r="C13" s="63"/>
      <c r="D13" s="63"/>
      <c r="E13" s="64"/>
      <c r="F13" s="215" t="s">
        <v>142</v>
      </c>
      <c r="G13" s="215" t="s">
        <v>143</v>
      </c>
      <c r="H13" s="178" t="s">
        <v>144</v>
      </c>
      <c r="I13" s="178"/>
      <c r="J13" s="178" t="s">
        <v>145</v>
      </c>
      <c r="K13" s="178"/>
      <c r="L13" s="178" t="s">
        <v>146</v>
      </c>
      <c r="M13" s="178"/>
      <c r="N13" s="178" t="s">
        <v>147</v>
      </c>
      <c r="O13" s="178"/>
      <c r="P13" s="178" t="s">
        <v>148</v>
      </c>
      <c r="Q13" s="178"/>
      <c r="R13" s="178"/>
      <c r="S13" s="178" t="s">
        <v>149</v>
      </c>
      <c r="T13" s="178"/>
      <c r="U13" s="178"/>
      <c r="V13" s="178" t="s">
        <v>150</v>
      </c>
      <c r="W13" s="178"/>
      <c r="X13" s="178"/>
    </row>
    <row r="14" spans="1:24" x14ac:dyDescent="0.25">
      <c r="A14" s="5" t="s">
        <v>2</v>
      </c>
      <c r="B14" s="178" t="s">
        <v>151</v>
      </c>
      <c r="C14" s="178"/>
      <c r="D14" s="178"/>
      <c r="E14" s="178"/>
      <c r="F14" s="215"/>
      <c r="G14" s="215"/>
      <c r="H14" s="3" t="s">
        <v>152</v>
      </c>
      <c r="I14" s="3" t="s">
        <v>153</v>
      </c>
      <c r="J14" s="3" t="s">
        <v>152</v>
      </c>
      <c r="K14" s="3" t="s">
        <v>153</v>
      </c>
      <c r="L14" s="3" t="s">
        <v>152</v>
      </c>
      <c r="M14" s="3" t="s">
        <v>153</v>
      </c>
      <c r="N14" s="3" t="s">
        <v>152</v>
      </c>
      <c r="O14" s="3" t="s">
        <v>153</v>
      </c>
      <c r="P14" s="178" t="s">
        <v>152</v>
      </c>
      <c r="Q14" s="178"/>
      <c r="R14" s="178"/>
      <c r="S14" s="178" t="s">
        <v>152</v>
      </c>
      <c r="T14" s="178"/>
      <c r="U14" s="178"/>
      <c r="V14" s="178" t="s">
        <v>152</v>
      </c>
      <c r="W14" s="178"/>
      <c r="X14" s="178"/>
    </row>
    <row r="15" spans="1:24" ht="18" x14ac:dyDescent="0.35">
      <c r="A15" s="6" t="s">
        <v>154</v>
      </c>
      <c r="B15" s="6" t="s">
        <v>155</v>
      </c>
      <c r="C15" s="6" t="s">
        <v>156</v>
      </c>
      <c r="D15" s="6" t="s">
        <v>157</v>
      </c>
      <c r="E15" s="6" t="s">
        <v>158</v>
      </c>
      <c r="F15" s="5" t="s">
        <v>159</v>
      </c>
      <c r="G15" s="5" t="s">
        <v>159</v>
      </c>
      <c r="H15" s="8" t="str">
        <f>IF($A$3=$S$39,"F1,alu,Rk","F1,alu,Rd")</f>
        <v>F1,alu,Rd</v>
      </c>
      <c r="I15" s="8" t="str">
        <f>IF($A$3=$S$39,"F1,alu,Rk","F1,alu,Rd")</f>
        <v>F1,alu,Rd</v>
      </c>
      <c r="J15" s="8" t="str">
        <f>IF($A$3=$S$39,"F2,alu,Rk","F2,alu,Rd")</f>
        <v>F2,alu,Rd</v>
      </c>
      <c r="K15" s="8" t="str">
        <f>IF($A$3=$S$39,"F2,alu,Rk","F2,alu,Rd")</f>
        <v>F2,alu,Rd</v>
      </c>
      <c r="L15" s="8" t="str">
        <f>IF($A$3=$S$39,"F45,alu,Rk","F45,alu,Rd")</f>
        <v>F45,alu,Rd</v>
      </c>
      <c r="M15" s="8" t="str">
        <f>IF($A$3=$S$39,"F45,alu,Rk","F45,alu,Rd")</f>
        <v>F45,alu,Rd</v>
      </c>
      <c r="N15" s="8" t="s">
        <v>160</v>
      </c>
      <c r="O15" s="8" t="s">
        <v>160</v>
      </c>
      <c r="P15" s="8" t="str">
        <f>IF($A$3=$S$39,"F2,J,screw,Rk","F2,J,screw,Rd")</f>
        <v>F2,J,screw,Rd</v>
      </c>
      <c r="Q15" s="8" t="str">
        <f>IF($A$3=$S$39,"F2,J,tau,Rk","F2,J,tau,Rd")</f>
        <v>F2,J,tau,Rd</v>
      </c>
      <c r="R15" s="12" t="str">
        <f>IF($A$3=$S$39,"min F2,J,Rk","min F2,J,Rd")</f>
        <v>min F2,J,Rd</v>
      </c>
      <c r="S15" s="8" t="str">
        <f>IF($A$3=$S$39,"F2,H,screw,Rk","F2,H,screw,Rd")</f>
        <v>F2,H,screw,Rd</v>
      </c>
      <c r="T15" s="8" t="str">
        <f>IF($A$3=$S$39,"F2,H,tau,Rk","F2,H,tau,Rd")</f>
        <v>F2,H,tau,Rd</v>
      </c>
      <c r="U15" s="12" t="str">
        <f>IF($A$3=$S$39,"min F2,H,Rk","min F2,H,Rd")</f>
        <v>min F2,H,Rd</v>
      </c>
      <c r="V15" s="8" t="str">
        <f>IF($A$3=$S$39,"F2,C,screw,Rk","F2,C,screw,Rd")</f>
        <v>F2,C,screw,Rd</v>
      </c>
      <c r="W15" s="8" t="str">
        <f>IF($A$3=$S$39,"F2,C,tau,Rk","F2,C,tau,Rd")</f>
        <v>F2,C,tau,Rd</v>
      </c>
      <c r="X15" s="12" t="str">
        <f>IF($A$3=$S$39,"min F2,C,Rk","min F2,C,Rd")</f>
        <v>min F2,C,Rd</v>
      </c>
    </row>
    <row r="16" spans="1:24" ht="18" x14ac:dyDescent="0.35">
      <c r="A16" s="7" t="s">
        <v>0</v>
      </c>
      <c r="B16" s="7" t="s">
        <v>0</v>
      </c>
      <c r="C16" s="7" t="s">
        <v>0</v>
      </c>
      <c r="D16" s="7" t="s">
        <v>0</v>
      </c>
      <c r="E16" s="7" t="s">
        <v>0</v>
      </c>
      <c r="F16" s="7" t="s">
        <v>161</v>
      </c>
      <c r="G16" s="7" t="s">
        <v>162</v>
      </c>
      <c r="H16" s="9" t="s">
        <v>1</v>
      </c>
      <c r="I16" s="9" t="s">
        <v>1</v>
      </c>
      <c r="J16" s="9" t="s">
        <v>1</v>
      </c>
      <c r="K16" s="9" t="s">
        <v>1</v>
      </c>
      <c r="L16" s="9" t="s">
        <v>1</v>
      </c>
      <c r="M16" s="9" t="s">
        <v>1</v>
      </c>
      <c r="N16" s="9" t="s">
        <v>0</v>
      </c>
      <c r="O16" s="9" t="s">
        <v>0</v>
      </c>
      <c r="P16" s="9" t="s">
        <v>1</v>
      </c>
      <c r="Q16" s="9" t="s">
        <v>1</v>
      </c>
      <c r="R16" s="13" t="s">
        <v>1</v>
      </c>
      <c r="S16" s="9" t="s">
        <v>1</v>
      </c>
      <c r="T16" s="9" t="s">
        <v>1</v>
      </c>
      <c r="U16" s="13" t="s">
        <v>1</v>
      </c>
      <c r="V16" s="9" t="s">
        <v>1</v>
      </c>
      <c r="W16" s="9" t="s">
        <v>1</v>
      </c>
      <c r="X16" s="13" t="s">
        <v>1</v>
      </c>
    </row>
    <row r="17" spans="1:24" x14ac:dyDescent="0.25">
      <c r="A17" s="65" t="s">
        <v>3</v>
      </c>
      <c r="B17" s="4">
        <v>60</v>
      </c>
      <c r="C17" s="4">
        <v>146</v>
      </c>
      <c r="D17" s="4">
        <v>200</v>
      </c>
      <c r="E17" s="66">
        <v>40</v>
      </c>
      <c r="F17" s="66">
        <v>4</v>
      </c>
      <c r="G17" s="66">
        <v>3</v>
      </c>
      <c r="H17" s="4">
        <f>0.8*B17/IF(A3=S39,1,$C$10)</f>
        <v>38.4</v>
      </c>
      <c r="I17" s="4">
        <f>0.4*B17/IF(A3=S39,1,$C$10)</f>
        <v>19.2</v>
      </c>
      <c r="J17" s="4">
        <f>4*B17/IF(A3=S39,1,$C$10)</f>
        <v>192</v>
      </c>
      <c r="K17" s="4">
        <f>2*B17/IF(A3=S39,1,$C$10)</f>
        <v>96</v>
      </c>
      <c r="L17" s="4">
        <f>28/IF(A3=S39,1,$C$10)</f>
        <v>22.4</v>
      </c>
      <c r="M17" s="4">
        <f>14/IF(A3=S39,1,$C$10)</f>
        <v>11.2</v>
      </c>
      <c r="N17" s="4">
        <v>12.5</v>
      </c>
      <c r="O17" s="4">
        <v>18</v>
      </c>
      <c r="P17" s="67">
        <f>J65</f>
        <v>33.996619261191306</v>
      </c>
      <c r="Q17" s="67">
        <f>M65</f>
        <v>35.535950769230773</v>
      </c>
      <c r="R17" s="68">
        <f>MIN(P17:Q17,J17)</f>
        <v>33.996619261191306</v>
      </c>
      <c r="S17" s="69">
        <f>M113</f>
        <v>33.996619261191306</v>
      </c>
      <c r="T17" s="69">
        <f>N113</f>
        <v>35.990843076923078</v>
      </c>
      <c r="U17" s="70">
        <f>MIN(S17:T17,J17)</f>
        <v>33.996619261191306</v>
      </c>
      <c r="V17" s="69">
        <f>Q160</f>
        <v>33.996619261191306</v>
      </c>
      <c r="W17" s="69">
        <f>R160</f>
        <v>36.234927423104224</v>
      </c>
      <c r="X17" s="71">
        <f>MIN(V17:W17)</f>
        <v>33.996619261191306</v>
      </c>
    </row>
    <row r="18" spans="1:24" x14ac:dyDescent="0.25">
      <c r="A18" s="65" t="s">
        <v>4</v>
      </c>
      <c r="B18" s="4">
        <v>100</v>
      </c>
      <c r="C18" s="4">
        <v>146</v>
      </c>
      <c r="D18" s="4">
        <v>200</v>
      </c>
      <c r="E18" s="66">
        <v>80</v>
      </c>
      <c r="F18" s="66">
        <v>6</v>
      </c>
      <c r="G18" s="66">
        <v>3</v>
      </c>
      <c r="H18" s="4">
        <f>0.8*B18/IF(A3=S39,1,$C$10)</f>
        <v>64</v>
      </c>
      <c r="I18" s="4">
        <f>0.4*B18/IF(A3=S39,1,$C$10)</f>
        <v>32</v>
      </c>
      <c r="J18" s="4">
        <f>4*B18/IF(A3=S39,1,$C$10)</f>
        <v>320</v>
      </c>
      <c r="K18" s="4">
        <f>2*B18/IF(A3=S39,1,$C$10)</f>
        <v>160</v>
      </c>
      <c r="L18" s="4">
        <f>28/IF(A3=S39,1,$C$10)</f>
        <v>22.4</v>
      </c>
      <c r="M18" s="4">
        <f>14/IF(A4=R40,1,$C$10)</f>
        <v>14</v>
      </c>
      <c r="N18" s="4">
        <v>12.5</v>
      </c>
      <c r="O18" s="4">
        <v>18</v>
      </c>
      <c r="P18" s="67">
        <f>J66</f>
        <v>50.994928891786955</v>
      </c>
      <c r="Q18" s="67">
        <f>M66</f>
        <v>42.436135384615383</v>
      </c>
      <c r="R18" s="68">
        <f t="shared" ref="R18:R31" si="0">MIN(P18:Q18,J18)</f>
        <v>42.436135384615383</v>
      </c>
      <c r="S18" s="69">
        <f t="shared" ref="S18:T31" si="1">M114</f>
        <v>50.994928891786962</v>
      </c>
      <c r="T18" s="69">
        <f t="shared" si="1"/>
        <v>43.357735384615374</v>
      </c>
      <c r="U18" s="70">
        <f t="shared" ref="U18:U31" si="2">MIN(S18:T18,J18)</f>
        <v>43.357735384615374</v>
      </c>
      <c r="V18" s="69">
        <f t="shared" ref="V18:W31" si="3">Q161</f>
        <v>50.994928891786962</v>
      </c>
      <c r="W18" s="69">
        <f t="shared" si="3"/>
        <v>69.728648220942873</v>
      </c>
      <c r="X18" s="71">
        <f t="shared" ref="X18:X31" si="4">MIN(V18:W18)</f>
        <v>50.994928891786962</v>
      </c>
    </row>
    <row r="19" spans="1:24" x14ac:dyDescent="0.25">
      <c r="A19" s="65" t="s">
        <v>5</v>
      </c>
      <c r="B19" s="4">
        <v>140</v>
      </c>
      <c r="C19" s="4">
        <v>146</v>
      </c>
      <c r="D19" s="4">
        <v>200</v>
      </c>
      <c r="E19" s="66">
        <v>120</v>
      </c>
      <c r="F19" s="66">
        <v>8</v>
      </c>
      <c r="G19" s="66">
        <v>3</v>
      </c>
      <c r="H19" s="4">
        <f>0.8*B19/IF(A3=S39,1,$C$10)</f>
        <v>89.6</v>
      </c>
      <c r="I19" s="4">
        <f>0.4*B19/IF(A3=S39,1,$C$10)</f>
        <v>44.8</v>
      </c>
      <c r="J19" s="4">
        <f>4*B19/IF(A3=S39,1,$C$10)</f>
        <v>448</v>
      </c>
      <c r="K19" s="4">
        <f>2*B19/IF(A3=S39,1,$C$10)</f>
        <v>224</v>
      </c>
      <c r="L19" s="4">
        <f>28/IF(A4=R40,1,$C$10)</f>
        <v>28</v>
      </c>
      <c r="M19" s="4">
        <f>14/IF(A5=S41,1,$C$10)</f>
        <v>11.2</v>
      </c>
      <c r="N19" s="4">
        <v>12.5</v>
      </c>
      <c r="O19" s="4">
        <v>18</v>
      </c>
      <c r="P19" s="67">
        <f>J67</f>
        <v>67.993238522382612</v>
      </c>
      <c r="Q19" s="67">
        <f>M67</f>
        <v>49.336320000000001</v>
      </c>
      <c r="R19" s="68">
        <f t="shared" si="0"/>
        <v>49.336320000000001</v>
      </c>
      <c r="S19" s="69">
        <f t="shared" si="1"/>
        <v>67.993238522382612</v>
      </c>
      <c r="T19" s="69">
        <f t="shared" si="1"/>
        <v>51.315396923076918</v>
      </c>
      <c r="U19" s="70">
        <f t="shared" si="2"/>
        <v>51.315396923076918</v>
      </c>
      <c r="V19" s="69">
        <f t="shared" si="3"/>
        <v>67.993238522382612</v>
      </c>
      <c r="W19" s="69">
        <f t="shared" si="3"/>
        <v>127.83585507172862</v>
      </c>
      <c r="X19" s="71">
        <f t="shared" si="4"/>
        <v>67.993238522382612</v>
      </c>
    </row>
    <row r="20" spans="1:24" ht="15.75" thickBot="1" x14ac:dyDescent="0.3">
      <c r="A20" s="72" t="s">
        <v>20</v>
      </c>
      <c r="B20" s="11">
        <v>180</v>
      </c>
      <c r="C20" s="11">
        <v>146</v>
      </c>
      <c r="D20" s="11">
        <v>200</v>
      </c>
      <c r="E20" s="73">
        <v>160</v>
      </c>
      <c r="F20" s="73">
        <v>8</v>
      </c>
      <c r="G20" s="73">
        <v>3</v>
      </c>
      <c r="H20" s="11">
        <f>0.8*B20/IF(A4=R40,1,$C$10)</f>
        <v>144</v>
      </c>
      <c r="I20" s="11">
        <f>0.4*B20/IF(A4=R40,1,$C$10)</f>
        <v>72</v>
      </c>
      <c r="J20" s="11">
        <f>4*B20/IF(A3=R40,1,$C$10)</f>
        <v>576</v>
      </c>
      <c r="K20" s="11">
        <f>2*B20/IF(A4=R40,1,$C$10)</f>
        <v>360</v>
      </c>
      <c r="L20" s="11">
        <f>28/IF(A5=S41,1,$C$10)</f>
        <v>22.4</v>
      </c>
      <c r="M20" s="11">
        <f>14/IF(A6=S42,1,$C$10)</f>
        <v>11.2</v>
      </c>
      <c r="N20" s="11">
        <v>12.5</v>
      </c>
      <c r="O20" s="11">
        <v>18</v>
      </c>
      <c r="P20" s="74">
        <f>J68</f>
        <v>67.993238522382612</v>
      </c>
      <c r="Q20" s="74">
        <f>M68</f>
        <v>51.061366153846151</v>
      </c>
      <c r="R20" s="75">
        <f t="shared" si="0"/>
        <v>51.061366153846151</v>
      </c>
      <c r="S20" s="76">
        <f t="shared" si="1"/>
        <v>67.993238522382612</v>
      </c>
      <c r="T20" s="76">
        <f t="shared" si="1"/>
        <v>56.809550769230761</v>
      </c>
      <c r="U20" s="77">
        <f t="shared" si="2"/>
        <v>56.809550769230761</v>
      </c>
      <c r="V20" s="76">
        <f t="shared" si="3"/>
        <v>67.993238522382612</v>
      </c>
      <c r="W20" s="76">
        <f t="shared" si="3"/>
        <v>185.94306192251435</v>
      </c>
      <c r="X20" s="78">
        <f t="shared" si="4"/>
        <v>67.993238522382612</v>
      </c>
    </row>
    <row r="21" spans="1:24" ht="15.75" thickTop="1" x14ac:dyDescent="0.25">
      <c r="A21" s="79" t="s">
        <v>6</v>
      </c>
      <c r="B21" s="9">
        <v>60</v>
      </c>
      <c r="C21" s="9">
        <v>260</v>
      </c>
      <c r="D21" s="9">
        <v>360</v>
      </c>
      <c r="E21" s="80">
        <v>40</v>
      </c>
      <c r="F21" s="80">
        <v>8</v>
      </c>
      <c r="G21" s="80">
        <v>4</v>
      </c>
      <c r="H21" s="9">
        <f>1*B21/IF(A3=S39,1,$C$10)</f>
        <v>48</v>
      </c>
      <c r="I21" s="9">
        <f>0.5*B21/IF(A3=S39,1,$C$10)</f>
        <v>24</v>
      </c>
      <c r="J21" s="9">
        <f>5*B21/IF(A3=S39,1,$C$10)</f>
        <v>240</v>
      </c>
      <c r="K21" s="9">
        <f>2.5*B21/IF(A3=S39,1,$C$10)</f>
        <v>120</v>
      </c>
      <c r="L21" s="9">
        <f>36/IF(A5=S41,1,$C$10)</f>
        <v>28.8</v>
      </c>
      <c r="M21" s="9">
        <f>18/IF(A6=S43,1,$C$10)</f>
        <v>14.4</v>
      </c>
      <c r="N21" s="9">
        <v>15</v>
      </c>
      <c r="O21" s="9">
        <v>22.5</v>
      </c>
      <c r="P21" s="81">
        <f>J69</f>
        <v>81.650543226303299</v>
      </c>
      <c r="Q21" s="81">
        <f>M69</f>
        <v>98.304000000000002</v>
      </c>
      <c r="R21" s="82">
        <f t="shared" si="0"/>
        <v>81.650543226303299</v>
      </c>
      <c r="S21" s="83">
        <f t="shared" si="1"/>
        <v>81.650543226303313</v>
      </c>
      <c r="T21" s="83">
        <f t="shared" si="1"/>
        <v>98.422153846153847</v>
      </c>
      <c r="U21" s="84">
        <f t="shared" si="2"/>
        <v>81.650543226303313</v>
      </c>
      <c r="V21" s="83">
        <f t="shared" si="3"/>
        <v>81.650543226303313</v>
      </c>
      <c r="W21" s="83">
        <f t="shared" si="3"/>
        <v>79.90744470114447</v>
      </c>
      <c r="X21" s="85">
        <f t="shared" si="4"/>
        <v>79.90744470114447</v>
      </c>
    </row>
    <row r="22" spans="1:24" x14ac:dyDescent="0.25">
      <c r="A22" s="65" t="s">
        <v>7</v>
      </c>
      <c r="B22" s="4">
        <v>100</v>
      </c>
      <c r="C22" s="4">
        <v>260</v>
      </c>
      <c r="D22" s="4">
        <v>360</v>
      </c>
      <c r="E22" s="66">
        <v>80</v>
      </c>
      <c r="F22" s="66">
        <v>10</v>
      </c>
      <c r="G22" s="66">
        <v>4</v>
      </c>
      <c r="H22" s="4">
        <f>1*B22/IF(A3=S39,1,$C$10)</f>
        <v>80</v>
      </c>
      <c r="I22" s="4">
        <f>0.5*B22/IF(A3=S39,1,$C$10)</f>
        <v>40</v>
      </c>
      <c r="J22" s="4">
        <f>5*B22/IF(A3=S39,1,$C$10)</f>
        <v>400</v>
      </c>
      <c r="K22" s="4">
        <f>2.5*B22/IF(A3=S39,1,$C$10)</f>
        <v>200</v>
      </c>
      <c r="L22" s="4">
        <f>36/IF(A6=S43,1,$C$10)</f>
        <v>28.8</v>
      </c>
      <c r="M22" s="4">
        <f>18/IF(A7=S44,1,$C$10)</f>
        <v>14.4</v>
      </c>
      <c r="N22" s="4">
        <v>15</v>
      </c>
      <c r="O22" s="4">
        <v>22.5</v>
      </c>
      <c r="P22" s="67">
        <f t="shared" ref="P22:P24" si="5">J70</f>
        <v>102.06317903287913</v>
      </c>
      <c r="Q22" s="67">
        <f t="shared" ref="Q22:Q24" si="6">M70</f>
        <v>110.592</v>
      </c>
      <c r="R22" s="68">
        <f t="shared" si="0"/>
        <v>102.06317903287913</v>
      </c>
      <c r="S22" s="69">
        <f t="shared" si="1"/>
        <v>102.06317903287913</v>
      </c>
      <c r="T22" s="69">
        <f t="shared" si="1"/>
        <v>106.69292307692308</v>
      </c>
      <c r="U22" s="70">
        <f t="shared" si="2"/>
        <v>102.06317903287913</v>
      </c>
      <c r="V22" s="69">
        <f t="shared" si="3"/>
        <v>102.06317903287913</v>
      </c>
      <c r="W22" s="69">
        <f t="shared" si="3"/>
        <v>101.83097947037525</v>
      </c>
      <c r="X22" s="71">
        <f t="shared" si="4"/>
        <v>101.83097947037525</v>
      </c>
    </row>
    <row r="23" spans="1:24" x14ac:dyDescent="0.25">
      <c r="A23" s="65" t="s">
        <v>8</v>
      </c>
      <c r="B23" s="4">
        <v>140</v>
      </c>
      <c r="C23" s="4">
        <v>260</v>
      </c>
      <c r="D23" s="4">
        <v>360</v>
      </c>
      <c r="E23" s="66">
        <v>120</v>
      </c>
      <c r="F23" s="66">
        <v>12</v>
      </c>
      <c r="G23" s="66">
        <v>4</v>
      </c>
      <c r="H23" s="4">
        <f>1*B23/IF(A3=S39,1,$C$10)</f>
        <v>112</v>
      </c>
      <c r="I23" s="4">
        <f>0.5*B23/IF(A3=S39,1,$C$10)</f>
        <v>56</v>
      </c>
      <c r="J23" s="4">
        <f>5*B23/IF(A3=S39,1,$C$10)</f>
        <v>560</v>
      </c>
      <c r="K23" s="4">
        <f>2.5*B23/IF(A3=S39,1,$C$10)</f>
        <v>280</v>
      </c>
      <c r="L23" s="4">
        <f>36/IF(A7=S44,1,$C$10)</f>
        <v>28.8</v>
      </c>
      <c r="M23" s="4">
        <f>18/IF(A8=S45,1,$C$10)</f>
        <v>14.4</v>
      </c>
      <c r="N23" s="4">
        <v>15</v>
      </c>
      <c r="O23" s="4">
        <v>22.5</v>
      </c>
      <c r="P23" s="67">
        <f t="shared" si="5"/>
        <v>122.47581483945496</v>
      </c>
      <c r="Q23" s="67">
        <f t="shared" si="6"/>
        <v>122.88</v>
      </c>
      <c r="R23" s="68">
        <f t="shared" si="0"/>
        <v>122.47581483945496</v>
      </c>
      <c r="S23" s="69">
        <f t="shared" si="1"/>
        <v>122.47581483945496</v>
      </c>
      <c r="T23" s="69">
        <f t="shared" si="1"/>
        <v>123.17538461538463</v>
      </c>
      <c r="U23" s="70">
        <f t="shared" si="2"/>
        <v>122.47581483945496</v>
      </c>
      <c r="V23" s="69">
        <f t="shared" si="3"/>
        <v>122.47581483945496</v>
      </c>
      <c r="W23" s="69">
        <f t="shared" si="3"/>
        <v>140.7606356609688</v>
      </c>
      <c r="X23" s="71">
        <f t="shared" si="4"/>
        <v>122.47581483945496</v>
      </c>
    </row>
    <row r="24" spans="1:24" ht="15.75" thickBot="1" x14ac:dyDescent="0.3">
      <c r="A24" s="72" t="s">
        <v>21</v>
      </c>
      <c r="B24" s="11">
        <v>180</v>
      </c>
      <c r="C24" s="11">
        <v>260</v>
      </c>
      <c r="D24" s="11">
        <v>360</v>
      </c>
      <c r="E24" s="73">
        <v>160</v>
      </c>
      <c r="F24" s="73">
        <v>14</v>
      </c>
      <c r="G24" s="73">
        <v>4</v>
      </c>
      <c r="H24" s="11">
        <f>1*B24/IF(A4=R40,1,$C$10)</f>
        <v>180</v>
      </c>
      <c r="I24" s="11">
        <f>0.5*B24/IF(A4=R40,1,$C$10)</f>
        <v>90</v>
      </c>
      <c r="J24" s="11">
        <f>5*B24/IF(A3=R40,1,$C$10)</f>
        <v>720</v>
      </c>
      <c r="K24" s="11">
        <f>2.5*B24/IF(A4=R40,1,$C$10)</f>
        <v>450</v>
      </c>
      <c r="L24" s="11">
        <f>36/IF(A8=S45,1,$C$10)</f>
        <v>28.8</v>
      </c>
      <c r="M24" s="11">
        <f>18/IF(A9=S46,1,$C$10)</f>
        <v>14.4</v>
      </c>
      <c r="N24" s="11">
        <v>15</v>
      </c>
      <c r="O24" s="11">
        <v>22.5</v>
      </c>
      <c r="P24" s="74">
        <f t="shared" si="5"/>
        <v>142.88845064603078</v>
      </c>
      <c r="Q24" s="74">
        <f t="shared" si="6"/>
        <v>135.16800000000001</v>
      </c>
      <c r="R24" s="75">
        <f t="shared" si="0"/>
        <v>135.16800000000001</v>
      </c>
      <c r="S24" s="76">
        <f t="shared" si="1"/>
        <v>142.8884506460308</v>
      </c>
      <c r="T24" s="76">
        <f t="shared" si="1"/>
        <v>136.43815384615385</v>
      </c>
      <c r="U24" s="77">
        <f t="shared" si="2"/>
        <v>136.43815384615385</v>
      </c>
      <c r="V24" s="76">
        <f t="shared" si="3"/>
        <v>142.8884506460308</v>
      </c>
      <c r="W24" s="76">
        <f t="shared" si="3"/>
        <v>218.96098880595147</v>
      </c>
      <c r="X24" s="78">
        <f t="shared" si="4"/>
        <v>142.8884506460308</v>
      </c>
    </row>
    <row r="25" spans="1:24" ht="15.75" thickTop="1" x14ac:dyDescent="0.25">
      <c r="A25" s="79" t="s">
        <v>9</v>
      </c>
      <c r="B25" s="9">
        <v>60</v>
      </c>
      <c r="C25" s="9">
        <v>400</v>
      </c>
      <c r="D25" s="9">
        <v>500</v>
      </c>
      <c r="E25" s="80">
        <v>40</v>
      </c>
      <c r="F25" s="80">
        <v>12</v>
      </c>
      <c r="G25" s="80">
        <v>6</v>
      </c>
      <c r="H25" s="9">
        <f>1.2*B25/IF(A3=S39,1,$C$10)</f>
        <v>57.6</v>
      </c>
      <c r="I25" s="9">
        <f>0.6*B25/IF(A3=S39,1,$C$10)</f>
        <v>28.8</v>
      </c>
      <c r="J25" s="9">
        <f>8*B25/IF(A3=S39,1,$C$10)</f>
        <v>384</v>
      </c>
      <c r="K25" s="9">
        <f>4*B25/IF(A3=S39,1,$C$10)</f>
        <v>192</v>
      </c>
      <c r="L25" s="9">
        <f>54/IF(A8=S45,1,$C$10)</f>
        <v>43.2</v>
      </c>
      <c r="M25" s="9">
        <f>27/IF(A9=S46,1,$C$10)</f>
        <v>21.6</v>
      </c>
      <c r="N25" s="9">
        <v>20</v>
      </c>
      <c r="O25" s="9">
        <v>30</v>
      </c>
      <c r="P25" s="81">
        <f>J73</f>
        <v>171.57172337423646</v>
      </c>
      <c r="Q25" s="81">
        <f>M73</f>
        <v>217.4030769230769</v>
      </c>
      <c r="R25" s="82">
        <f t="shared" si="0"/>
        <v>171.57172337423646</v>
      </c>
      <c r="S25" s="83">
        <f t="shared" si="1"/>
        <v>171.57172337423646</v>
      </c>
      <c r="T25" s="83">
        <f t="shared" si="1"/>
        <v>217.1076923076923</v>
      </c>
      <c r="U25" s="84">
        <f t="shared" si="2"/>
        <v>171.57172337423646</v>
      </c>
      <c r="V25" s="83">
        <f t="shared" si="3"/>
        <v>158.81494390882733</v>
      </c>
      <c r="W25" s="83">
        <f t="shared" si="3"/>
        <v>153.77326438188007</v>
      </c>
      <c r="X25" s="85">
        <f t="shared" si="4"/>
        <v>153.77326438188007</v>
      </c>
    </row>
    <row r="26" spans="1:24" x14ac:dyDescent="0.25">
      <c r="A26" s="65" t="s">
        <v>10</v>
      </c>
      <c r="B26" s="4">
        <v>100</v>
      </c>
      <c r="C26" s="4">
        <v>400</v>
      </c>
      <c r="D26" s="4">
        <v>500</v>
      </c>
      <c r="E26" s="66">
        <v>80</v>
      </c>
      <c r="F26" s="66">
        <v>20</v>
      </c>
      <c r="G26" s="66">
        <v>6</v>
      </c>
      <c r="H26" s="4">
        <f>1.2*B26/IF(A4=R40,1,$C$10)</f>
        <v>120</v>
      </c>
      <c r="I26" s="4">
        <f>0.6*B26/IF(A4=R40,1,$C$10)</f>
        <v>60</v>
      </c>
      <c r="J26" s="4">
        <f>8*B26/IF(A4=R40,1,$C$10)</f>
        <v>800</v>
      </c>
      <c r="K26" s="4">
        <f>4*B26/IF(A3=R40,1,$C$10)</f>
        <v>320</v>
      </c>
      <c r="L26" s="4">
        <f>54/IF(A9=S46,1,$C$10)</f>
        <v>43.2</v>
      </c>
      <c r="M26" s="4">
        <f>27/IF(A10=S47,1,$C$10)</f>
        <v>21.6</v>
      </c>
      <c r="N26" s="4">
        <v>20</v>
      </c>
      <c r="O26" s="4">
        <v>30</v>
      </c>
      <c r="P26" s="67">
        <f t="shared" ref="P26:P31" si="7">J74</f>
        <v>285.95287229039411</v>
      </c>
      <c r="Q26" s="67">
        <f t="shared" ref="Q26:Q31" si="8">M74</f>
        <v>238.27692307692305</v>
      </c>
      <c r="R26" s="68">
        <f t="shared" si="0"/>
        <v>238.27692307692305</v>
      </c>
      <c r="S26" s="69">
        <f t="shared" si="1"/>
        <v>285.95287229039411</v>
      </c>
      <c r="T26" s="69">
        <f t="shared" si="1"/>
        <v>240.44307692307689</v>
      </c>
      <c r="U26" s="70">
        <f t="shared" si="2"/>
        <v>240.44307692307689</v>
      </c>
      <c r="V26" s="69">
        <f t="shared" si="3"/>
        <v>244.10725160113503</v>
      </c>
      <c r="W26" s="69">
        <f t="shared" si="3"/>
        <v>176.84095668957238</v>
      </c>
      <c r="X26" s="71">
        <f t="shared" si="4"/>
        <v>176.84095668957238</v>
      </c>
    </row>
    <row r="27" spans="1:24" x14ac:dyDescent="0.25">
      <c r="A27" s="65" t="s">
        <v>11</v>
      </c>
      <c r="B27" s="4">
        <v>140</v>
      </c>
      <c r="C27" s="4">
        <v>400</v>
      </c>
      <c r="D27" s="4">
        <v>500</v>
      </c>
      <c r="E27" s="66">
        <v>120</v>
      </c>
      <c r="F27" s="66">
        <v>20</v>
      </c>
      <c r="G27" s="66">
        <v>6</v>
      </c>
      <c r="H27" s="4">
        <f t="shared" ref="H27:H31" si="9">1.2*B27/IF(A5=S41,1,$C$10)</f>
        <v>134.4</v>
      </c>
      <c r="I27" s="4">
        <f t="shared" ref="I27:I31" si="10">0.6*B27/IF(A5=S41,1,$C$10)</f>
        <v>67.2</v>
      </c>
      <c r="J27" s="4">
        <f t="shared" ref="J27:J31" si="11">8*B27/IF(A5=S41,1,$C$10)</f>
        <v>896</v>
      </c>
      <c r="K27" s="4">
        <f>4*B27/IF(A3=S41,1,$C$10)</f>
        <v>448</v>
      </c>
      <c r="L27" s="4">
        <f>54/IF(A10=S47,1,$C$10)</f>
        <v>43.2</v>
      </c>
      <c r="M27" s="4">
        <f>27/IF(A13=S48,1,$C$10)</f>
        <v>21.6</v>
      </c>
      <c r="N27" s="4">
        <v>20</v>
      </c>
      <c r="O27" s="4">
        <v>30</v>
      </c>
      <c r="P27" s="67">
        <f t="shared" si="7"/>
        <v>285.95287229039411</v>
      </c>
      <c r="Q27" s="67">
        <f t="shared" si="8"/>
        <v>255.21230769230766</v>
      </c>
      <c r="R27" s="68">
        <f t="shared" si="0"/>
        <v>255.21230769230766</v>
      </c>
      <c r="S27" s="69">
        <f t="shared" si="1"/>
        <v>285.95287229039411</v>
      </c>
      <c r="T27" s="69">
        <f t="shared" si="1"/>
        <v>259.2</v>
      </c>
      <c r="U27" s="70">
        <f t="shared" si="2"/>
        <v>259.2</v>
      </c>
      <c r="V27" s="69">
        <f t="shared" si="3"/>
        <v>306.23363331640837</v>
      </c>
      <c r="W27" s="69">
        <f t="shared" si="3"/>
        <v>262.84007584841402</v>
      </c>
      <c r="X27" s="71">
        <f t="shared" si="4"/>
        <v>262.84007584841402</v>
      </c>
    </row>
    <row r="28" spans="1:24" x14ac:dyDescent="0.25">
      <c r="A28" s="65" t="s">
        <v>16</v>
      </c>
      <c r="B28" s="4">
        <v>180</v>
      </c>
      <c r="C28" s="4">
        <v>400</v>
      </c>
      <c r="D28" s="4">
        <v>500</v>
      </c>
      <c r="E28" s="66">
        <v>160</v>
      </c>
      <c r="F28" s="66">
        <v>20</v>
      </c>
      <c r="G28" s="66">
        <v>6</v>
      </c>
      <c r="H28" s="4">
        <f t="shared" si="9"/>
        <v>172.8</v>
      </c>
      <c r="I28" s="4">
        <f t="shared" si="10"/>
        <v>86.4</v>
      </c>
      <c r="J28" s="4">
        <f t="shared" si="11"/>
        <v>1152</v>
      </c>
      <c r="K28" s="4">
        <f>4*B28/IF(A3=S42,1,$C$10)</f>
        <v>576</v>
      </c>
      <c r="L28" s="4">
        <f>54/IF(A13=S48,1,$C$10)</f>
        <v>43.2</v>
      </c>
      <c r="M28" s="4">
        <f>27/IF(A14=S49,1,$C$10)</f>
        <v>21.6</v>
      </c>
      <c r="N28" s="4">
        <v>20</v>
      </c>
      <c r="O28" s="4">
        <v>30</v>
      </c>
      <c r="P28" s="67">
        <f t="shared" si="7"/>
        <v>285.95287229039411</v>
      </c>
      <c r="Q28" s="67">
        <f t="shared" si="8"/>
        <v>274.11692307692306</v>
      </c>
      <c r="R28" s="68">
        <f t="shared" si="0"/>
        <v>274.11692307692306</v>
      </c>
      <c r="S28" s="69">
        <f t="shared" si="1"/>
        <v>285.95287229039411</v>
      </c>
      <c r="T28" s="69">
        <f t="shared" si="1"/>
        <v>278.54769230769227</v>
      </c>
      <c r="U28" s="70">
        <f t="shared" si="2"/>
        <v>278.54769230769227</v>
      </c>
      <c r="V28" s="69">
        <f t="shared" si="3"/>
        <v>311.85971371157518</v>
      </c>
      <c r="W28" s="69">
        <f t="shared" si="3"/>
        <v>382.31283759769309</v>
      </c>
      <c r="X28" s="71">
        <f t="shared" si="4"/>
        <v>311.85971371157518</v>
      </c>
    </row>
    <row r="29" spans="1:24" x14ac:dyDescent="0.25">
      <c r="A29" s="65" t="s">
        <v>17</v>
      </c>
      <c r="B29" s="4">
        <v>220</v>
      </c>
      <c r="C29" s="4">
        <v>400</v>
      </c>
      <c r="D29" s="4">
        <v>500</v>
      </c>
      <c r="E29" s="66">
        <v>200</v>
      </c>
      <c r="F29" s="66">
        <v>22</v>
      </c>
      <c r="G29" s="66">
        <v>6</v>
      </c>
      <c r="H29" s="4">
        <f t="shared" si="9"/>
        <v>211.2</v>
      </c>
      <c r="I29" s="4">
        <f t="shared" si="10"/>
        <v>105.6</v>
      </c>
      <c r="J29" s="4">
        <f t="shared" si="11"/>
        <v>1408</v>
      </c>
      <c r="K29" s="4">
        <f>4*B29/IF(A3=S43,1,$C$10)</f>
        <v>704</v>
      </c>
      <c r="L29" s="4">
        <f>54/IF(A14=S49,1,$C$10)</f>
        <v>43.2</v>
      </c>
      <c r="M29" s="4">
        <f>27/IF(A14=S50,1,$C$10)</f>
        <v>21.6</v>
      </c>
      <c r="N29" s="4">
        <v>20</v>
      </c>
      <c r="O29" s="4">
        <v>30</v>
      </c>
      <c r="P29" s="67">
        <f t="shared" si="7"/>
        <v>314.54815951943351</v>
      </c>
      <c r="Q29" s="67">
        <f t="shared" si="8"/>
        <v>293.0215384615384</v>
      </c>
      <c r="R29" s="68">
        <f t="shared" si="0"/>
        <v>293.0215384615384</v>
      </c>
      <c r="S29" s="69">
        <f t="shared" si="1"/>
        <v>314.54815951943351</v>
      </c>
      <c r="T29" s="69">
        <f t="shared" si="1"/>
        <v>298.4861538461538</v>
      </c>
      <c r="U29" s="70">
        <f t="shared" si="2"/>
        <v>298.4861538461538</v>
      </c>
      <c r="V29" s="69">
        <f t="shared" si="3"/>
        <v>343.04568508273269</v>
      </c>
      <c r="W29" s="69">
        <f t="shared" si="3"/>
        <v>501.78559934697216</v>
      </c>
      <c r="X29" s="71">
        <f t="shared" si="4"/>
        <v>343.04568508273269</v>
      </c>
    </row>
    <row r="30" spans="1:24" x14ac:dyDescent="0.25">
      <c r="A30" s="65" t="s">
        <v>18</v>
      </c>
      <c r="B30" s="4">
        <v>260</v>
      </c>
      <c r="C30" s="4">
        <v>400</v>
      </c>
      <c r="D30" s="4">
        <v>500</v>
      </c>
      <c r="E30" s="66">
        <v>240</v>
      </c>
      <c r="F30" s="66">
        <v>24</v>
      </c>
      <c r="G30" s="66">
        <v>6</v>
      </c>
      <c r="H30" s="4">
        <f t="shared" si="9"/>
        <v>249.6</v>
      </c>
      <c r="I30" s="4">
        <f t="shared" si="10"/>
        <v>124.8</v>
      </c>
      <c r="J30" s="4">
        <f t="shared" si="11"/>
        <v>1664</v>
      </c>
      <c r="K30" s="4">
        <f>4*B30/IF(A3=S44,1,$C$10)</f>
        <v>832</v>
      </c>
      <c r="L30" s="4">
        <f>54/IF(A14=S50,1,$C$10)</f>
        <v>43.2</v>
      </c>
      <c r="M30" s="4">
        <f>27/IF(A15=S51,1,$C$10)</f>
        <v>21.6</v>
      </c>
      <c r="N30" s="4">
        <v>20</v>
      </c>
      <c r="O30" s="4">
        <v>30</v>
      </c>
      <c r="P30" s="67">
        <f t="shared" si="7"/>
        <v>343.14344674847291</v>
      </c>
      <c r="Q30" s="67">
        <f t="shared" si="8"/>
        <v>311.92615384615385</v>
      </c>
      <c r="R30" s="68">
        <f t="shared" si="0"/>
        <v>311.92615384615385</v>
      </c>
      <c r="S30" s="69">
        <f t="shared" si="1"/>
        <v>343.14344674847291</v>
      </c>
      <c r="T30" s="69">
        <f t="shared" si="1"/>
        <v>319.01538461538456</v>
      </c>
      <c r="U30" s="70">
        <f t="shared" si="2"/>
        <v>319.01538461538456</v>
      </c>
      <c r="V30" s="69">
        <f t="shared" si="3"/>
        <v>374.2316564538902</v>
      </c>
      <c r="W30" s="69">
        <f t="shared" si="3"/>
        <v>621.25836109625118</v>
      </c>
      <c r="X30" s="71">
        <f t="shared" si="4"/>
        <v>374.2316564538902</v>
      </c>
    </row>
    <row r="31" spans="1:24" x14ac:dyDescent="0.25">
      <c r="A31" s="65" t="s">
        <v>19</v>
      </c>
      <c r="B31" s="4">
        <v>300</v>
      </c>
      <c r="C31" s="4">
        <v>400</v>
      </c>
      <c r="D31" s="4">
        <v>500</v>
      </c>
      <c r="E31" s="66">
        <v>280</v>
      </c>
      <c r="F31" s="66">
        <v>24</v>
      </c>
      <c r="G31" s="66">
        <v>6</v>
      </c>
      <c r="H31" s="4">
        <f t="shared" si="9"/>
        <v>288</v>
      </c>
      <c r="I31" s="4">
        <f t="shared" si="10"/>
        <v>144</v>
      </c>
      <c r="J31" s="4">
        <f t="shared" si="11"/>
        <v>1920</v>
      </c>
      <c r="K31" s="4">
        <f>4*B31/IF(A3=S45,1,$C$10)</f>
        <v>960</v>
      </c>
      <c r="L31" s="4">
        <f>54/IF(A15=S51,1,$C$10)</f>
        <v>43.2</v>
      </c>
      <c r="M31" s="4">
        <f>27/IF(A17=S52,1,$C$10)</f>
        <v>21.6</v>
      </c>
      <c r="N31" s="4">
        <v>20</v>
      </c>
      <c r="O31" s="4">
        <v>30</v>
      </c>
      <c r="P31" s="67">
        <f t="shared" si="7"/>
        <v>343.14344674847291</v>
      </c>
      <c r="Q31" s="67">
        <f t="shared" si="8"/>
        <v>330.83076923076919</v>
      </c>
      <c r="R31" s="68">
        <f t="shared" si="0"/>
        <v>330.83076923076919</v>
      </c>
      <c r="S31" s="69">
        <f t="shared" si="1"/>
        <v>343.14344674847291</v>
      </c>
      <c r="T31" s="69">
        <f t="shared" si="1"/>
        <v>340.13538461538462</v>
      </c>
      <c r="U31" s="70">
        <f t="shared" si="2"/>
        <v>340.13538461538462</v>
      </c>
      <c r="V31" s="69">
        <f t="shared" si="3"/>
        <v>374.2316564538902</v>
      </c>
      <c r="W31" s="69">
        <f t="shared" si="3"/>
        <v>740.73112284553019</v>
      </c>
      <c r="X31" s="71">
        <f t="shared" si="4"/>
        <v>374.2316564538902</v>
      </c>
    </row>
    <row r="32" spans="1:24" x14ac:dyDescent="0.25">
      <c r="B32" s="2"/>
      <c r="C32" s="2"/>
      <c r="D32" s="2"/>
      <c r="E32" s="2"/>
      <c r="F32" s="2"/>
      <c r="G32" s="2"/>
      <c r="H32" s="2"/>
      <c r="I32" s="2"/>
      <c r="J32" s="2"/>
      <c r="K32" s="2"/>
      <c r="L32" s="2"/>
      <c r="M32" s="2"/>
      <c r="N32" s="2"/>
      <c r="O32" s="2"/>
      <c r="P32" s="86"/>
      <c r="Q32" s="86"/>
      <c r="R32" s="87"/>
      <c r="S32" s="88"/>
      <c r="T32" s="88"/>
      <c r="U32" s="89"/>
      <c r="V32" s="88"/>
      <c r="W32" s="88"/>
      <c r="X32" s="90"/>
    </row>
    <row r="33" spans="1:24" x14ac:dyDescent="0.25">
      <c r="B33" s="2"/>
      <c r="C33" s="2"/>
      <c r="D33" s="2"/>
      <c r="E33" s="2"/>
      <c r="F33" s="2"/>
      <c r="G33" s="2"/>
      <c r="H33" s="2"/>
      <c r="I33" s="2"/>
      <c r="J33" s="2"/>
      <c r="K33" s="2"/>
      <c r="L33" s="2"/>
      <c r="M33" s="2"/>
      <c r="N33" s="2"/>
      <c r="O33" s="2"/>
      <c r="P33" s="91"/>
      <c r="Q33" s="92"/>
      <c r="R33" s="93"/>
      <c r="S33" s="88"/>
      <c r="T33" s="88"/>
      <c r="U33" s="89"/>
      <c r="V33" s="88"/>
      <c r="W33" s="88"/>
      <c r="X33" s="90"/>
    </row>
    <row r="36" spans="1:24" x14ac:dyDescent="0.25">
      <c r="Q36" t="s">
        <v>404</v>
      </c>
      <c r="R36" s="213" t="s">
        <v>402</v>
      </c>
      <c r="W36" s="214" t="s">
        <v>403</v>
      </c>
    </row>
    <row r="37" spans="1:24" ht="18.75" x14ac:dyDescent="0.3">
      <c r="A37" s="59" t="s">
        <v>163</v>
      </c>
      <c r="Q37" t="s">
        <v>405</v>
      </c>
      <c r="R37" s="213"/>
      <c r="W37" s="214"/>
    </row>
    <row r="38" spans="1:24" x14ac:dyDescent="0.25">
      <c r="Q38" t="str">
        <f>Belastungstabelle_Website!I1</f>
        <v>DE</v>
      </c>
      <c r="R38" t="s">
        <v>118</v>
      </c>
      <c r="S38" t="s">
        <v>118</v>
      </c>
      <c r="T38" t="s">
        <v>117</v>
      </c>
      <c r="U38" t="s">
        <v>119</v>
      </c>
      <c r="V38" t="s">
        <v>120</v>
      </c>
      <c r="W38" t="str">
        <f>Belastungstabelle_Website!I1</f>
        <v>DE</v>
      </c>
    </row>
    <row r="39" spans="1:24" ht="45" x14ac:dyDescent="0.25">
      <c r="A39" s="1" t="s">
        <v>164</v>
      </c>
      <c r="Q39" t="str">
        <f>Belastungstabelle_Website!B11</f>
        <v>Bemessungswerte</v>
      </c>
      <c r="R39" t="e">
        <f>HLOOKUP(Q39,S39:V40,1,FALSE)</f>
        <v>#N/A</v>
      </c>
      <c r="S39" s="143" t="s">
        <v>126</v>
      </c>
      <c r="T39" s="143" t="s">
        <v>351</v>
      </c>
      <c r="U39" s="143" t="s">
        <v>353</v>
      </c>
      <c r="V39" s="167" t="s">
        <v>355</v>
      </c>
      <c r="W39" s="52" t="str">
        <f>HLOOKUP($W$38,$S$38:$V$40,2,FALSE)</f>
        <v>Charakteristische Belastungswerte</v>
      </c>
    </row>
    <row r="40" spans="1:24" ht="15" customHeight="1" x14ac:dyDescent="0.25">
      <c r="B40" s="8" t="s">
        <v>165</v>
      </c>
      <c r="C40" s="8" t="s">
        <v>165</v>
      </c>
      <c r="D40" s="8" t="s">
        <v>165</v>
      </c>
      <c r="F40" s="2"/>
      <c r="S40" t="s">
        <v>166</v>
      </c>
      <c r="T40" t="s">
        <v>352</v>
      </c>
      <c r="U40" t="s">
        <v>354</v>
      </c>
      <c r="V40" s="136" t="s">
        <v>386</v>
      </c>
      <c r="W40" s="52" t="str">
        <f>HLOOKUP($W$38,$S$38:$V$40,3,FALSE)</f>
        <v>Bemessungswerte</v>
      </c>
    </row>
    <row r="41" spans="1:24" x14ac:dyDescent="0.25">
      <c r="B41" s="9" t="s">
        <v>167</v>
      </c>
      <c r="C41" s="9" t="s">
        <v>168</v>
      </c>
      <c r="D41" s="9" t="s">
        <v>169</v>
      </c>
      <c r="F41" s="2"/>
      <c r="S41" s="211" t="s">
        <v>170</v>
      </c>
      <c r="T41" s="5" t="s">
        <v>171</v>
      </c>
      <c r="U41" s="5" t="s">
        <v>172</v>
      </c>
      <c r="V41" s="5" t="s">
        <v>172</v>
      </c>
      <c r="W41" s="5" t="s">
        <v>173</v>
      </c>
      <c r="X41" s="5" t="s">
        <v>174</v>
      </c>
    </row>
    <row r="42" spans="1:24" x14ac:dyDescent="0.25">
      <c r="A42" s="51" t="s">
        <v>175</v>
      </c>
      <c r="B42" s="4" t="str">
        <f>Belastungstabelle_Website!C16</f>
        <v>KNAPP VG SK 8x120</v>
      </c>
      <c r="C42" s="4" t="str">
        <f>Belastungstabelle_Website!C20</f>
        <v>KNAPP VG SK 8x160</v>
      </c>
      <c r="D42" s="4" t="str">
        <f>Belastungstabelle_Website!C24</f>
        <v>KNAPP VG SK 8x200</v>
      </c>
      <c r="F42" s="2"/>
      <c r="S42" s="212"/>
      <c r="T42" s="6"/>
      <c r="U42" s="6"/>
      <c r="V42" s="6"/>
      <c r="W42" s="6"/>
      <c r="X42" s="6"/>
    </row>
    <row r="43" spans="1:24" ht="18" x14ac:dyDescent="0.35">
      <c r="A43" s="51" t="s">
        <v>179</v>
      </c>
      <c r="B43" s="94">
        <f>VLOOKUP(B$42,$S$67:$W$75,2,FALSE)</f>
        <v>8</v>
      </c>
      <c r="C43" s="94">
        <f>VLOOKUP(C$42,$S$67:$W$75,2,FALSE)</f>
        <v>8</v>
      </c>
      <c r="D43" s="94">
        <f>VLOOKUP(D$42,$S$67:$W$75,2,FALSE)</f>
        <v>8</v>
      </c>
      <c r="E43" t="s">
        <v>180</v>
      </c>
      <c r="F43" s="2"/>
      <c r="S43" s="212"/>
      <c r="T43" s="6" t="s">
        <v>181</v>
      </c>
      <c r="U43" s="6" t="s">
        <v>182</v>
      </c>
      <c r="V43" s="6" t="s">
        <v>183</v>
      </c>
      <c r="W43" s="6" t="s">
        <v>184</v>
      </c>
      <c r="X43" s="6" t="s">
        <v>185</v>
      </c>
    </row>
    <row r="44" spans="1:24" x14ac:dyDescent="0.25">
      <c r="A44" s="51" t="s">
        <v>186</v>
      </c>
      <c r="B44" s="94">
        <f>VLOOKUP(B$42,$S$67:$W$75,3,FALSE)</f>
        <v>120</v>
      </c>
      <c r="C44" s="94">
        <f>VLOOKUP(C$42,$S$67:$W$75,3,FALSE)</f>
        <v>160</v>
      </c>
      <c r="D44" s="94">
        <f>VLOOKUP(D$42,$S$67:$W$75,3,FALSE)</f>
        <v>200</v>
      </c>
      <c r="E44" t="s">
        <v>180</v>
      </c>
      <c r="F44" s="2"/>
      <c r="S44" s="7"/>
      <c r="T44" s="7" t="s">
        <v>187</v>
      </c>
      <c r="U44" s="7" t="s">
        <v>188</v>
      </c>
      <c r="V44" s="7" t="s">
        <v>188</v>
      </c>
      <c r="W44" s="7" t="s">
        <v>188</v>
      </c>
      <c r="X44" s="7" t="s">
        <v>188</v>
      </c>
    </row>
    <row r="45" spans="1:24" ht="18" x14ac:dyDescent="0.35">
      <c r="A45" s="51" t="s">
        <v>189</v>
      </c>
      <c r="B45" s="4">
        <f>B44-13</f>
        <v>107</v>
      </c>
      <c r="C45" s="4">
        <f>C44-16</f>
        <v>144</v>
      </c>
      <c r="D45" s="4">
        <f>D44-20</f>
        <v>180</v>
      </c>
      <c r="E45" t="s">
        <v>180</v>
      </c>
      <c r="F45" s="2"/>
      <c r="S45" s="3" t="s">
        <v>190</v>
      </c>
      <c r="T45" s="4">
        <v>365</v>
      </c>
      <c r="U45" s="95">
        <f>$T$53*2.5/$T$54</f>
        <v>1.5384615384615383</v>
      </c>
      <c r="V45" s="95">
        <f>$T$53*21.5/$T$54</f>
        <v>13.23076923076923</v>
      </c>
      <c r="W45" s="95">
        <f>$T$53*3.5/$T$54</f>
        <v>2.1538461538461542</v>
      </c>
      <c r="X45" s="95">
        <f>$T$53*1.2/$T$54</f>
        <v>0.73846153846153839</v>
      </c>
    </row>
    <row r="46" spans="1:24" x14ac:dyDescent="0.25">
      <c r="A46" s="51" t="s">
        <v>191</v>
      </c>
      <c r="B46" s="4">
        <v>45</v>
      </c>
      <c r="C46" s="4">
        <v>45</v>
      </c>
      <c r="D46" s="4">
        <v>45</v>
      </c>
      <c r="E46" t="s">
        <v>192</v>
      </c>
      <c r="F46" s="2"/>
      <c r="S46" s="3" t="s">
        <v>193</v>
      </c>
      <c r="T46" s="4">
        <v>385</v>
      </c>
      <c r="U46" s="95">
        <f t="shared" ref="U46:U52" si="12">$T$53*2.5/$T$54</f>
        <v>1.5384615384615383</v>
      </c>
      <c r="V46" s="95">
        <f>$T$53*24/$T$54</f>
        <v>14.76923076923077</v>
      </c>
      <c r="W46" s="95">
        <f t="shared" ref="W46:W52" si="13">$T$53*3.5/$T$54</f>
        <v>2.1538461538461542</v>
      </c>
      <c r="X46" s="95">
        <f t="shared" ref="X46:X52" si="14">$T$53*1.2/$T$54</f>
        <v>0.73846153846153839</v>
      </c>
    </row>
    <row r="47" spans="1:24" ht="18" x14ac:dyDescent="0.35">
      <c r="A47" s="51" t="s">
        <v>194</v>
      </c>
      <c r="B47" s="4">
        <f>0.3+(0.7*B46)/45</f>
        <v>1</v>
      </c>
      <c r="C47" s="4">
        <f>0.3+(0.7*C46)/45</f>
        <v>1</v>
      </c>
      <c r="D47" s="4">
        <f>0.3+(0.7*D46)/45</f>
        <v>1</v>
      </c>
      <c r="F47" s="2"/>
      <c r="S47" s="3" t="s">
        <v>195</v>
      </c>
      <c r="T47" s="4">
        <v>390</v>
      </c>
      <c r="U47" s="95">
        <f t="shared" si="12"/>
        <v>1.5384615384615383</v>
      </c>
      <c r="V47" s="95">
        <f>$T$53*24/$T$54</f>
        <v>14.76923076923077</v>
      </c>
      <c r="W47" s="95">
        <f t="shared" si="13"/>
        <v>2.1538461538461542</v>
      </c>
      <c r="X47" s="95">
        <f t="shared" si="14"/>
        <v>0.73846153846153839</v>
      </c>
    </row>
    <row r="48" spans="1:24" ht="18" x14ac:dyDescent="0.35">
      <c r="A48" s="51" t="s">
        <v>196</v>
      </c>
      <c r="B48" s="94">
        <f>VLOOKUP(B$42,$S$67:$W$75,4,FALSE)</f>
        <v>13</v>
      </c>
      <c r="C48" s="94">
        <f>VLOOKUP(C$42,$S$67:$W$75,4,FALSE)</f>
        <v>11.6</v>
      </c>
      <c r="D48" s="94">
        <f>VLOOKUP(D$42,$S$67:$W$75,4,FALSE)</f>
        <v>13</v>
      </c>
      <c r="E48" t="s">
        <v>197</v>
      </c>
      <c r="F48" s="2"/>
      <c r="S48" s="3" t="s">
        <v>198</v>
      </c>
      <c r="T48" s="4">
        <v>425</v>
      </c>
      <c r="U48" s="95">
        <f t="shared" si="12"/>
        <v>1.5384615384615383</v>
      </c>
      <c r="V48" s="95">
        <f>$T$53*28/$T$54</f>
        <v>17.230769230769234</v>
      </c>
      <c r="W48" s="95">
        <f t="shared" si="13"/>
        <v>2.1538461538461542</v>
      </c>
      <c r="X48" s="95">
        <f t="shared" si="14"/>
        <v>0.73846153846153839</v>
      </c>
    </row>
    <row r="49" spans="1:26" x14ac:dyDescent="0.25">
      <c r="A49" s="51" t="s">
        <v>199</v>
      </c>
      <c r="B49" s="4" t="str">
        <f>Belastungstabelle_Website!B4</f>
        <v>GL24h</v>
      </c>
      <c r="C49" s="4" t="str">
        <f>B49</f>
        <v>GL24h</v>
      </c>
      <c r="D49" s="4" t="str">
        <f>B49</f>
        <v>GL24h</v>
      </c>
      <c r="F49" s="2"/>
      <c r="S49" s="3" t="s">
        <v>200</v>
      </c>
      <c r="T49" s="4">
        <v>390</v>
      </c>
      <c r="U49" s="95">
        <f t="shared" si="12"/>
        <v>1.5384615384615383</v>
      </c>
      <c r="V49" s="95">
        <f>$T$53*24.5/$T$54</f>
        <v>15.076923076923077</v>
      </c>
      <c r="W49" s="95">
        <f t="shared" si="13"/>
        <v>2.1538461538461542</v>
      </c>
      <c r="X49" s="95">
        <f t="shared" si="14"/>
        <v>0.73846153846153839</v>
      </c>
    </row>
    <row r="50" spans="1:26" ht="18" x14ac:dyDescent="0.35">
      <c r="A50" s="51" t="s">
        <v>201</v>
      </c>
      <c r="B50" s="4">
        <f>VLOOKUP(B49,$S$45:$T$52,2,FALSE)</f>
        <v>385</v>
      </c>
      <c r="C50" s="4">
        <f>VLOOKUP(C49,$S$45:$T$52,2,FALSE)</f>
        <v>385</v>
      </c>
      <c r="D50" s="4">
        <f>VLOOKUP(D49,$S$45:$T$52,2,FALSE)</f>
        <v>385</v>
      </c>
      <c r="E50" t="s">
        <v>202</v>
      </c>
      <c r="F50" s="2"/>
      <c r="S50" s="3" t="s">
        <v>203</v>
      </c>
      <c r="T50" s="4">
        <v>430</v>
      </c>
      <c r="U50" s="95">
        <f t="shared" si="12"/>
        <v>1.5384615384615383</v>
      </c>
      <c r="V50" s="95">
        <f>$T$53*30/$T$54</f>
        <v>18.46153846153846</v>
      </c>
      <c r="W50" s="95">
        <f t="shared" si="13"/>
        <v>2.1538461538461542</v>
      </c>
      <c r="X50" s="95">
        <f t="shared" si="14"/>
        <v>0.73846153846153839</v>
      </c>
    </row>
    <row r="51" spans="1:26" ht="18" x14ac:dyDescent="0.35">
      <c r="A51" s="51" t="s">
        <v>204</v>
      </c>
      <c r="B51" s="4">
        <v>350</v>
      </c>
      <c r="C51" s="4">
        <v>350</v>
      </c>
      <c r="D51" s="4">
        <v>350</v>
      </c>
      <c r="E51" t="s">
        <v>202</v>
      </c>
      <c r="F51" s="2"/>
      <c r="S51" s="3" t="s">
        <v>205</v>
      </c>
      <c r="T51" s="4">
        <v>400</v>
      </c>
      <c r="U51" s="95">
        <f t="shared" si="12"/>
        <v>1.5384615384615383</v>
      </c>
      <c r="V51" s="95">
        <f>$T$53*24.5/$T$54</f>
        <v>15.076923076923077</v>
      </c>
      <c r="W51" s="95">
        <f t="shared" si="13"/>
        <v>2.1538461538461542</v>
      </c>
      <c r="X51" s="95">
        <f t="shared" si="14"/>
        <v>0.73846153846153839</v>
      </c>
    </row>
    <row r="52" spans="1:26" ht="18" x14ac:dyDescent="0.35">
      <c r="A52" s="51" t="s">
        <v>206</v>
      </c>
      <c r="B52" s="96">
        <f>IF($A$3=$S$39,1,$C$7)</f>
        <v>0.8</v>
      </c>
      <c r="C52" s="96">
        <f>$B$52</f>
        <v>0.8</v>
      </c>
      <c r="D52" s="96">
        <f>$B$52</f>
        <v>0.8</v>
      </c>
      <c r="F52" s="2"/>
      <c r="S52" s="3" t="s">
        <v>207</v>
      </c>
      <c r="T52" s="4">
        <v>440</v>
      </c>
      <c r="U52" s="95">
        <f t="shared" si="12"/>
        <v>1.5384615384615383</v>
      </c>
      <c r="V52" s="95">
        <f>$T$53*32/$T$54</f>
        <v>19.692307692307693</v>
      </c>
      <c r="W52" s="95">
        <f t="shared" si="13"/>
        <v>2.1538461538461542</v>
      </c>
      <c r="X52" s="95">
        <f t="shared" si="14"/>
        <v>0.73846153846153839</v>
      </c>
    </row>
    <row r="53" spans="1:26" ht="18" x14ac:dyDescent="0.35">
      <c r="A53" s="51" t="s">
        <v>208</v>
      </c>
      <c r="B53" s="96">
        <f>IF($A$3=$S$39,1,$C$8)</f>
        <v>1.3</v>
      </c>
      <c r="C53" s="67">
        <f>$B$53</f>
        <v>1.3</v>
      </c>
      <c r="D53" s="67">
        <f>$B$53</f>
        <v>1.3</v>
      </c>
      <c r="F53" s="2"/>
      <c r="S53" s="97" t="s">
        <v>209</v>
      </c>
      <c r="T53" s="98">
        <f>IF(A3=S39,1,C7)</f>
        <v>0.8</v>
      </c>
      <c r="W53" s="215" t="s">
        <v>403</v>
      </c>
    </row>
    <row r="54" spans="1:26" ht="18" x14ac:dyDescent="0.35">
      <c r="A54" s="51" t="s">
        <v>210</v>
      </c>
      <c r="B54" s="99">
        <f>VLOOKUP(B$42,$S$67:$W$75,5,FALSE)</f>
        <v>24</v>
      </c>
      <c r="C54" s="99">
        <f>VLOOKUP(C$42,$S$67:$W$75,5,FALSE)</f>
        <v>20</v>
      </c>
      <c r="D54" s="99">
        <f>VLOOKUP(D$42,$S$67:$W$75,5,FALSE)</f>
        <v>24</v>
      </c>
      <c r="E54" t="s">
        <v>211</v>
      </c>
      <c r="F54" s="2"/>
      <c r="S54" s="141" t="s">
        <v>212</v>
      </c>
      <c r="T54" s="142">
        <f>IF(A3=S39,1,C8)</f>
        <v>1.3</v>
      </c>
      <c r="W54" s="215"/>
    </row>
    <row r="55" spans="1:26" x14ac:dyDescent="0.25">
      <c r="A55" s="100" t="str">
        <f>IF($A$3=$S$39,"Zugkraft Fax,45,Rk =","Zugkraft Fax,45,Rd =")</f>
        <v>Zugkraft Fax,45,Rd =</v>
      </c>
      <c r="B55" s="67">
        <f>MIN((B52/B53)*(B47*B48*B43*B45*(B50/B51)^0.8)/1000,B54/B53)</f>
        <v>7.390569404606806</v>
      </c>
      <c r="C55" s="67">
        <f>MIN((C52/C53)*(C47*C48*C43*C45*(C50/C51)^0.8)/1000,C54/C53)</f>
        <v>8.8750590463373165</v>
      </c>
      <c r="D55" s="67">
        <f>MIN((D52/D53)*(D47*D48*D43*D45*(D50/D51)^0.8)/1000,D54/D53)</f>
        <v>12.432733577843223</v>
      </c>
      <c r="E55" t="s">
        <v>211</v>
      </c>
      <c r="S55" s="3" t="s">
        <v>118</v>
      </c>
      <c r="T55" s="3" t="s">
        <v>117</v>
      </c>
      <c r="U55" s="3" t="s">
        <v>119</v>
      </c>
      <c r="V55" s="101" t="s">
        <v>120</v>
      </c>
      <c r="W55" s="3" t="str">
        <f>Belastungstabelle_Website!I1</f>
        <v>DE</v>
      </c>
    </row>
    <row r="56" spans="1:26" x14ac:dyDescent="0.25">
      <c r="A56" s="51"/>
      <c r="B56" s="88"/>
      <c r="C56" s="88"/>
      <c r="D56" s="88"/>
      <c r="S56" s="3" t="s">
        <v>213</v>
      </c>
      <c r="T56" s="3" t="s">
        <v>338</v>
      </c>
      <c r="U56" s="3" t="s">
        <v>213</v>
      </c>
      <c r="V56" s="3" t="s">
        <v>213</v>
      </c>
      <c r="W56" s="3" t="s">
        <v>213</v>
      </c>
      <c r="X56" s="98" t="s">
        <v>214</v>
      </c>
      <c r="Y56" s="101" t="s">
        <v>215</v>
      </c>
      <c r="Z56" s="98"/>
    </row>
    <row r="57" spans="1:26" x14ac:dyDescent="0.25">
      <c r="A57" s="51"/>
      <c r="B57" s="88"/>
      <c r="C57" s="88"/>
      <c r="D57" s="88"/>
      <c r="H57" s="88"/>
      <c r="I57" s="88"/>
      <c r="J57" s="88"/>
      <c r="S57" s="3" t="s">
        <v>216</v>
      </c>
      <c r="T57" s="3" t="s">
        <v>332</v>
      </c>
      <c r="U57" s="3" t="s">
        <v>332</v>
      </c>
      <c r="V57" s="130" t="s">
        <v>344</v>
      </c>
      <c r="W57" s="3" t="str">
        <f>HLOOKUP($W$55,$S$55:$V$62,3,FALSE)</f>
        <v>Ständig</v>
      </c>
      <c r="X57" s="4">
        <v>0.6</v>
      </c>
      <c r="Y57" s="101" t="s">
        <v>217</v>
      </c>
      <c r="Z57" s="98"/>
    </row>
    <row r="58" spans="1:26" x14ac:dyDescent="0.25">
      <c r="A58" s="51"/>
      <c r="B58" s="88"/>
      <c r="C58" s="88"/>
      <c r="D58" s="88"/>
      <c r="H58" s="88"/>
      <c r="I58" s="88"/>
      <c r="J58" s="88"/>
      <c r="S58" s="3" t="s">
        <v>218</v>
      </c>
      <c r="T58" s="3" t="s">
        <v>333</v>
      </c>
      <c r="U58" s="3" t="s">
        <v>341</v>
      </c>
      <c r="V58" s="130" t="s">
        <v>345</v>
      </c>
      <c r="W58" s="3" t="str">
        <f>HLOOKUP($W$55,$S$55:$V$62,4,FALSE)</f>
        <v>Lang</v>
      </c>
      <c r="X58" s="4">
        <v>0.7</v>
      </c>
      <c r="Y58" s="101" t="s">
        <v>219</v>
      </c>
      <c r="Z58" s="98"/>
    </row>
    <row r="59" spans="1:26" x14ac:dyDescent="0.25">
      <c r="A59" s="51"/>
      <c r="B59" s="88"/>
      <c r="C59" s="88"/>
      <c r="D59" s="88"/>
      <c r="S59" s="3" t="s">
        <v>131</v>
      </c>
      <c r="T59" s="3" t="s">
        <v>334</v>
      </c>
      <c r="U59" s="3" t="s">
        <v>339</v>
      </c>
      <c r="V59" s="130" t="s">
        <v>346</v>
      </c>
      <c r="W59" s="3" t="str">
        <f>HLOOKUP($W$55,$S$55:$V$62,5,FALSE)</f>
        <v>Mittel</v>
      </c>
      <c r="X59" s="4">
        <v>0.8</v>
      </c>
      <c r="Y59" s="101" t="s">
        <v>220</v>
      </c>
      <c r="Z59" s="98"/>
    </row>
    <row r="60" spans="1:26" ht="18.75" x14ac:dyDescent="0.3">
      <c r="A60" s="102" t="s">
        <v>221</v>
      </c>
      <c r="B60" s="88"/>
      <c r="C60" s="88"/>
      <c r="D60" s="88"/>
      <c r="S60" s="3" t="s">
        <v>222</v>
      </c>
      <c r="T60" s="3" t="s">
        <v>335</v>
      </c>
      <c r="U60" s="3" t="s">
        <v>340</v>
      </c>
      <c r="V60" s="130" t="s">
        <v>347</v>
      </c>
      <c r="W60" s="3" t="str">
        <f>HLOOKUP($W$55,$S$55:$V$62,6,FALSE)</f>
        <v>kurz</v>
      </c>
      <c r="X60" s="4">
        <v>0.9</v>
      </c>
      <c r="Y60" s="101" t="s">
        <v>223</v>
      </c>
      <c r="Z60" s="98"/>
    </row>
    <row r="61" spans="1:26" x14ac:dyDescent="0.25">
      <c r="H61" s="210" t="str">
        <f>B49</f>
        <v>GL24h</v>
      </c>
      <c r="I61" s="210"/>
      <c r="J61" s="210" t="str">
        <f>IF($A$3=$S$39,"Belastung F2,J,Rk im Nebenträger","Belastung F2,J,Rd im Nebenträger")</f>
        <v>Belastung F2,J,Rd im Nebenträger</v>
      </c>
      <c r="K61" s="210"/>
      <c r="L61" s="210"/>
      <c r="M61" s="210"/>
      <c r="S61" s="3" t="s">
        <v>224</v>
      </c>
      <c r="T61" s="3" t="s">
        <v>337</v>
      </c>
      <c r="U61" s="3" t="s">
        <v>343</v>
      </c>
      <c r="V61" s="130" t="s">
        <v>348</v>
      </c>
      <c r="W61" s="3" t="str">
        <f>HLOOKUP($W$55,$S$55:$V$62,7,FALSE)</f>
        <v>Kurz/sehr kurz</v>
      </c>
      <c r="X61" s="4">
        <v>1</v>
      </c>
      <c r="Y61" s="101" t="s">
        <v>225</v>
      </c>
      <c r="Z61" s="98"/>
    </row>
    <row r="62" spans="1:26" x14ac:dyDescent="0.25">
      <c r="A62" s="5" t="s">
        <v>2</v>
      </c>
      <c r="B62" s="207" t="s">
        <v>151</v>
      </c>
      <c r="C62" s="207"/>
      <c r="D62" s="8" t="s">
        <v>12</v>
      </c>
      <c r="E62" s="5"/>
      <c r="F62" s="5" t="s">
        <v>226</v>
      </c>
      <c r="G62" s="5" t="s">
        <v>227</v>
      </c>
      <c r="H62" s="5" t="s">
        <v>174</v>
      </c>
      <c r="I62" s="5" t="s">
        <v>228</v>
      </c>
      <c r="J62" s="8" t="s">
        <v>229</v>
      </c>
      <c r="K62" s="5" t="s">
        <v>230</v>
      </c>
      <c r="L62" s="5" t="s">
        <v>231</v>
      </c>
      <c r="M62" s="5" t="s">
        <v>232</v>
      </c>
      <c r="S62" s="3" t="s">
        <v>233</v>
      </c>
      <c r="T62" s="3" t="s">
        <v>336</v>
      </c>
      <c r="U62" s="3" t="s">
        <v>342</v>
      </c>
      <c r="V62" s="130" t="s">
        <v>349</v>
      </c>
      <c r="W62" s="3" t="str">
        <f>HLOOKUP($W$55,$S$55:$V$62,8,FALSE)</f>
        <v>sehr kurz</v>
      </c>
      <c r="X62" s="4">
        <v>1.1000000000000001</v>
      </c>
      <c r="Y62" s="101" t="s">
        <v>234</v>
      </c>
      <c r="Z62" s="98"/>
    </row>
    <row r="63" spans="1:26" ht="18" x14ac:dyDescent="0.35">
      <c r="A63" s="6" t="s">
        <v>235</v>
      </c>
      <c r="B63" s="103" t="s">
        <v>155</v>
      </c>
      <c r="C63" s="103" t="s">
        <v>156</v>
      </c>
      <c r="D63" s="103" t="s">
        <v>13</v>
      </c>
      <c r="E63" s="103" t="s">
        <v>159</v>
      </c>
      <c r="F63" s="103" t="s">
        <v>236</v>
      </c>
      <c r="G63" s="103" t="str">
        <f>IF($A$3=$S$39,"Fax,45,Rk","Fax,45,Rd")</f>
        <v>Fax,45,Rd</v>
      </c>
      <c r="H63" s="103" t="str">
        <f>IF($A$3=$S$39," fr,k"," fr,d")</f>
        <v xml:space="preserve"> fr,d</v>
      </c>
      <c r="I63" s="103" t="str">
        <f>IF($A$3=$S$39,"fc,90,k","fc,90,d")</f>
        <v>fc,90,d</v>
      </c>
      <c r="J63" s="103" t="str">
        <f>IF($A$3=$S$39,"F2,J,screw,Rk","F2,J,screw,Rd")</f>
        <v>F2,J,screw,Rd</v>
      </c>
      <c r="K63" s="103" t="str">
        <f>IF($A$3=$S$39,"F2,J,fr,Rk","F2,J,fr,Rd")</f>
        <v>F2,J,fr,Rd</v>
      </c>
      <c r="L63" s="103" t="str">
        <f>IF($A$3=$S$39,"F2,J,c90,Rk","F2,J,c90,Rd")</f>
        <v>F2,J,c90,Rd</v>
      </c>
      <c r="M63" s="103" t="str">
        <f>IF($A$3=$S$39,"F2,J,tau,Rk","F2,J,tau,Rd")</f>
        <v>F2,J,tau,Rd</v>
      </c>
    </row>
    <row r="64" spans="1:26" ht="18" x14ac:dyDescent="0.35">
      <c r="A64" s="7" t="s">
        <v>0</v>
      </c>
      <c r="B64" s="9" t="s">
        <v>0</v>
      </c>
      <c r="C64" s="9" t="s">
        <v>0</v>
      </c>
      <c r="D64" s="9" t="s">
        <v>0</v>
      </c>
      <c r="E64" s="9" t="s">
        <v>161</v>
      </c>
      <c r="F64" s="9" t="s">
        <v>0</v>
      </c>
      <c r="G64" s="9" t="s">
        <v>1</v>
      </c>
      <c r="H64" s="9" t="s">
        <v>237</v>
      </c>
      <c r="I64" s="9" t="s">
        <v>237</v>
      </c>
      <c r="J64" s="9" t="s">
        <v>1</v>
      </c>
      <c r="K64" s="9" t="s">
        <v>1</v>
      </c>
      <c r="L64" s="9" t="s">
        <v>1</v>
      </c>
      <c r="M64" s="9" t="s">
        <v>1</v>
      </c>
      <c r="O64" s="104" t="s">
        <v>238</v>
      </c>
      <c r="P64" s="104" t="s">
        <v>239</v>
      </c>
      <c r="Q64" s="104" t="s">
        <v>240</v>
      </c>
    </row>
    <row r="65" spans="1:23" x14ac:dyDescent="0.25">
      <c r="A65" s="3" t="str">
        <f>A17</f>
        <v>200x60x25 H</v>
      </c>
      <c r="B65" s="4">
        <f>B17</f>
        <v>60</v>
      </c>
      <c r="C65" s="4">
        <f>C17</f>
        <v>146</v>
      </c>
      <c r="D65" s="4">
        <f>Belastungstabelle_Website!F16</f>
        <v>60</v>
      </c>
      <c r="E65" s="126">
        <f>Belastungstabelle_Website!B16</f>
        <v>4</v>
      </c>
      <c r="F65" s="4">
        <f>$B$45</f>
        <v>107</v>
      </c>
      <c r="G65" s="105">
        <f>$B$55</f>
        <v>7.390569404606806</v>
      </c>
      <c r="H65" s="95">
        <f t="shared" ref="H65:H79" si="15">VLOOKUP($H$61,$S$45:$X$52,6,FALSE)/10</f>
        <v>7.3846153846153839E-2</v>
      </c>
      <c r="I65" s="95">
        <f>VLOOKUP($H$61,$S$45:$X$52,3,FALSE)/10</f>
        <v>0.15384615384615383</v>
      </c>
      <c r="J65" s="69">
        <f>1.15*E65*G65</f>
        <v>33.996619261191306</v>
      </c>
      <c r="K65" s="106">
        <f>(1.6*($C65/10)^2*$H65+1.6*$C65/10*$D65/10*$H65)</f>
        <v>35.535950769230773</v>
      </c>
      <c r="L65" s="106">
        <f>(1.6*($C65/10)^2*$H65+0.8*$C65/10*$B65/10*$I65)</f>
        <v>35.967212307692307</v>
      </c>
      <c r="M65" s="107">
        <f>MIN(K65:L65)</f>
        <v>35.535950769230773</v>
      </c>
      <c r="O65" s="108">
        <v>55.244506299435862</v>
      </c>
      <c r="P65" s="108">
        <v>33.968491328377425</v>
      </c>
      <c r="Q65" s="88">
        <f>O65-P65</f>
        <v>21.276014971058437</v>
      </c>
      <c r="R65" s="109">
        <f>Q65/O65</f>
        <v>0.38512453809865438</v>
      </c>
    </row>
    <row r="66" spans="1:23" x14ac:dyDescent="0.25">
      <c r="A66" s="3" t="str">
        <f t="shared" ref="A66:C79" si="16">A18</f>
        <v>200x100x25 H</v>
      </c>
      <c r="B66" s="4">
        <f t="shared" si="16"/>
        <v>100</v>
      </c>
      <c r="C66" s="4">
        <f t="shared" si="16"/>
        <v>146</v>
      </c>
      <c r="D66" s="4">
        <f>Belastungstabelle_Website!F17</f>
        <v>100</v>
      </c>
      <c r="E66" s="126">
        <f>Belastungstabelle_Website!B17</f>
        <v>6</v>
      </c>
      <c r="F66" s="4">
        <f>$B$45</f>
        <v>107</v>
      </c>
      <c r="G66" s="105">
        <f>$B$55</f>
        <v>7.390569404606806</v>
      </c>
      <c r="H66" s="95">
        <f t="shared" si="15"/>
        <v>7.3846153846153839E-2</v>
      </c>
      <c r="I66" s="95">
        <f t="shared" ref="I66:I79" si="17">VLOOKUP($H$61,$S$45:$X$52,3,FALSE)/10</f>
        <v>0.15384615384615383</v>
      </c>
      <c r="J66" s="69">
        <f t="shared" ref="J66:J79" si="18">1.15*E66*G66</f>
        <v>50.994928891786955</v>
      </c>
      <c r="K66" s="106">
        <f t="shared" ref="K66:K79" si="19">(1.6*($C66/10)^2*$H66+1.6*$C66/10*$D66/10*$H66)</f>
        <v>42.436135384615383</v>
      </c>
      <c r="L66" s="106">
        <f t="shared" ref="L66:L79" si="20">(1.6*($C66/10)^2*$H66+0.8*$C66/10*$B66/10*$I66)</f>
        <v>43.154904615384616</v>
      </c>
      <c r="M66" s="107">
        <f t="shared" ref="M66:M79" si="21">MIN(K66:L66)</f>
        <v>42.436135384615383</v>
      </c>
      <c r="O66" s="108">
        <v>82.86675944915379</v>
      </c>
      <c r="P66" s="108">
        <v>50.952736992566138</v>
      </c>
      <c r="Q66" s="88">
        <f t="shared" ref="Q66:Q79" si="22">O66-P66</f>
        <v>31.914022456587652</v>
      </c>
      <c r="R66" s="109">
        <f t="shared" ref="R66:R79" si="23">Q66/O66</f>
        <v>0.38512453809865432</v>
      </c>
      <c r="S66" s="3" t="s">
        <v>229</v>
      </c>
      <c r="T66" s="4" t="s">
        <v>241</v>
      </c>
      <c r="U66" s="4" t="s">
        <v>242</v>
      </c>
      <c r="V66" s="4" t="s">
        <v>243</v>
      </c>
      <c r="W66" s="4" t="s">
        <v>244</v>
      </c>
    </row>
    <row r="67" spans="1:23" x14ac:dyDescent="0.25">
      <c r="A67" s="3" t="str">
        <f t="shared" si="16"/>
        <v>200x140x25 H</v>
      </c>
      <c r="B67" s="4">
        <f t="shared" si="16"/>
        <v>140</v>
      </c>
      <c r="C67" s="4">
        <f t="shared" si="16"/>
        <v>146</v>
      </c>
      <c r="D67" s="4">
        <f>Belastungstabelle_Website!F18</f>
        <v>140</v>
      </c>
      <c r="E67" s="126">
        <f>Belastungstabelle_Website!B18</f>
        <v>8</v>
      </c>
      <c r="F67" s="4">
        <f>$B$45</f>
        <v>107</v>
      </c>
      <c r="G67" s="105">
        <f>$B$55</f>
        <v>7.390569404606806</v>
      </c>
      <c r="H67" s="95">
        <f t="shared" si="15"/>
        <v>7.3846153846153839E-2</v>
      </c>
      <c r="I67" s="95">
        <f t="shared" si="17"/>
        <v>0.15384615384615383</v>
      </c>
      <c r="J67" s="69">
        <f t="shared" si="18"/>
        <v>67.993238522382612</v>
      </c>
      <c r="K67" s="106">
        <f t="shared" si="19"/>
        <v>49.336320000000001</v>
      </c>
      <c r="L67" s="106">
        <f t="shared" si="20"/>
        <v>50.342596923076925</v>
      </c>
      <c r="M67" s="107">
        <f t="shared" si="21"/>
        <v>49.336320000000001</v>
      </c>
      <c r="O67" s="108">
        <v>110.48901259887172</v>
      </c>
      <c r="P67" s="108">
        <v>67.93698265675485</v>
      </c>
      <c r="Q67" s="88">
        <f t="shared" si="22"/>
        <v>42.552029942116874</v>
      </c>
      <c r="R67" s="109">
        <f t="shared" si="23"/>
        <v>0.38512453809865438</v>
      </c>
      <c r="S67" s="3" t="s">
        <v>176</v>
      </c>
      <c r="T67" s="4">
        <v>8</v>
      </c>
      <c r="U67" s="4">
        <v>120</v>
      </c>
      <c r="V67" s="4">
        <v>13</v>
      </c>
      <c r="W67" s="4">
        <v>24</v>
      </c>
    </row>
    <row r="68" spans="1:23" ht="15.75" thickBot="1" x14ac:dyDescent="0.3">
      <c r="A68" s="10" t="str">
        <f t="shared" si="16"/>
        <v>200x180x25 H</v>
      </c>
      <c r="B68" s="11">
        <f t="shared" si="16"/>
        <v>180</v>
      </c>
      <c r="C68" s="11">
        <f t="shared" si="16"/>
        <v>146</v>
      </c>
      <c r="D68" s="11">
        <f>Belastungstabelle_Website!F19</f>
        <v>150</v>
      </c>
      <c r="E68" s="138">
        <f>Belastungstabelle_Website!B19</f>
        <v>8</v>
      </c>
      <c r="F68" s="11">
        <f>$B$45</f>
        <v>107</v>
      </c>
      <c r="G68" s="110">
        <f>$B$55</f>
        <v>7.390569404606806</v>
      </c>
      <c r="H68" s="111">
        <f t="shared" si="15"/>
        <v>7.3846153846153839E-2</v>
      </c>
      <c r="I68" s="111">
        <f t="shared" si="17"/>
        <v>0.15384615384615383</v>
      </c>
      <c r="J68" s="76">
        <f t="shared" si="18"/>
        <v>67.993238522382612</v>
      </c>
      <c r="K68" s="112">
        <f t="shared" si="19"/>
        <v>51.061366153846151</v>
      </c>
      <c r="L68" s="112">
        <f>(1.6*($C68/10)^2*$H68+0.8*$C68/10*$B68/10*$I68)</f>
        <v>57.530289230769228</v>
      </c>
      <c r="M68" s="113">
        <f t="shared" si="21"/>
        <v>51.061366153846151</v>
      </c>
      <c r="O68" s="108">
        <v>110.48901259887172</v>
      </c>
      <c r="P68" s="108">
        <v>67.93698265675485</v>
      </c>
      <c r="Q68" s="88">
        <f t="shared" si="22"/>
        <v>42.552029942116874</v>
      </c>
      <c r="R68" s="109">
        <f t="shared" si="23"/>
        <v>0.38512453809865438</v>
      </c>
      <c r="S68" s="3" t="s">
        <v>177</v>
      </c>
      <c r="T68" s="4">
        <v>8</v>
      </c>
      <c r="U68" s="4">
        <v>160</v>
      </c>
      <c r="V68" s="4">
        <v>11.6</v>
      </c>
      <c r="W68" s="4">
        <v>20</v>
      </c>
    </row>
    <row r="69" spans="1:23" ht="15.75" thickTop="1" x14ac:dyDescent="0.25">
      <c r="A69" s="7" t="str">
        <f t="shared" si="16"/>
        <v>360x60x30 H</v>
      </c>
      <c r="B69" s="9">
        <f t="shared" si="16"/>
        <v>60</v>
      </c>
      <c r="C69" s="9">
        <f t="shared" si="16"/>
        <v>260</v>
      </c>
      <c r="D69" s="9">
        <f>Belastungstabelle_Website!F20</f>
        <v>60</v>
      </c>
      <c r="E69" s="139">
        <f>Belastungstabelle_Website!B20</f>
        <v>8</v>
      </c>
      <c r="F69" s="9">
        <f>$C$45</f>
        <v>144</v>
      </c>
      <c r="G69" s="114">
        <f>$C$55</f>
        <v>8.8750590463373165</v>
      </c>
      <c r="H69" s="115">
        <f t="shared" si="15"/>
        <v>7.3846153846153839E-2</v>
      </c>
      <c r="I69" s="115">
        <f t="shared" si="17"/>
        <v>0.15384615384615383</v>
      </c>
      <c r="J69" s="83">
        <f t="shared" si="18"/>
        <v>81.650543226303299</v>
      </c>
      <c r="K69" s="116">
        <f t="shared" si="19"/>
        <v>98.304000000000002</v>
      </c>
      <c r="L69" s="116">
        <f t="shared" si="20"/>
        <v>99.072000000000003</v>
      </c>
      <c r="M69" s="117">
        <f t="shared" si="21"/>
        <v>98.304000000000002</v>
      </c>
      <c r="O69" s="108">
        <v>132.68213274274288</v>
      </c>
      <c r="P69" s="108">
        <v>81.582987656249685</v>
      </c>
      <c r="Q69" s="88">
        <f t="shared" si="22"/>
        <v>51.099145086493195</v>
      </c>
      <c r="R69" s="109">
        <f t="shared" si="23"/>
        <v>0.38512453809865438</v>
      </c>
      <c r="S69" s="3" t="s">
        <v>178</v>
      </c>
      <c r="T69" s="4">
        <v>8</v>
      </c>
      <c r="U69" s="4">
        <v>200</v>
      </c>
      <c r="V69" s="4">
        <v>13</v>
      </c>
      <c r="W69" s="4">
        <v>24</v>
      </c>
    </row>
    <row r="70" spans="1:23" x14ac:dyDescent="0.25">
      <c r="A70" s="3" t="str">
        <f t="shared" si="16"/>
        <v>360x100x30 H</v>
      </c>
      <c r="B70" s="4">
        <v>100</v>
      </c>
      <c r="C70" s="4">
        <f t="shared" si="16"/>
        <v>260</v>
      </c>
      <c r="D70" s="9">
        <f>Belastungstabelle_Website!F21</f>
        <v>100</v>
      </c>
      <c r="E70" s="126">
        <f>Belastungstabelle_Website!B21</f>
        <v>10</v>
      </c>
      <c r="F70" s="4">
        <f>$C$45</f>
        <v>144</v>
      </c>
      <c r="G70" s="105">
        <f>$C$55</f>
        <v>8.8750590463373165</v>
      </c>
      <c r="H70" s="95">
        <f t="shared" si="15"/>
        <v>7.3846153846153839E-2</v>
      </c>
      <c r="I70" s="95">
        <f t="shared" si="17"/>
        <v>0.15384615384615383</v>
      </c>
      <c r="J70" s="69">
        <f t="shared" si="18"/>
        <v>102.06317903287913</v>
      </c>
      <c r="K70" s="106">
        <f>(1.6*($C70/10)^2*$H70+1.6*$C70/10*$D70/10*$H70)</f>
        <v>110.592</v>
      </c>
      <c r="L70" s="106">
        <f>(1.6*($C70/10)^2*$H70+0.8*$C70/10*$B70/10*$I70)</f>
        <v>111.872</v>
      </c>
      <c r="M70" s="107">
        <f t="shared" si="21"/>
        <v>110.592</v>
      </c>
      <c r="O70" s="108">
        <v>165.85266592842859</v>
      </c>
      <c r="P70" s="108">
        <v>101.9787345703121</v>
      </c>
      <c r="Q70" s="88">
        <f t="shared" si="22"/>
        <v>63.873931358116494</v>
      </c>
      <c r="R70" s="109">
        <f t="shared" si="23"/>
        <v>0.38512453809865438</v>
      </c>
      <c r="S70" s="3" t="s">
        <v>245</v>
      </c>
      <c r="T70" s="4">
        <v>8</v>
      </c>
      <c r="U70" s="4">
        <v>240</v>
      </c>
      <c r="V70" s="4">
        <v>11.6</v>
      </c>
      <c r="W70" s="4">
        <v>20</v>
      </c>
    </row>
    <row r="71" spans="1:23" x14ac:dyDescent="0.25">
      <c r="A71" s="3" t="str">
        <f t="shared" si="16"/>
        <v>360x140x30 H</v>
      </c>
      <c r="B71" s="4">
        <f t="shared" si="16"/>
        <v>140</v>
      </c>
      <c r="C71" s="4">
        <f t="shared" si="16"/>
        <v>260</v>
      </c>
      <c r="D71" s="9">
        <f>Belastungstabelle_Website!F22</f>
        <v>140</v>
      </c>
      <c r="E71" s="126">
        <f>Belastungstabelle_Website!B22</f>
        <v>12</v>
      </c>
      <c r="F71" s="4">
        <f>$C$45</f>
        <v>144</v>
      </c>
      <c r="G71" s="105">
        <f>$C$55</f>
        <v>8.8750590463373165</v>
      </c>
      <c r="H71" s="95">
        <f t="shared" si="15"/>
        <v>7.3846153846153839E-2</v>
      </c>
      <c r="I71" s="95">
        <f t="shared" si="17"/>
        <v>0.15384615384615383</v>
      </c>
      <c r="J71" s="69">
        <f t="shared" si="18"/>
        <v>122.47581483945496</v>
      </c>
      <c r="K71" s="106">
        <f t="shared" si="19"/>
        <v>122.88</v>
      </c>
      <c r="L71" s="106">
        <f t="shared" si="20"/>
        <v>124.672</v>
      </c>
      <c r="M71" s="107">
        <f t="shared" si="21"/>
        <v>122.88</v>
      </c>
      <c r="O71" s="108">
        <v>199.02319911411431</v>
      </c>
      <c r="P71" s="108">
        <v>122.37448148437451</v>
      </c>
      <c r="Q71" s="88">
        <f t="shared" si="22"/>
        <v>76.648717629739792</v>
      </c>
      <c r="R71" s="109">
        <f t="shared" si="23"/>
        <v>0.38512453809865438</v>
      </c>
      <c r="S71" s="3" t="s">
        <v>246</v>
      </c>
      <c r="T71" s="4">
        <v>8</v>
      </c>
      <c r="U71" s="4">
        <v>300</v>
      </c>
      <c r="V71" s="4">
        <v>13.1</v>
      </c>
      <c r="W71" s="4">
        <v>24.1</v>
      </c>
    </row>
    <row r="72" spans="1:23" ht="15.75" thickBot="1" x14ac:dyDescent="0.3">
      <c r="A72" s="10" t="str">
        <f t="shared" si="16"/>
        <v>360x180x30 H</v>
      </c>
      <c r="B72" s="11">
        <f t="shared" si="16"/>
        <v>180</v>
      </c>
      <c r="C72" s="11">
        <f t="shared" si="16"/>
        <v>260</v>
      </c>
      <c r="D72" s="11">
        <f>Belastungstabelle_Website!F23</f>
        <v>180</v>
      </c>
      <c r="E72" s="138">
        <f>Belastungstabelle_Website!B23</f>
        <v>14</v>
      </c>
      <c r="F72" s="11">
        <f>$C$45</f>
        <v>144</v>
      </c>
      <c r="G72" s="111">
        <f>$C$55</f>
        <v>8.8750590463373165</v>
      </c>
      <c r="H72" s="111">
        <f t="shared" si="15"/>
        <v>7.3846153846153839E-2</v>
      </c>
      <c r="I72" s="111">
        <f t="shared" si="17"/>
        <v>0.15384615384615383</v>
      </c>
      <c r="J72" s="76">
        <f t="shared" si="18"/>
        <v>142.88845064603078</v>
      </c>
      <c r="K72" s="112">
        <f t="shared" si="19"/>
        <v>135.16800000000001</v>
      </c>
      <c r="L72" s="112">
        <f t="shared" si="20"/>
        <v>137.47199999999998</v>
      </c>
      <c r="M72" s="113">
        <f t="shared" si="21"/>
        <v>135.16800000000001</v>
      </c>
      <c r="O72" s="108">
        <v>232.19373229979999</v>
      </c>
      <c r="P72" s="108">
        <v>142.77022839843693</v>
      </c>
      <c r="Q72" s="88">
        <f t="shared" si="22"/>
        <v>89.423503901363063</v>
      </c>
      <c r="R72" s="109">
        <f t="shared" si="23"/>
        <v>0.38512453809865432</v>
      </c>
      <c r="S72" s="3" t="s">
        <v>247</v>
      </c>
      <c r="T72" s="4">
        <v>8</v>
      </c>
      <c r="U72" s="4">
        <v>325</v>
      </c>
      <c r="V72" s="4">
        <v>13.1</v>
      </c>
      <c r="W72" s="4">
        <v>24.1</v>
      </c>
    </row>
    <row r="73" spans="1:23" ht="15.75" thickTop="1" x14ac:dyDescent="0.25">
      <c r="A73" s="7" t="str">
        <f t="shared" si="16"/>
        <v>500x60x40 H</v>
      </c>
      <c r="B73" s="9">
        <f t="shared" si="16"/>
        <v>60</v>
      </c>
      <c r="C73" s="9">
        <f t="shared" si="16"/>
        <v>400</v>
      </c>
      <c r="D73" s="9">
        <f>Belastungstabelle_Website!F24</f>
        <v>60</v>
      </c>
      <c r="E73" s="139">
        <f>Belastungstabelle_Website!B24</f>
        <v>12</v>
      </c>
      <c r="F73" s="9">
        <f t="shared" ref="F73:F79" si="24">$D$45</f>
        <v>180</v>
      </c>
      <c r="G73" s="114">
        <f t="shared" ref="G73:G79" si="25">$D$55</f>
        <v>12.432733577843223</v>
      </c>
      <c r="H73" s="115">
        <f t="shared" si="15"/>
        <v>7.3846153846153839E-2</v>
      </c>
      <c r="I73" s="115">
        <f t="shared" si="17"/>
        <v>0.15384615384615383</v>
      </c>
      <c r="J73" s="83">
        <f t="shared" si="18"/>
        <v>171.57172337423646</v>
      </c>
      <c r="K73" s="116">
        <f t="shared" si="19"/>
        <v>217.4030769230769</v>
      </c>
      <c r="L73" s="116">
        <f t="shared" si="20"/>
        <v>218.58461538461535</v>
      </c>
      <c r="M73" s="117">
        <f t="shared" si="21"/>
        <v>217.4030769230769</v>
      </c>
      <c r="O73" s="108">
        <v>278.80405048313423</v>
      </c>
      <c r="P73" s="108">
        <v>171.42976932078327</v>
      </c>
      <c r="Q73" s="88">
        <f t="shared" si="22"/>
        <v>107.37428116235097</v>
      </c>
      <c r="R73" s="109">
        <f t="shared" si="23"/>
        <v>0.38512453809865432</v>
      </c>
      <c r="S73" s="3" t="s">
        <v>248</v>
      </c>
      <c r="T73" s="4">
        <v>8</v>
      </c>
      <c r="U73" s="4">
        <v>350</v>
      </c>
      <c r="V73" s="4">
        <v>13.1</v>
      </c>
      <c r="W73" s="4">
        <v>24.1</v>
      </c>
    </row>
    <row r="74" spans="1:23" x14ac:dyDescent="0.25">
      <c r="A74" s="3" t="str">
        <f t="shared" si="16"/>
        <v>500x100x40 H</v>
      </c>
      <c r="B74" s="4">
        <f t="shared" si="16"/>
        <v>100</v>
      </c>
      <c r="C74" s="4">
        <f t="shared" si="16"/>
        <v>400</v>
      </c>
      <c r="D74" s="9">
        <f>Belastungstabelle_Website!F25</f>
        <v>240</v>
      </c>
      <c r="E74" s="126">
        <f>Belastungstabelle_Website!B25</f>
        <v>20</v>
      </c>
      <c r="F74" s="4">
        <f t="shared" si="24"/>
        <v>180</v>
      </c>
      <c r="G74" s="105">
        <f t="shared" si="25"/>
        <v>12.432733577843223</v>
      </c>
      <c r="H74" s="95">
        <f t="shared" si="15"/>
        <v>7.3846153846153839E-2</v>
      </c>
      <c r="I74" s="95">
        <f t="shared" si="17"/>
        <v>0.15384615384615383</v>
      </c>
      <c r="J74" s="69">
        <f t="shared" si="18"/>
        <v>285.95287229039411</v>
      </c>
      <c r="K74" s="106">
        <f t="shared" si="19"/>
        <v>302.47384615384613</v>
      </c>
      <c r="L74" s="106">
        <f t="shared" si="20"/>
        <v>238.27692307692305</v>
      </c>
      <c r="M74" s="107">
        <f t="shared" si="21"/>
        <v>238.27692307692305</v>
      </c>
      <c r="O74" s="108">
        <v>464.67341747189039</v>
      </c>
      <c r="P74" s="108">
        <v>285.71628220130543</v>
      </c>
      <c r="Q74" s="88">
        <f t="shared" si="22"/>
        <v>178.95713527058496</v>
      </c>
      <c r="R74" s="109">
        <f t="shared" si="23"/>
        <v>0.38512453809865432</v>
      </c>
      <c r="S74" s="3" t="s">
        <v>249</v>
      </c>
      <c r="T74" s="4">
        <v>8</v>
      </c>
      <c r="U74" s="4">
        <v>375</v>
      </c>
      <c r="V74" s="4">
        <v>13.1</v>
      </c>
      <c r="W74" s="4">
        <v>24.1</v>
      </c>
    </row>
    <row r="75" spans="1:23" x14ac:dyDescent="0.25">
      <c r="A75" s="3" t="str">
        <f t="shared" si="16"/>
        <v>500x140x40 H</v>
      </c>
      <c r="B75" s="4">
        <f t="shared" si="16"/>
        <v>140</v>
      </c>
      <c r="C75" s="4">
        <f t="shared" si="16"/>
        <v>400</v>
      </c>
      <c r="D75" s="9">
        <f>Belastungstabelle_Website!F26</f>
        <v>140</v>
      </c>
      <c r="E75" s="126">
        <f>Belastungstabelle_Website!B26</f>
        <v>20</v>
      </c>
      <c r="F75" s="4">
        <f t="shared" si="24"/>
        <v>180</v>
      </c>
      <c r="G75" s="105">
        <f t="shared" si="25"/>
        <v>12.432733577843223</v>
      </c>
      <c r="H75" s="95">
        <f t="shared" si="15"/>
        <v>7.3846153846153839E-2</v>
      </c>
      <c r="I75" s="95">
        <f t="shared" si="17"/>
        <v>0.15384615384615383</v>
      </c>
      <c r="J75" s="69">
        <f t="shared" si="18"/>
        <v>285.95287229039411</v>
      </c>
      <c r="K75" s="106">
        <f t="shared" si="19"/>
        <v>255.21230769230766</v>
      </c>
      <c r="L75" s="106">
        <f t="shared" si="20"/>
        <v>257.96923076923076</v>
      </c>
      <c r="M75" s="107">
        <f t="shared" si="21"/>
        <v>255.21230769230766</v>
      </c>
      <c r="O75" s="108">
        <v>464.67341747189039</v>
      </c>
      <c r="P75" s="108">
        <v>285.71628220130543</v>
      </c>
      <c r="Q75" s="88">
        <f t="shared" si="22"/>
        <v>178.95713527058496</v>
      </c>
      <c r="R75" s="109">
        <f t="shared" si="23"/>
        <v>0.38512453809865432</v>
      </c>
      <c r="S75" s="3" t="s">
        <v>250</v>
      </c>
      <c r="T75" s="4">
        <v>8</v>
      </c>
      <c r="U75" s="4">
        <v>400</v>
      </c>
      <c r="V75" s="4">
        <v>13.1</v>
      </c>
      <c r="W75" s="4">
        <v>24.1</v>
      </c>
    </row>
    <row r="76" spans="1:23" x14ac:dyDescent="0.25">
      <c r="A76" s="3" t="str">
        <f t="shared" si="16"/>
        <v>500x180x40 H</v>
      </c>
      <c r="B76" s="4">
        <f t="shared" si="16"/>
        <v>180</v>
      </c>
      <c r="C76" s="4">
        <f t="shared" si="16"/>
        <v>400</v>
      </c>
      <c r="D76" s="9">
        <f>Belastungstabelle_Website!F27</f>
        <v>180</v>
      </c>
      <c r="E76" s="126">
        <f>Belastungstabelle_Website!B27</f>
        <v>20</v>
      </c>
      <c r="F76" s="4">
        <f t="shared" si="24"/>
        <v>180</v>
      </c>
      <c r="G76" s="105">
        <f t="shared" si="25"/>
        <v>12.432733577843223</v>
      </c>
      <c r="H76" s="95">
        <f t="shared" si="15"/>
        <v>7.3846153846153839E-2</v>
      </c>
      <c r="I76" s="95">
        <f t="shared" si="17"/>
        <v>0.15384615384615383</v>
      </c>
      <c r="J76" s="69">
        <f t="shared" si="18"/>
        <v>285.95287229039411</v>
      </c>
      <c r="K76" s="106">
        <f t="shared" si="19"/>
        <v>274.11692307692306</v>
      </c>
      <c r="L76" s="106">
        <f t="shared" si="20"/>
        <v>277.66153846153844</v>
      </c>
      <c r="M76" s="107">
        <f t="shared" si="21"/>
        <v>274.11692307692306</v>
      </c>
      <c r="O76" s="108">
        <v>464.67341747189039</v>
      </c>
      <c r="P76" s="108">
        <v>285.71628220130543</v>
      </c>
      <c r="Q76" s="88">
        <f t="shared" si="22"/>
        <v>178.95713527058496</v>
      </c>
      <c r="R76" s="109">
        <f t="shared" si="23"/>
        <v>0.38512453809865432</v>
      </c>
    </row>
    <row r="77" spans="1:23" x14ac:dyDescent="0.25">
      <c r="A77" s="3" t="str">
        <f t="shared" si="16"/>
        <v>500x220x40 H</v>
      </c>
      <c r="B77" s="4">
        <f t="shared" si="16"/>
        <v>220</v>
      </c>
      <c r="C77" s="4">
        <f t="shared" si="16"/>
        <v>400</v>
      </c>
      <c r="D77" s="9">
        <f>Belastungstabelle_Website!F28</f>
        <v>220</v>
      </c>
      <c r="E77" s="126">
        <f>Belastungstabelle_Website!B28</f>
        <v>22</v>
      </c>
      <c r="F77" s="4">
        <f t="shared" si="24"/>
        <v>180</v>
      </c>
      <c r="G77" s="105">
        <f t="shared" si="25"/>
        <v>12.432733577843223</v>
      </c>
      <c r="H77" s="95">
        <f t="shared" si="15"/>
        <v>7.3846153846153839E-2</v>
      </c>
      <c r="I77" s="95">
        <f t="shared" si="17"/>
        <v>0.15384615384615383</v>
      </c>
      <c r="J77" s="69">
        <f t="shared" si="18"/>
        <v>314.54815951943351</v>
      </c>
      <c r="K77" s="106">
        <f t="shared" si="19"/>
        <v>293.0215384615384</v>
      </c>
      <c r="L77" s="106">
        <f t="shared" si="20"/>
        <v>297.35384615384612</v>
      </c>
      <c r="M77" s="107">
        <f t="shared" si="21"/>
        <v>293.0215384615384</v>
      </c>
      <c r="O77" s="108">
        <v>511.14075921907937</v>
      </c>
      <c r="P77" s="108">
        <v>314.28791042143592</v>
      </c>
      <c r="Q77" s="88">
        <f t="shared" si="22"/>
        <v>196.85284879764345</v>
      </c>
      <c r="R77" s="109">
        <f t="shared" si="23"/>
        <v>0.38512453809865438</v>
      </c>
    </row>
    <row r="78" spans="1:23" x14ac:dyDescent="0.25">
      <c r="A78" s="3" t="str">
        <f t="shared" si="16"/>
        <v>500x260x40 H</v>
      </c>
      <c r="B78" s="4">
        <f t="shared" si="16"/>
        <v>260</v>
      </c>
      <c r="C78" s="4">
        <f t="shared" si="16"/>
        <v>400</v>
      </c>
      <c r="D78" s="9">
        <f>Belastungstabelle_Website!F29</f>
        <v>260</v>
      </c>
      <c r="E78" s="126">
        <f>Belastungstabelle_Website!B29</f>
        <v>24</v>
      </c>
      <c r="F78" s="4">
        <f t="shared" si="24"/>
        <v>180</v>
      </c>
      <c r="G78" s="105">
        <f t="shared" si="25"/>
        <v>12.432733577843223</v>
      </c>
      <c r="H78" s="95">
        <f t="shared" si="15"/>
        <v>7.3846153846153839E-2</v>
      </c>
      <c r="I78" s="95">
        <f t="shared" si="17"/>
        <v>0.15384615384615383</v>
      </c>
      <c r="J78" s="69">
        <f t="shared" si="18"/>
        <v>343.14344674847291</v>
      </c>
      <c r="K78" s="106">
        <f t="shared" si="19"/>
        <v>311.92615384615385</v>
      </c>
      <c r="L78" s="106">
        <f t="shared" si="20"/>
        <v>317.0461538461538</v>
      </c>
      <c r="M78" s="107">
        <f t="shared" si="21"/>
        <v>311.92615384615385</v>
      </c>
      <c r="O78" s="108">
        <v>557.60810096626847</v>
      </c>
      <c r="P78" s="108">
        <v>342.85953864156653</v>
      </c>
      <c r="Q78" s="88">
        <f t="shared" si="22"/>
        <v>214.74856232470194</v>
      </c>
      <c r="R78" s="109">
        <f t="shared" si="23"/>
        <v>0.38512453809865432</v>
      </c>
    </row>
    <row r="79" spans="1:23" x14ac:dyDescent="0.25">
      <c r="A79" s="3" t="str">
        <f t="shared" si="16"/>
        <v>500x300x40 H</v>
      </c>
      <c r="B79" s="4">
        <f t="shared" si="16"/>
        <v>300</v>
      </c>
      <c r="C79" s="4">
        <f t="shared" si="16"/>
        <v>400</v>
      </c>
      <c r="D79" s="9">
        <f>Belastungstabelle_Website!F30</f>
        <v>300</v>
      </c>
      <c r="E79" s="126">
        <f>Belastungstabelle_Website!B30</f>
        <v>24</v>
      </c>
      <c r="F79" s="4">
        <f t="shared" si="24"/>
        <v>180</v>
      </c>
      <c r="G79" s="105">
        <f t="shared" si="25"/>
        <v>12.432733577843223</v>
      </c>
      <c r="H79" s="95">
        <f t="shared" si="15"/>
        <v>7.3846153846153839E-2</v>
      </c>
      <c r="I79" s="95">
        <f t="shared" si="17"/>
        <v>0.15384615384615383</v>
      </c>
      <c r="J79" s="69">
        <f t="shared" si="18"/>
        <v>343.14344674847291</v>
      </c>
      <c r="K79" s="106">
        <f t="shared" si="19"/>
        <v>330.83076923076919</v>
      </c>
      <c r="L79" s="106">
        <f t="shared" si="20"/>
        <v>336.73846153846148</v>
      </c>
      <c r="M79" s="107">
        <f t="shared" si="21"/>
        <v>330.83076923076919</v>
      </c>
      <c r="O79" s="108">
        <v>557.60810096626847</v>
      </c>
      <c r="P79" s="108">
        <v>342.85953864156653</v>
      </c>
      <c r="Q79" s="88">
        <f t="shared" si="22"/>
        <v>214.74856232470194</v>
      </c>
      <c r="R79" s="109">
        <f t="shared" si="23"/>
        <v>0.38512453809865432</v>
      </c>
    </row>
    <row r="80" spans="1:23" x14ac:dyDescent="0.25">
      <c r="B80" s="2"/>
      <c r="C80" s="2"/>
      <c r="D80" s="2"/>
      <c r="E80" s="2"/>
      <c r="G80" s="88"/>
      <c r="H80" s="2"/>
      <c r="I80" s="2"/>
      <c r="J80" s="88"/>
      <c r="K80" s="118"/>
      <c r="L80" s="118"/>
      <c r="M80" s="92"/>
    </row>
    <row r="81" spans="1:17" x14ac:dyDescent="0.25">
      <c r="B81" s="2"/>
      <c r="C81" s="2"/>
      <c r="D81" s="2"/>
      <c r="E81" s="2"/>
      <c r="G81" s="88"/>
      <c r="H81" s="2"/>
      <c r="I81" s="2"/>
      <c r="J81" s="88"/>
      <c r="K81" s="118"/>
      <c r="L81" s="118"/>
      <c r="M81" s="92"/>
    </row>
    <row r="82" spans="1:17" x14ac:dyDescent="0.25">
      <c r="B82" s="2"/>
      <c r="C82" s="2"/>
      <c r="D82" s="2"/>
      <c r="E82" s="2"/>
      <c r="F82" s="2"/>
      <c r="G82" s="118"/>
      <c r="H82" s="118"/>
    </row>
    <row r="84" spans="1:17" ht="18.75" x14ac:dyDescent="0.3">
      <c r="A84" s="59" t="s">
        <v>251</v>
      </c>
      <c r="L84" s="119"/>
    </row>
    <row r="85" spans="1:17" x14ac:dyDescent="0.25">
      <c r="A85" s="1"/>
      <c r="K85" s="119"/>
      <c r="L85" s="119"/>
    </row>
    <row r="86" spans="1:17" x14ac:dyDescent="0.25">
      <c r="A86" s="1" t="s">
        <v>252</v>
      </c>
      <c r="J86" s="1" t="s">
        <v>253</v>
      </c>
    </row>
    <row r="87" spans="1:17" x14ac:dyDescent="0.25">
      <c r="B87" s="4" t="s">
        <v>165</v>
      </c>
      <c r="C87" s="4" t="s">
        <v>165</v>
      </c>
      <c r="D87" s="4" t="s">
        <v>165</v>
      </c>
      <c r="K87" s="4" t="s">
        <v>165</v>
      </c>
      <c r="L87" s="4" t="s">
        <v>165</v>
      </c>
      <c r="M87" s="4" t="s">
        <v>165</v>
      </c>
    </row>
    <row r="88" spans="1:17" x14ac:dyDescent="0.25">
      <c r="B88" s="4" t="s">
        <v>167</v>
      </c>
      <c r="C88" s="4" t="s">
        <v>168</v>
      </c>
      <c r="D88" s="4" t="s">
        <v>169</v>
      </c>
      <c r="K88" s="4" t="s">
        <v>167</v>
      </c>
      <c r="L88" s="4" t="s">
        <v>168</v>
      </c>
      <c r="M88" s="4" t="s">
        <v>169</v>
      </c>
    </row>
    <row r="89" spans="1:17" x14ac:dyDescent="0.25">
      <c r="A89" s="51" t="s">
        <v>175</v>
      </c>
      <c r="B89" s="4" t="str">
        <f>Belastungstabelle_Website!C47</f>
        <v>KNAPP VG SK 8x120</v>
      </c>
      <c r="C89" s="4" t="str">
        <f>Belastungstabelle_Website!C51</f>
        <v>KNAPP VG SK 8x160</v>
      </c>
      <c r="D89" s="4" t="str">
        <f>Belastungstabelle_Website!C55</f>
        <v>KNAPP VG SK 8x200</v>
      </c>
      <c r="J89" s="51" t="s">
        <v>254</v>
      </c>
      <c r="K89" s="4" t="str">
        <f>Belastungstabelle_Website!E47</f>
        <v>KNAPP VG SK 8x160</v>
      </c>
      <c r="L89" s="4" t="str">
        <f>Belastungstabelle_Website!E51</f>
        <v>KNAPP VG SK 8x160</v>
      </c>
      <c r="M89" s="4" t="str">
        <f>Belastungstabelle_Website!E55</f>
        <v>KNAPP VG SK 8x160</v>
      </c>
    </row>
    <row r="90" spans="1:17" x14ac:dyDescent="0.25">
      <c r="A90" s="51" t="s">
        <v>179</v>
      </c>
      <c r="B90" s="94">
        <f>VLOOKUP(B$89,$S$67:$W$75,2,FALSE)</f>
        <v>8</v>
      </c>
      <c r="C90" s="94">
        <f>VLOOKUP(C$89,$S$67:$W$75,2,FALSE)</f>
        <v>8</v>
      </c>
      <c r="D90" s="94">
        <f>VLOOKUP(D$89,$S$67:$W$75,2,FALSE)</f>
        <v>8</v>
      </c>
      <c r="E90" t="s">
        <v>180</v>
      </c>
      <c r="J90" s="51" t="s">
        <v>179</v>
      </c>
      <c r="K90" s="94">
        <f>VLOOKUP(K$89,$S$67:$W$75,2,FALSE)</f>
        <v>8</v>
      </c>
      <c r="L90" s="94">
        <f>VLOOKUP(L$89,$S$67:$W$75,2,FALSE)</f>
        <v>8</v>
      </c>
      <c r="M90" s="94">
        <f>VLOOKUP(M$89,$S$67:$W$75,2,FALSE)</f>
        <v>8</v>
      </c>
      <c r="N90" t="s">
        <v>180</v>
      </c>
    </row>
    <row r="91" spans="1:17" x14ac:dyDescent="0.25">
      <c r="A91" s="51" t="s">
        <v>186</v>
      </c>
      <c r="B91" s="94">
        <f>VLOOKUP(B$89,$S$67:$W$75,3,FALSE)</f>
        <v>120</v>
      </c>
      <c r="C91" s="94">
        <f>VLOOKUP(C$89,$S$67:$W$75,3,FALSE)</f>
        <v>160</v>
      </c>
      <c r="D91" s="94">
        <f>VLOOKUP(D$89,$S$67:$W$75,3,FALSE)</f>
        <v>200</v>
      </c>
      <c r="E91" t="s">
        <v>180</v>
      </c>
      <c r="J91" s="51" t="s">
        <v>186</v>
      </c>
      <c r="K91" s="94">
        <f>VLOOKUP(K$89,$S$67:$W$75,3,FALSE)</f>
        <v>160</v>
      </c>
      <c r="L91" s="94">
        <f>VLOOKUP(L$89,$S$67:$W$75,3,FALSE)</f>
        <v>160</v>
      </c>
      <c r="M91" s="94">
        <f>VLOOKUP(M$89,$S$67:$W$75,3,FALSE)</f>
        <v>160</v>
      </c>
      <c r="N91" t="s">
        <v>180</v>
      </c>
      <c r="O91" t="s">
        <v>255</v>
      </c>
    </row>
    <row r="92" spans="1:17" ht="18" x14ac:dyDescent="0.35">
      <c r="A92" s="51" t="s">
        <v>189</v>
      </c>
      <c r="B92" s="4">
        <f>B91-13</f>
        <v>107</v>
      </c>
      <c r="C92" s="4">
        <f>C91-16</f>
        <v>144</v>
      </c>
      <c r="D92" s="4">
        <f>D91-20</f>
        <v>180</v>
      </c>
      <c r="E92" t="s">
        <v>180</v>
      </c>
      <c r="J92" s="51" t="s">
        <v>189</v>
      </c>
      <c r="K92" s="4">
        <f>K91-10</f>
        <v>150</v>
      </c>
      <c r="L92" s="4">
        <f>L91-13</f>
        <v>147</v>
      </c>
      <c r="M92" s="4">
        <f>M91-17</f>
        <v>143</v>
      </c>
      <c r="N92" t="s">
        <v>180</v>
      </c>
      <c r="O92" s="51" t="s">
        <v>256</v>
      </c>
      <c r="P92">
        <v>5.3</v>
      </c>
      <c r="Q92" t="s">
        <v>180</v>
      </c>
    </row>
    <row r="93" spans="1:17" ht="18" x14ac:dyDescent="0.35">
      <c r="A93" s="51" t="s">
        <v>191</v>
      </c>
      <c r="B93" s="4">
        <v>45</v>
      </c>
      <c r="C93" s="4">
        <v>45</v>
      </c>
      <c r="D93" s="4">
        <v>45</v>
      </c>
      <c r="E93" t="s">
        <v>192</v>
      </c>
      <c r="J93" s="51" t="s">
        <v>191</v>
      </c>
      <c r="K93" s="4">
        <v>90</v>
      </c>
      <c r="L93" s="4">
        <v>90</v>
      </c>
      <c r="M93" s="4">
        <v>90</v>
      </c>
      <c r="N93" t="s">
        <v>192</v>
      </c>
      <c r="O93" s="51" t="s">
        <v>257</v>
      </c>
      <c r="P93">
        <v>1000</v>
      </c>
      <c r="Q93" t="s">
        <v>197</v>
      </c>
    </row>
    <row r="94" spans="1:17" ht="18" x14ac:dyDescent="0.35">
      <c r="A94" s="51" t="s">
        <v>194</v>
      </c>
      <c r="B94" s="4">
        <f>0.3+(0.7*B93)/45</f>
        <v>1</v>
      </c>
      <c r="C94" s="4">
        <f t="shared" ref="C94:D94" si="26">0.3+(0.7*C93)/45</f>
        <v>1</v>
      </c>
      <c r="D94" s="4">
        <f t="shared" si="26"/>
        <v>1</v>
      </c>
      <c r="J94" s="51" t="s">
        <v>258</v>
      </c>
      <c r="K94" s="95">
        <f>IF(K103&lt;=0.2,1,1/(K104+SQRT(K104^2-K104^-2)))</f>
        <v>0.38487428081073888</v>
      </c>
      <c r="L94" s="95">
        <f>IF(L103&lt;=0.2,1,1/(L104+SQRT(L104^2-L104^-2)))</f>
        <v>0.38487428081073888</v>
      </c>
      <c r="M94" s="95">
        <f>IF(M103&lt;=0.2,1,1/(M104+SQRT(M104^2-M104^-2)))</f>
        <v>0.38487428081073888</v>
      </c>
      <c r="O94" s="51" t="s">
        <v>259</v>
      </c>
      <c r="P94" s="120">
        <f>PI()*P92^2/4*P93/(1000*P97)</f>
        <v>20.056213099849383</v>
      </c>
      <c r="Q94" t="s">
        <v>211</v>
      </c>
    </row>
    <row r="95" spans="1:17" ht="18" x14ac:dyDescent="0.35">
      <c r="A95" s="51" t="s">
        <v>196</v>
      </c>
      <c r="B95" s="94">
        <f>VLOOKUP(B$89,$S$67:$W$75,4,FALSE)</f>
        <v>13</v>
      </c>
      <c r="C95" s="94">
        <f>VLOOKUP(C$89,$S$67:$W$75,4,FALSE)</f>
        <v>11.6</v>
      </c>
      <c r="D95" s="94">
        <f>VLOOKUP(D$89,$S$67:$W$75,4,FALSE)</f>
        <v>13</v>
      </c>
      <c r="E95" t="s">
        <v>197</v>
      </c>
      <c r="J95" s="51" t="s">
        <v>196</v>
      </c>
      <c r="K95" s="94">
        <f>VLOOKUP(K$89,$S$67:$W$75,4,FALSE)</f>
        <v>11.6</v>
      </c>
      <c r="L95" s="94">
        <f>VLOOKUP(L$89,$S$67:$W$75,4,FALSE)</f>
        <v>11.6</v>
      </c>
      <c r="M95" s="94">
        <f>VLOOKUP(M$89,$S$67:$W$75,4,FALSE)</f>
        <v>11.6</v>
      </c>
      <c r="N95" t="s">
        <v>197</v>
      </c>
      <c r="O95" s="51" t="s">
        <v>260</v>
      </c>
      <c r="P95">
        <v>210000</v>
      </c>
      <c r="Q95" t="s">
        <v>197</v>
      </c>
    </row>
    <row r="96" spans="1:17" ht="18" x14ac:dyDescent="0.35">
      <c r="A96" s="51" t="s">
        <v>261</v>
      </c>
      <c r="B96" s="4" t="str">
        <f>Belastungstabelle_Website!B38</f>
        <v>GL24h</v>
      </c>
      <c r="C96" s="4" t="str">
        <f>B96</f>
        <v>GL24h</v>
      </c>
      <c r="D96" s="4" t="str">
        <f>B96</f>
        <v>GL24h</v>
      </c>
      <c r="J96" s="51" t="s">
        <v>206</v>
      </c>
      <c r="K96" s="96">
        <f>IF($A$3=$S$39,1,$C$7)</f>
        <v>0.8</v>
      </c>
      <c r="L96" s="96">
        <f>$B$52</f>
        <v>0.8</v>
      </c>
      <c r="M96" s="96">
        <f>$B$52</f>
        <v>0.8</v>
      </c>
      <c r="O96" s="51" t="s">
        <v>262</v>
      </c>
      <c r="P96" s="108">
        <f>PI()*P92^4/64</f>
        <v>38.732308035765378</v>
      </c>
      <c r="Q96" s="41" t="s">
        <v>263</v>
      </c>
    </row>
    <row r="97" spans="1:16" ht="18" x14ac:dyDescent="0.35">
      <c r="A97" s="51" t="s">
        <v>201</v>
      </c>
      <c r="B97" s="4">
        <f>VLOOKUP(B96,$S$45:$T$52,2,FALSE)</f>
        <v>385</v>
      </c>
      <c r="C97" s="4">
        <f t="shared" ref="C97:D97" si="27">VLOOKUP(C96,$S$45:$T$52,2,FALSE)</f>
        <v>385</v>
      </c>
      <c r="D97" s="4">
        <f t="shared" si="27"/>
        <v>385</v>
      </c>
      <c r="E97" t="s">
        <v>202</v>
      </c>
      <c r="J97" s="51" t="s">
        <v>208</v>
      </c>
      <c r="K97" s="96">
        <f>IF($A$3=$S$39,1,$C$8)</f>
        <v>1.3</v>
      </c>
      <c r="L97" s="67">
        <f>$B$53</f>
        <v>1.3</v>
      </c>
      <c r="M97" s="67">
        <f>$B$53</f>
        <v>1.3</v>
      </c>
      <c r="O97" s="51" t="s">
        <v>264</v>
      </c>
      <c r="P97" s="108">
        <f>IF($A$3=$S$39,1,$C$9)</f>
        <v>1.1000000000000001</v>
      </c>
    </row>
    <row r="98" spans="1:16" ht="18" x14ac:dyDescent="0.35">
      <c r="A98" s="51" t="s">
        <v>204</v>
      </c>
      <c r="B98" s="4">
        <v>350</v>
      </c>
      <c r="C98" s="4">
        <v>350</v>
      </c>
      <c r="D98" s="4">
        <v>350</v>
      </c>
      <c r="E98" t="s">
        <v>202</v>
      </c>
      <c r="J98" s="51" t="s">
        <v>141</v>
      </c>
      <c r="K98" s="4" t="str">
        <f>$B$96</f>
        <v>GL24h</v>
      </c>
      <c r="L98" s="4" t="str">
        <f t="shared" ref="L98:M98" si="28">$B$96</f>
        <v>GL24h</v>
      </c>
      <c r="M98" s="4" t="str">
        <f t="shared" si="28"/>
        <v>GL24h</v>
      </c>
    </row>
    <row r="99" spans="1:16" ht="18" x14ac:dyDescent="0.35">
      <c r="A99" s="51" t="s">
        <v>206</v>
      </c>
      <c r="B99" s="96">
        <f>IF($A$3=$S$39,1,$C$7)</f>
        <v>0.8</v>
      </c>
      <c r="C99" s="96">
        <f>$B$52</f>
        <v>0.8</v>
      </c>
      <c r="D99" s="96">
        <f>$B$52</f>
        <v>0.8</v>
      </c>
      <c r="J99" s="51" t="s">
        <v>201</v>
      </c>
      <c r="K99" s="4">
        <f>$B$97</f>
        <v>385</v>
      </c>
      <c r="L99" s="4">
        <f t="shared" ref="L99:M99" si="29">$B$97</f>
        <v>385</v>
      </c>
      <c r="M99" s="4">
        <f t="shared" si="29"/>
        <v>385</v>
      </c>
      <c r="N99" t="s">
        <v>202</v>
      </c>
    </row>
    <row r="100" spans="1:16" ht="18" x14ac:dyDescent="0.35">
      <c r="A100" s="51" t="s">
        <v>208</v>
      </c>
      <c r="B100" s="96">
        <f>IF($A$3=$S$39,1,$C$8)</f>
        <v>1.3</v>
      </c>
      <c r="C100" s="67">
        <f>$B$53</f>
        <v>1.3</v>
      </c>
      <c r="D100" s="67">
        <f>$B$53</f>
        <v>1.3</v>
      </c>
      <c r="J100" s="51" t="s">
        <v>204</v>
      </c>
      <c r="K100" s="4">
        <v>350</v>
      </c>
      <c r="L100" s="4">
        <v>350</v>
      </c>
      <c r="M100" s="4">
        <v>350</v>
      </c>
      <c r="N100" t="s">
        <v>202</v>
      </c>
    </row>
    <row r="101" spans="1:16" ht="18" x14ac:dyDescent="0.35">
      <c r="A101" s="51" t="s">
        <v>210</v>
      </c>
      <c r="B101" s="99">
        <f>VLOOKUP(B$89,$S$67:$W$75,5,FALSE)</f>
        <v>24</v>
      </c>
      <c r="C101" s="99">
        <f>VLOOKUP(C$89,$S$67:$W$75,5,FALSE)</f>
        <v>20</v>
      </c>
      <c r="D101" s="99">
        <f>VLOOKUP(D$89,$S$67:$W$75,5,FALSE)</f>
        <v>24</v>
      </c>
      <c r="E101" t="s">
        <v>211</v>
      </c>
      <c r="J101" s="51" t="s">
        <v>265</v>
      </c>
      <c r="K101" s="4">
        <f>(0.19+0.012*K90)*K99*((90+K93)/180)</f>
        <v>110.11000000000001</v>
      </c>
      <c r="L101" s="4">
        <f>(0.19+0.012*L90)*L99*((90+L93)/180)</f>
        <v>110.11000000000001</v>
      </c>
      <c r="M101" s="4">
        <f>(0.19+0.012*M90)*M99*((90+M93)/180)</f>
        <v>110.11000000000001</v>
      </c>
      <c r="N101" t="s">
        <v>211</v>
      </c>
    </row>
    <row r="102" spans="1:16" ht="18" x14ac:dyDescent="0.35">
      <c r="A102" s="100" t="str">
        <f>IF($A$3=$S$39,"Zugkraft Fax,45,Rk =","Zugkraft Fax,45,Rd =")</f>
        <v>Zugkraft Fax,45,Rd =</v>
      </c>
      <c r="B102" s="67">
        <f>MIN((B99/B100)*(B94*B95*B90*B92*(B97/B98)^0.8)/1000,B101/B100)</f>
        <v>7.390569404606806</v>
      </c>
      <c r="C102" s="67">
        <f t="shared" ref="C102:D102" si="30">MIN((C99/C100)*(C94*C95*C90*C92*(C97/C98)^0.8)/1000,C101/C100)</f>
        <v>8.8750590463373165</v>
      </c>
      <c r="D102" s="67">
        <f t="shared" si="30"/>
        <v>12.432733577843223</v>
      </c>
      <c r="E102" t="s">
        <v>211</v>
      </c>
      <c r="J102" s="51" t="s">
        <v>266</v>
      </c>
      <c r="K102" s="96">
        <f>SQRT(K101*$P$95*$P$96)/1000</f>
        <v>29.926761133504016</v>
      </c>
      <c r="L102" s="96">
        <f>SQRT(L101*$P$95*$P$96)/1000</f>
        <v>29.926761133504016</v>
      </c>
      <c r="M102" s="96">
        <f>SQRT(M101*$P$95*$P$96)/1000</f>
        <v>29.926761133504016</v>
      </c>
      <c r="N102" t="s">
        <v>211</v>
      </c>
    </row>
    <row r="103" spans="1:16" x14ac:dyDescent="0.25">
      <c r="A103" s="1"/>
      <c r="J103" s="61" t="s">
        <v>267</v>
      </c>
      <c r="K103" s="67">
        <f>SQRT($P$94/K102)</f>
        <v>0.81864310639971027</v>
      </c>
      <c r="L103" s="67">
        <f>SQRT($P$94/L102)</f>
        <v>0.81864310639971027</v>
      </c>
      <c r="M103" s="67">
        <f>SQRT($P$94/M102)</f>
        <v>0.81864310639971027</v>
      </c>
    </row>
    <row r="104" spans="1:16" x14ac:dyDescent="0.25">
      <c r="A104" s="1"/>
      <c r="J104" s="51" t="s">
        <v>268</v>
      </c>
      <c r="K104" s="67">
        <f>0.5*(1+0.49*(K103-0.2)+K103^-2)</f>
        <v>1.3976396381972038</v>
      </c>
      <c r="L104" s="67">
        <f t="shared" ref="L104:M104" si="31">0.5*(1+0.49*(L103-0.2)+L103^-2)</f>
        <v>1.3976396381972038</v>
      </c>
      <c r="M104" s="67">
        <f t="shared" si="31"/>
        <v>1.3976396381972038</v>
      </c>
    </row>
    <row r="105" spans="1:16" x14ac:dyDescent="0.25">
      <c r="A105" s="1"/>
      <c r="J105" s="100" t="str">
        <f>IF($A$3=$S$39,"Druckkraft Fax,90,Rk =","Druckkraft Fax,90,Rd =")</f>
        <v>Druckkraft Fax,90,Rd =</v>
      </c>
      <c r="K105" s="67">
        <f>MIN((K95*K90*K92*K96/K97)/1000,K94*$P$94)</f>
        <v>7.7191205925914517</v>
      </c>
      <c r="L105" s="67">
        <f>MIN((L95*L90*L92*L96/L97)/1000,L94*$P$94)</f>
        <v>7.7191205925914517</v>
      </c>
      <c r="M105" s="67">
        <f>MIN((M95*M90*M92*M96/M97)/1000,M94*$P$94)</f>
        <v>7.7191205925914517</v>
      </c>
    </row>
    <row r="106" spans="1:16" x14ac:dyDescent="0.25">
      <c r="A106" s="1"/>
      <c r="G106" s="51"/>
      <c r="H106" s="88"/>
      <c r="I106" s="88"/>
      <c r="J106" s="88"/>
    </row>
    <row r="107" spans="1:16" x14ac:dyDescent="0.25">
      <c r="A107" s="1"/>
      <c r="K107" s="119"/>
      <c r="L107" s="119"/>
    </row>
    <row r="108" spans="1:16" ht="18" x14ac:dyDescent="0.35">
      <c r="A108" s="1"/>
      <c r="M108" s="208" t="s">
        <v>269</v>
      </c>
      <c r="N108" s="209"/>
    </row>
    <row r="109" spans="1:16" x14ac:dyDescent="0.25">
      <c r="H109" t="s">
        <v>270</v>
      </c>
      <c r="I109" s="2" t="str">
        <f>B96</f>
        <v>GL24h</v>
      </c>
      <c r="J109" s="2"/>
      <c r="M109" s="121" t="s">
        <v>229</v>
      </c>
      <c r="N109" s="64" t="s">
        <v>174</v>
      </c>
    </row>
    <row r="110" spans="1:16" x14ac:dyDescent="0.25">
      <c r="A110" s="5" t="s">
        <v>2</v>
      </c>
      <c r="B110" s="5" t="s">
        <v>159</v>
      </c>
      <c r="C110" s="5" t="s">
        <v>159</v>
      </c>
      <c r="D110" s="5" t="s">
        <v>226</v>
      </c>
      <c r="E110" s="5" t="s">
        <v>227</v>
      </c>
      <c r="F110" s="5" t="s">
        <v>271</v>
      </c>
      <c r="G110" s="5" t="s">
        <v>14</v>
      </c>
      <c r="H110" s="5" t="s">
        <v>272</v>
      </c>
      <c r="I110" s="5" t="s">
        <v>174</v>
      </c>
      <c r="J110" s="5" t="s">
        <v>228</v>
      </c>
      <c r="K110" s="5"/>
      <c r="L110" s="5"/>
      <c r="M110" s="5" t="s">
        <v>273</v>
      </c>
      <c r="N110" s="5" t="s">
        <v>138</v>
      </c>
    </row>
    <row r="111" spans="1:16" ht="18" x14ac:dyDescent="0.35">
      <c r="A111" s="6" t="s">
        <v>235</v>
      </c>
      <c r="B111" s="103" t="s">
        <v>161</v>
      </c>
      <c r="C111" s="6" t="s">
        <v>274</v>
      </c>
      <c r="D111" s="6" t="s">
        <v>275</v>
      </c>
      <c r="E111" s="103" t="str">
        <f>IF($A$3=$S$39,"Fax,45,Rk","Fax,45,Rd")</f>
        <v>Fax,45,Rd</v>
      </c>
      <c r="F111" s="103" t="str">
        <f>IF($A$3=$S$39,"Fax,90,Rk","Fax,90,Rd")</f>
        <v>Fax,90,Rd</v>
      </c>
      <c r="G111" s="103" t="s">
        <v>15</v>
      </c>
      <c r="H111" s="103" t="s">
        <v>276</v>
      </c>
      <c r="I111" s="103" t="str">
        <f>IF($A$3=$S$39," fr,k"," fr,d")</f>
        <v xml:space="preserve"> fr,d</v>
      </c>
      <c r="J111" s="103" t="str">
        <f>IF($A$3=$S$39,"fc,90,k","fc,90,d")</f>
        <v>fc,90,d</v>
      </c>
      <c r="K111" s="103" t="str">
        <f>IF($A$3=$S$39,"F2,H,Rk (1. Anteil)","F2,H,Rd (1. Anteil)")</f>
        <v>F2,H,Rd (1. Anteil)</v>
      </c>
      <c r="L111" s="103" t="str">
        <f>IF($A$3=$S$39,"F2,H,Rk (2. Anteil)","F2,H,Rd (2. Anteil)")</f>
        <v>F2,H,Rd (2. Anteil)</v>
      </c>
      <c r="M111" s="103" t="str">
        <f>IF($A$3=$S$39,"F2,H,Rk","F2,H,Rd")</f>
        <v>F2,H,Rd</v>
      </c>
      <c r="N111" s="103" t="str">
        <f>IF($A$3=$S$39,"F2,H,tau,Rk","F2,H,tau,Rd")</f>
        <v>F2,H,tau,Rd</v>
      </c>
    </row>
    <row r="112" spans="1:16" x14ac:dyDescent="0.25">
      <c r="A112" s="7" t="s">
        <v>0</v>
      </c>
      <c r="B112" s="9" t="s">
        <v>277</v>
      </c>
      <c r="C112" s="9" t="s">
        <v>277</v>
      </c>
      <c r="D112" s="7" t="s">
        <v>0</v>
      </c>
      <c r="E112" s="9" t="s">
        <v>1</v>
      </c>
      <c r="F112" s="9" t="s">
        <v>1</v>
      </c>
      <c r="G112" s="9" t="s">
        <v>0</v>
      </c>
      <c r="H112" s="9" t="s">
        <v>278</v>
      </c>
      <c r="I112" s="9" t="s">
        <v>237</v>
      </c>
      <c r="J112" s="9" t="s">
        <v>237</v>
      </c>
      <c r="K112" s="9" t="s">
        <v>1</v>
      </c>
      <c r="L112" s="9" t="s">
        <v>1</v>
      </c>
      <c r="M112" s="9" t="s">
        <v>1</v>
      </c>
      <c r="N112" s="9" t="s">
        <v>1</v>
      </c>
    </row>
    <row r="113" spans="1:14" x14ac:dyDescent="0.25">
      <c r="A113" s="3" t="str">
        <f>A17</f>
        <v>200x60x25 H</v>
      </c>
      <c r="B113" s="4">
        <f>Belastungstabelle_Website!B47</f>
        <v>4</v>
      </c>
      <c r="C113" s="4">
        <f>G17-1</f>
        <v>2</v>
      </c>
      <c r="D113" s="4">
        <f>$B$92</f>
        <v>107</v>
      </c>
      <c r="E113" s="69">
        <f>$B$102</f>
        <v>7.390569404606806</v>
      </c>
      <c r="F113" s="69">
        <f>$K$105</f>
        <v>7.7191205925914517</v>
      </c>
      <c r="G113" s="4">
        <f>Belastungstabelle_Website!F47</f>
        <v>20</v>
      </c>
      <c r="H113" s="3">
        <f>((B17+2*$H$130)*(C17-20))/100</f>
        <v>151.19999999999999</v>
      </c>
      <c r="I113" s="95">
        <f t="shared" ref="I113:I127" si="32">VLOOKUP($I$109,$S$45:$X$52,6,FALSE)/10</f>
        <v>7.3846153846153839E-2</v>
      </c>
      <c r="J113" s="95">
        <f t="shared" ref="J113:J127" si="33">VLOOKUP($I$109,$S$45:$X$52,3,FALSE)/10</f>
        <v>0.15384615384615383</v>
      </c>
      <c r="K113" s="122">
        <f>MIN(0.64*B113*E113,H113*J113*$J$129+C113*$K$105)</f>
        <v>18.919857675793423</v>
      </c>
      <c r="L113" s="122">
        <f>MIN(0.51*B113*E113,0.8*H113*J113*$J$129)</f>
        <v>15.076761585397884</v>
      </c>
      <c r="M113" s="122">
        <f>K113+L113</f>
        <v>33.996619261191306</v>
      </c>
      <c r="N113" s="122">
        <f t="shared" ref="N113:N127" si="34">(1.6*C65/10+B65/10)*(C65/10*I113+MIN(G113/10*I113,(D113/10)/SQRT(2)*J113))</f>
        <v>35.990843076923078</v>
      </c>
    </row>
    <row r="114" spans="1:14" x14ac:dyDescent="0.25">
      <c r="A114" s="3" t="str">
        <f t="shared" ref="A114:A127" si="35">A18</f>
        <v>200x100x25 H</v>
      </c>
      <c r="B114" s="4">
        <f>Belastungstabelle_Website!B48</f>
        <v>6</v>
      </c>
      <c r="C114" s="4">
        <f t="shared" ref="C114:C116" si="36">G18-1</f>
        <v>2</v>
      </c>
      <c r="D114" s="4">
        <f t="shared" ref="D114:D116" si="37">$B$92</f>
        <v>107</v>
      </c>
      <c r="E114" s="69">
        <f t="shared" ref="E114:E116" si="38">$B$102</f>
        <v>7.390569404606806</v>
      </c>
      <c r="F114" s="69">
        <f t="shared" ref="F114:F116" si="39">$K$105</f>
        <v>7.7191205925914517</v>
      </c>
      <c r="G114" s="4">
        <f>Belastungstabelle_Website!F48</f>
        <v>30</v>
      </c>
      <c r="H114" s="3">
        <f t="shared" ref="H114:H115" si="40">((B18+2*$H$130)*(C18-20))/100</f>
        <v>201.6</v>
      </c>
      <c r="I114" s="95">
        <f t="shared" si="32"/>
        <v>7.3846153846153839E-2</v>
      </c>
      <c r="J114" s="95">
        <f t="shared" si="33"/>
        <v>0.15384615384615383</v>
      </c>
      <c r="K114" s="122">
        <f t="shared" ref="K114:K116" si="41">MIN(0.64*B114*E114,H114*J114*$J$129+C114*$K$105)</f>
        <v>28.379786513690135</v>
      </c>
      <c r="L114" s="122">
        <f t="shared" ref="L114:L127" si="42">MIN(0.51*B114*E114,0.8*H114*J114*$J$129)</f>
        <v>22.615142378096827</v>
      </c>
      <c r="M114" s="122">
        <f t="shared" ref="M114:M127" si="43">K114+L114</f>
        <v>50.994928891786962</v>
      </c>
      <c r="N114" s="122">
        <f t="shared" si="34"/>
        <v>43.357735384615374</v>
      </c>
    </row>
    <row r="115" spans="1:14" x14ac:dyDescent="0.25">
      <c r="A115" s="3" t="str">
        <f t="shared" si="35"/>
        <v>200x140x25 H</v>
      </c>
      <c r="B115" s="4">
        <f>Belastungstabelle_Website!B49</f>
        <v>8</v>
      </c>
      <c r="C115" s="4">
        <f t="shared" si="36"/>
        <v>2</v>
      </c>
      <c r="D115" s="4">
        <f t="shared" si="37"/>
        <v>107</v>
      </c>
      <c r="E115" s="69">
        <f t="shared" si="38"/>
        <v>7.390569404606806</v>
      </c>
      <c r="F115" s="69">
        <f t="shared" si="39"/>
        <v>7.7191205925914517</v>
      </c>
      <c r="G115" s="4">
        <f>Belastungstabelle_Website!F49</f>
        <v>40</v>
      </c>
      <c r="H115" s="3">
        <f t="shared" si="40"/>
        <v>252</v>
      </c>
      <c r="I115" s="95">
        <f t="shared" si="32"/>
        <v>7.3846153846153839E-2</v>
      </c>
      <c r="J115" s="95">
        <f t="shared" si="33"/>
        <v>0.15384615384615383</v>
      </c>
      <c r="K115" s="122">
        <f t="shared" si="41"/>
        <v>37.839715351586847</v>
      </c>
      <c r="L115" s="122">
        <f t="shared" si="42"/>
        <v>30.153523170795768</v>
      </c>
      <c r="M115" s="122">
        <f t="shared" si="43"/>
        <v>67.993238522382612</v>
      </c>
      <c r="N115" s="122">
        <f t="shared" si="34"/>
        <v>51.315396923076918</v>
      </c>
    </row>
    <row r="116" spans="1:14" ht="15.75" thickBot="1" x14ac:dyDescent="0.3">
      <c r="A116" s="10" t="str">
        <f t="shared" si="35"/>
        <v>200x180x25 H</v>
      </c>
      <c r="B116" s="11">
        <f>Belastungstabelle_Website!B50</f>
        <v>8</v>
      </c>
      <c r="C116" s="11">
        <f t="shared" si="36"/>
        <v>2</v>
      </c>
      <c r="D116" s="11">
        <f t="shared" si="37"/>
        <v>107</v>
      </c>
      <c r="E116" s="76">
        <f t="shared" si="38"/>
        <v>7.390569404606806</v>
      </c>
      <c r="F116" s="76">
        <f t="shared" si="39"/>
        <v>7.7191205925914517</v>
      </c>
      <c r="G116" s="11">
        <f>Belastungstabelle_Website!F50</f>
        <v>40</v>
      </c>
      <c r="H116" s="10">
        <f>((B20+2*$H$130)*(C20-20))/100</f>
        <v>302.39999999999998</v>
      </c>
      <c r="I116" s="111">
        <f t="shared" si="32"/>
        <v>7.3846153846153839E-2</v>
      </c>
      <c r="J116" s="111">
        <f t="shared" si="33"/>
        <v>0.15384615384615383</v>
      </c>
      <c r="K116" s="123">
        <f t="shared" si="41"/>
        <v>37.839715351586847</v>
      </c>
      <c r="L116" s="123">
        <f t="shared" si="42"/>
        <v>30.153523170795768</v>
      </c>
      <c r="M116" s="123">
        <f t="shared" si="43"/>
        <v>67.993238522382612</v>
      </c>
      <c r="N116" s="123">
        <f t="shared" si="34"/>
        <v>56.809550769230761</v>
      </c>
    </row>
    <row r="117" spans="1:14" ht="15.75" thickTop="1" x14ac:dyDescent="0.25">
      <c r="A117" s="7" t="str">
        <f t="shared" si="35"/>
        <v>360x60x30 H</v>
      </c>
      <c r="B117" s="9">
        <f>Belastungstabelle_Website!B51</f>
        <v>8</v>
      </c>
      <c r="C117" s="9">
        <f>G21-2</f>
        <v>2</v>
      </c>
      <c r="D117" s="9">
        <f t="shared" ref="D117:D120" si="44">$C$92</f>
        <v>144</v>
      </c>
      <c r="E117" s="83">
        <f>$C$102</f>
        <v>8.8750590463373165</v>
      </c>
      <c r="F117" s="83">
        <f>$L$105</f>
        <v>7.7191205925914517</v>
      </c>
      <c r="G117" s="9">
        <f>Belastungstabelle_Website!F51</f>
        <v>20</v>
      </c>
      <c r="H117" s="7">
        <f t="shared" ref="H117:H127" si="45">((B21+2*$H$130)*(C21-20))/100</f>
        <v>288</v>
      </c>
      <c r="I117" s="115">
        <f t="shared" si="32"/>
        <v>7.3846153846153839E-2</v>
      </c>
      <c r="J117" s="115">
        <f t="shared" si="33"/>
        <v>0.15384615384615383</v>
      </c>
      <c r="K117" s="124">
        <f>MIN(0.64*B117*E117,H117*J117*$J$129+C117*$L$105)</f>
        <v>45.44030231724706</v>
      </c>
      <c r="L117" s="124">
        <f t="shared" si="42"/>
        <v>36.210240909056253</v>
      </c>
      <c r="M117" s="124">
        <f t="shared" si="43"/>
        <v>81.650543226303313</v>
      </c>
      <c r="N117" s="124">
        <f t="shared" si="34"/>
        <v>98.422153846153847</v>
      </c>
    </row>
    <row r="118" spans="1:14" x14ac:dyDescent="0.25">
      <c r="A118" s="3" t="str">
        <f t="shared" si="35"/>
        <v>360x100x30 H</v>
      </c>
      <c r="B118" s="4">
        <f>Belastungstabelle_Website!B52</f>
        <v>10</v>
      </c>
      <c r="C118" s="4">
        <f t="shared" ref="C118:C120" si="46">G22-2</f>
        <v>2</v>
      </c>
      <c r="D118" s="4">
        <f t="shared" si="44"/>
        <v>144</v>
      </c>
      <c r="E118" s="69">
        <f t="shared" ref="E118:E120" si="47">$C$102</f>
        <v>8.8750590463373165</v>
      </c>
      <c r="F118" s="69">
        <f t="shared" ref="F118:F120" si="48">$L$105</f>
        <v>7.7191205925914517</v>
      </c>
      <c r="G118" s="4">
        <f>Belastungstabelle_Website!F52</f>
        <v>20</v>
      </c>
      <c r="H118" s="3">
        <f t="shared" si="45"/>
        <v>384</v>
      </c>
      <c r="I118" s="95">
        <f t="shared" si="32"/>
        <v>7.3846153846153839E-2</v>
      </c>
      <c r="J118" s="95">
        <f t="shared" si="33"/>
        <v>0.15384615384615383</v>
      </c>
      <c r="K118" s="122">
        <f>MIN(0.64*B118*E118,H118*J118*$J$129+C118*$L$105)</f>
        <v>56.800377896558828</v>
      </c>
      <c r="L118" s="122">
        <f t="shared" si="42"/>
        <v>45.262801136320313</v>
      </c>
      <c r="M118" s="122">
        <f t="shared" si="43"/>
        <v>102.06317903287913</v>
      </c>
      <c r="N118" s="122">
        <f t="shared" si="34"/>
        <v>106.69292307692308</v>
      </c>
    </row>
    <row r="119" spans="1:14" x14ac:dyDescent="0.25">
      <c r="A119" s="3" t="str">
        <f t="shared" si="35"/>
        <v>360x140x30 H</v>
      </c>
      <c r="B119" s="4">
        <f>Belastungstabelle_Website!B53</f>
        <v>12</v>
      </c>
      <c r="C119" s="4">
        <f t="shared" si="46"/>
        <v>2</v>
      </c>
      <c r="D119" s="4">
        <f t="shared" si="44"/>
        <v>144</v>
      </c>
      <c r="E119" s="69">
        <f t="shared" si="47"/>
        <v>8.8750590463373165</v>
      </c>
      <c r="F119" s="69">
        <f t="shared" si="48"/>
        <v>7.7191205925914517</v>
      </c>
      <c r="G119" s="4">
        <f>Belastungstabelle_Website!F53</f>
        <v>40</v>
      </c>
      <c r="H119" s="3">
        <f t="shared" si="45"/>
        <v>480</v>
      </c>
      <c r="I119" s="95">
        <f t="shared" si="32"/>
        <v>7.3846153846153839E-2</v>
      </c>
      <c r="J119" s="95">
        <f t="shared" si="33"/>
        <v>0.15384615384615383</v>
      </c>
      <c r="K119" s="122">
        <f>MIN(0.64*B119*E119,H119*J119*$J$129+C119*$L$105)</f>
        <v>68.160453475870582</v>
      </c>
      <c r="L119" s="122">
        <f t="shared" si="42"/>
        <v>54.31536136358438</v>
      </c>
      <c r="M119" s="122">
        <f t="shared" si="43"/>
        <v>122.47581483945496</v>
      </c>
      <c r="N119" s="122">
        <f t="shared" si="34"/>
        <v>123.17538461538463</v>
      </c>
    </row>
    <row r="120" spans="1:14" ht="15.75" thickBot="1" x14ac:dyDescent="0.3">
      <c r="A120" s="10" t="str">
        <f t="shared" si="35"/>
        <v>360x180x30 H</v>
      </c>
      <c r="B120" s="11">
        <f>Belastungstabelle_Website!B54</f>
        <v>14</v>
      </c>
      <c r="C120" s="11">
        <f t="shared" si="46"/>
        <v>2</v>
      </c>
      <c r="D120" s="11">
        <f t="shared" si="44"/>
        <v>144</v>
      </c>
      <c r="E120" s="76">
        <f t="shared" si="47"/>
        <v>8.8750590463373165</v>
      </c>
      <c r="F120" s="76">
        <f t="shared" si="48"/>
        <v>7.7191205925914517</v>
      </c>
      <c r="G120" s="11">
        <f>Belastungstabelle_Website!F54</f>
        <v>50</v>
      </c>
      <c r="H120" s="10">
        <f t="shared" si="45"/>
        <v>576</v>
      </c>
      <c r="I120" s="111">
        <f t="shared" si="32"/>
        <v>7.3846153846153839E-2</v>
      </c>
      <c r="J120" s="111">
        <f t="shared" si="33"/>
        <v>0.15384615384615383</v>
      </c>
      <c r="K120" s="123">
        <f>MIN(0.64*B120*E120,H120*J120*$J$129+C120*$L$105)</f>
        <v>79.520529055182365</v>
      </c>
      <c r="L120" s="123">
        <f t="shared" si="42"/>
        <v>63.367921590848447</v>
      </c>
      <c r="M120" s="123">
        <f t="shared" si="43"/>
        <v>142.8884506460308</v>
      </c>
      <c r="N120" s="123">
        <f t="shared" si="34"/>
        <v>136.43815384615385</v>
      </c>
    </row>
    <row r="121" spans="1:14" ht="15.75" thickTop="1" x14ac:dyDescent="0.25">
      <c r="A121" s="7" t="str">
        <f t="shared" si="35"/>
        <v>500x60x40 H</v>
      </c>
      <c r="B121" s="9">
        <f>Belastungstabelle_Website!B55</f>
        <v>12</v>
      </c>
      <c r="C121" s="9">
        <f>G25-2</f>
        <v>4</v>
      </c>
      <c r="D121" s="9">
        <f t="shared" ref="D121:D127" si="49">$D$92</f>
        <v>180</v>
      </c>
      <c r="E121" s="83">
        <f>$D$102</f>
        <v>12.432733577843223</v>
      </c>
      <c r="F121" s="83">
        <f>$M$105</f>
        <v>7.7191205925914517</v>
      </c>
      <c r="G121" s="9">
        <f>Belastungstabelle_Website!F55</f>
        <v>20</v>
      </c>
      <c r="H121" s="7">
        <f t="shared" si="45"/>
        <v>456</v>
      </c>
      <c r="I121" s="115">
        <f t="shared" si="32"/>
        <v>7.3846153846153839E-2</v>
      </c>
      <c r="J121" s="115">
        <f t="shared" si="33"/>
        <v>0.15384615384615383</v>
      </c>
      <c r="K121" s="124">
        <f>MIN(0.64*B121*E121,H121*J121*$J$129+C121*$M$105)</f>
        <v>95.483393877835951</v>
      </c>
      <c r="L121" s="124">
        <f t="shared" si="42"/>
        <v>76.088329496400519</v>
      </c>
      <c r="M121" s="124">
        <f t="shared" si="43"/>
        <v>171.57172337423646</v>
      </c>
      <c r="N121" s="124">
        <f t="shared" si="34"/>
        <v>217.1076923076923</v>
      </c>
    </row>
    <row r="122" spans="1:14" x14ac:dyDescent="0.25">
      <c r="A122" s="3" t="str">
        <f t="shared" si="35"/>
        <v>500x100x40 H</v>
      </c>
      <c r="B122" s="4">
        <f>Belastungstabelle_Website!B56</f>
        <v>20</v>
      </c>
      <c r="C122" s="4">
        <f t="shared" ref="C122:C127" si="50">G26-2</f>
        <v>4</v>
      </c>
      <c r="D122" s="4">
        <f t="shared" si="49"/>
        <v>180</v>
      </c>
      <c r="E122" s="69">
        <f t="shared" ref="E122:E127" si="51">$D$102</f>
        <v>12.432733577843223</v>
      </c>
      <c r="F122" s="69">
        <f t="shared" ref="F122:F127" si="52">$M$105</f>
        <v>7.7191205925914517</v>
      </c>
      <c r="G122" s="4">
        <f>Belastungstabelle_Website!F56</f>
        <v>40</v>
      </c>
      <c r="H122" s="3">
        <f t="shared" si="45"/>
        <v>608</v>
      </c>
      <c r="I122" s="95">
        <f t="shared" si="32"/>
        <v>7.3846153846153839E-2</v>
      </c>
      <c r="J122" s="95">
        <f t="shared" si="33"/>
        <v>0.15384615384615383</v>
      </c>
      <c r="K122" s="122">
        <f t="shared" ref="K122:K127" si="53">MIN(0.64*B122*E122,H122*J122*$J$129+C122*$M$105)</f>
        <v>159.13898979639328</v>
      </c>
      <c r="L122" s="122">
        <f t="shared" si="42"/>
        <v>126.81388249400086</v>
      </c>
      <c r="M122" s="122">
        <f t="shared" si="43"/>
        <v>285.95287229039411</v>
      </c>
      <c r="N122" s="122">
        <f t="shared" si="34"/>
        <v>240.44307692307689</v>
      </c>
    </row>
    <row r="123" spans="1:14" x14ac:dyDescent="0.25">
      <c r="A123" s="3" t="str">
        <f t="shared" si="35"/>
        <v>500x140x40 H</v>
      </c>
      <c r="B123" s="4">
        <f>Belastungstabelle_Website!B57</f>
        <v>20</v>
      </c>
      <c r="C123" s="4">
        <f t="shared" si="50"/>
        <v>4</v>
      </c>
      <c r="D123" s="4">
        <f t="shared" si="49"/>
        <v>180</v>
      </c>
      <c r="E123" s="69">
        <f t="shared" si="51"/>
        <v>12.432733577843223</v>
      </c>
      <c r="F123" s="69">
        <f t="shared" si="52"/>
        <v>7.7191205925914517</v>
      </c>
      <c r="G123" s="4">
        <f>Belastungstabelle_Website!F57</f>
        <v>50</v>
      </c>
      <c r="H123" s="3">
        <f t="shared" si="45"/>
        <v>760</v>
      </c>
      <c r="I123" s="95">
        <f t="shared" si="32"/>
        <v>7.3846153846153839E-2</v>
      </c>
      <c r="J123" s="95">
        <f t="shared" si="33"/>
        <v>0.15384615384615383</v>
      </c>
      <c r="K123" s="122">
        <f t="shared" si="53"/>
        <v>159.13898979639328</v>
      </c>
      <c r="L123" s="122">
        <f t="shared" si="42"/>
        <v>126.81388249400086</v>
      </c>
      <c r="M123" s="122">
        <f t="shared" si="43"/>
        <v>285.95287229039411</v>
      </c>
      <c r="N123" s="122">
        <f t="shared" si="34"/>
        <v>259.2</v>
      </c>
    </row>
    <row r="124" spans="1:14" x14ac:dyDescent="0.25">
      <c r="A124" s="3" t="str">
        <f t="shared" si="35"/>
        <v>500x180x40 H</v>
      </c>
      <c r="B124" s="4">
        <f>Belastungstabelle_Website!B58</f>
        <v>20</v>
      </c>
      <c r="C124" s="4">
        <f t="shared" si="50"/>
        <v>4</v>
      </c>
      <c r="D124" s="4">
        <f t="shared" si="49"/>
        <v>180</v>
      </c>
      <c r="E124" s="69">
        <f t="shared" si="51"/>
        <v>12.432733577843223</v>
      </c>
      <c r="F124" s="69">
        <f t="shared" si="52"/>
        <v>7.7191205925914517</v>
      </c>
      <c r="G124" s="4">
        <f>Belastungstabelle_Website!F58</f>
        <v>60</v>
      </c>
      <c r="H124" s="3">
        <f t="shared" si="45"/>
        <v>912</v>
      </c>
      <c r="I124" s="95">
        <f t="shared" si="32"/>
        <v>7.3846153846153839E-2</v>
      </c>
      <c r="J124" s="95">
        <f t="shared" si="33"/>
        <v>0.15384615384615383</v>
      </c>
      <c r="K124" s="122">
        <f t="shared" si="53"/>
        <v>159.13898979639328</v>
      </c>
      <c r="L124" s="122">
        <f t="shared" si="42"/>
        <v>126.81388249400086</v>
      </c>
      <c r="M124" s="122">
        <f t="shared" si="43"/>
        <v>285.95287229039411</v>
      </c>
      <c r="N124" s="122">
        <f t="shared" si="34"/>
        <v>278.54769230769227</v>
      </c>
    </row>
    <row r="125" spans="1:14" x14ac:dyDescent="0.25">
      <c r="A125" s="3" t="str">
        <f t="shared" si="35"/>
        <v>500x220x40 H</v>
      </c>
      <c r="B125" s="4">
        <f>Belastungstabelle_Website!B59</f>
        <v>22</v>
      </c>
      <c r="C125" s="4">
        <f t="shared" si="50"/>
        <v>4</v>
      </c>
      <c r="D125" s="4">
        <f t="shared" si="49"/>
        <v>180</v>
      </c>
      <c r="E125" s="69">
        <f t="shared" si="51"/>
        <v>12.432733577843223</v>
      </c>
      <c r="F125" s="69">
        <f t="shared" si="52"/>
        <v>7.7191205925914517</v>
      </c>
      <c r="G125" s="4">
        <f>Belastungstabelle_Website!F59</f>
        <v>70</v>
      </c>
      <c r="H125" s="3">
        <f t="shared" si="45"/>
        <v>1064</v>
      </c>
      <c r="I125" s="95">
        <f t="shared" si="32"/>
        <v>7.3846153846153839E-2</v>
      </c>
      <c r="J125" s="95">
        <f t="shared" si="33"/>
        <v>0.15384615384615383</v>
      </c>
      <c r="K125" s="122">
        <f t="shared" si="53"/>
        <v>175.05288877603257</v>
      </c>
      <c r="L125" s="122">
        <f t="shared" si="42"/>
        <v>139.49527074340097</v>
      </c>
      <c r="M125" s="122">
        <f t="shared" si="43"/>
        <v>314.54815951943351</v>
      </c>
      <c r="N125" s="122">
        <f t="shared" si="34"/>
        <v>298.4861538461538</v>
      </c>
    </row>
    <row r="126" spans="1:14" x14ac:dyDescent="0.25">
      <c r="A126" s="3" t="str">
        <f t="shared" si="35"/>
        <v>500x260x40 H</v>
      </c>
      <c r="B126" s="4">
        <f>Belastungstabelle_Website!B60</f>
        <v>24</v>
      </c>
      <c r="C126" s="4">
        <f t="shared" si="50"/>
        <v>4</v>
      </c>
      <c r="D126" s="4">
        <f t="shared" si="49"/>
        <v>180</v>
      </c>
      <c r="E126" s="69">
        <f t="shared" si="51"/>
        <v>12.432733577843223</v>
      </c>
      <c r="F126" s="69">
        <f t="shared" si="52"/>
        <v>7.7191205925914517</v>
      </c>
      <c r="G126" s="4">
        <f>Belastungstabelle_Website!F60</f>
        <v>80</v>
      </c>
      <c r="H126" s="3">
        <f t="shared" si="45"/>
        <v>1216</v>
      </c>
      <c r="I126" s="95">
        <f t="shared" si="32"/>
        <v>7.3846153846153839E-2</v>
      </c>
      <c r="J126" s="95">
        <f t="shared" si="33"/>
        <v>0.15384615384615383</v>
      </c>
      <c r="K126" s="122">
        <f t="shared" si="53"/>
        <v>190.9667877556719</v>
      </c>
      <c r="L126" s="122">
        <f t="shared" si="42"/>
        <v>152.17665899280104</v>
      </c>
      <c r="M126" s="122">
        <f t="shared" si="43"/>
        <v>343.14344674847291</v>
      </c>
      <c r="N126" s="122">
        <f t="shared" si="34"/>
        <v>319.01538461538456</v>
      </c>
    </row>
    <row r="127" spans="1:14" x14ac:dyDescent="0.25">
      <c r="A127" s="3" t="str">
        <f t="shared" si="35"/>
        <v>500x300x40 H</v>
      </c>
      <c r="B127" s="4">
        <f>Belastungstabelle_Website!B61</f>
        <v>24</v>
      </c>
      <c r="C127" s="4">
        <f t="shared" si="50"/>
        <v>4</v>
      </c>
      <c r="D127" s="4">
        <f t="shared" si="49"/>
        <v>180</v>
      </c>
      <c r="E127" s="69">
        <f t="shared" si="51"/>
        <v>12.432733577843223</v>
      </c>
      <c r="F127" s="69">
        <f t="shared" si="52"/>
        <v>7.7191205925914517</v>
      </c>
      <c r="G127" s="4">
        <f>Belastungstabelle_Website!F61</f>
        <v>90</v>
      </c>
      <c r="H127" s="3">
        <f t="shared" si="45"/>
        <v>1368</v>
      </c>
      <c r="I127" s="95">
        <f t="shared" si="32"/>
        <v>7.3846153846153839E-2</v>
      </c>
      <c r="J127" s="95">
        <f t="shared" si="33"/>
        <v>0.15384615384615383</v>
      </c>
      <c r="K127" s="122">
        <f t="shared" si="53"/>
        <v>190.9667877556719</v>
      </c>
      <c r="L127" s="122">
        <f t="shared" si="42"/>
        <v>152.17665899280104</v>
      </c>
      <c r="M127" s="122">
        <f t="shared" si="43"/>
        <v>343.14344674847291</v>
      </c>
      <c r="N127" s="122">
        <f t="shared" si="34"/>
        <v>340.13538461538462</v>
      </c>
    </row>
    <row r="128" spans="1:14" x14ac:dyDescent="0.25">
      <c r="B128" s="2"/>
      <c r="C128" s="2"/>
      <c r="D128" s="2"/>
      <c r="E128" s="88"/>
      <c r="F128" s="88"/>
      <c r="G128" s="88"/>
      <c r="I128" s="2"/>
      <c r="J128" s="2"/>
      <c r="K128" s="108"/>
      <c r="L128" s="108"/>
    </row>
    <row r="129" spans="1:17" x14ac:dyDescent="0.25">
      <c r="H129" s="51" t="s">
        <v>279</v>
      </c>
      <c r="I129" s="51" t="s">
        <v>280</v>
      </c>
      <c r="J129" s="2">
        <v>1.75</v>
      </c>
    </row>
    <row r="130" spans="1:17" x14ac:dyDescent="0.25">
      <c r="G130" s="51" t="s">
        <v>281</v>
      </c>
      <c r="H130" s="41">
        <v>30</v>
      </c>
      <c r="I130" t="s">
        <v>180</v>
      </c>
    </row>
    <row r="131" spans="1:17" x14ac:dyDescent="0.25">
      <c r="H131" t="s">
        <v>282</v>
      </c>
    </row>
    <row r="132" spans="1:17" ht="18.75" x14ac:dyDescent="0.3">
      <c r="A132" s="59" t="s">
        <v>283</v>
      </c>
    </row>
    <row r="133" spans="1:17" ht="18.75" x14ac:dyDescent="0.3">
      <c r="A133" s="59"/>
    </row>
    <row r="134" spans="1:17" x14ac:dyDescent="0.25">
      <c r="A134" s="1" t="s">
        <v>284</v>
      </c>
      <c r="J134" s="1" t="s">
        <v>285</v>
      </c>
    </row>
    <row r="135" spans="1:17" x14ac:dyDescent="0.25">
      <c r="B135" s="4" t="s">
        <v>165</v>
      </c>
      <c r="C135" s="4" t="s">
        <v>165</v>
      </c>
      <c r="D135" s="4" t="s">
        <v>165</v>
      </c>
      <c r="F135" s="2"/>
      <c r="G135" s="2"/>
      <c r="H135" s="2"/>
      <c r="I135" s="2"/>
      <c r="K135" s="4" t="s">
        <v>165</v>
      </c>
      <c r="L135" s="4" t="s">
        <v>165</v>
      </c>
      <c r="M135" s="4" t="s">
        <v>165</v>
      </c>
    </row>
    <row r="136" spans="1:17" x14ac:dyDescent="0.25">
      <c r="B136" s="4" t="s">
        <v>167</v>
      </c>
      <c r="C136" s="4" t="s">
        <v>168</v>
      </c>
      <c r="D136" s="4" t="s">
        <v>169</v>
      </c>
      <c r="K136" s="4" t="s">
        <v>167</v>
      </c>
      <c r="L136" s="4" t="s">
        <v>168</v>
      </c>
      <c r="M136" s="4" t="s">
        <v>169</v>
      </c>
    </row>
    <row r="137" spans="1:17" x14ac:dyDescent="0.25">
      <c r="A137" s="51" t="s">
        <v>175</v>
      </c>
      <c r="B137" s="4" t="str">
        <f>Belastungstabelle_Website!C76</f>
        <v>KNAPP VG SK 8x120</v>
      </c>
      <c r="C137" s="4" t="str">
        <f>Belastungstabelle_Website!C80</f>
        <v>KNAPP VG SK 8x160</v>
      </c>
      <c r="D137" s="4" t="str">
        <f>Belastungstabelle_Website!C84</f>
        <v>KNAPP VG SK 8x240</v>
      </c>
      <c r="J137" s="51" t="s">
        <v>254</v>
      </c>
      <c r="K137" s="4" t="str">
        <f>Belastungstabelle_Website!E76</f>
        <v>KNAPP VG SK 8x160</v>
      </c>
      <c r="L137" s="4" t="str">
        <f>Belastungstabelle_Website!E80</f>
        <v>KNAPP VG SK 8x160</v>
      </c>
      <c r="M137" s="4" t="str">
        <f>Belastungstabelle_Website!E84</f>
        <v>KNAPP VG SK 8x160</v>
      </c>
    </row>
    <row r="138" spans="1:17" x14ac:dyDescent="0.25">
      <c r="A138" s="51" t="s">
        <v>179</v>
      </c>
      <c r="B138" s="94">
        <f>VLOOKUP(B$137,$S$67:$W$75,2,FALSE)</f>
        <v>8</v>
      </c>
      <c r="C138" s="94">
        <f>VLOOKUP(C$137,$S$67:$W$75,2,FALSE)</f>
        <v>8</v>
      </c>
      <c r="D138" s="94">
        <f>VLOOKUP(D$137,$S$67:$W$75,2,FALSE)</f>
        <v>8</v>
      </c>
      <c r="E138" t="s">
        <v>180</v>
      </c>
      <c r="F138" s="125"/>
      <c r="G138" s="125"/>
      <c r="H138" s="125"/>
      <c r="I138" s="125"/>
      <c r="J138" s="51" t="s">
        <v>179</v>
      </c>
      <c r="K138" s="94">
        <f>VLOOKUP(K$137,$S$67:$W$75,2,FALSE)</f>
        <v>8</v>
      </c>
      <c r="L138" s="94">
        <f>VLOOKUP(L$137,$S$67:$W$75,2,FALSE)</f>
        <v>8</v>
      </c>
      <c r="M138" s="94">
        <f>VLOOKUP(M$137,$S$67:$W$75,2,FALSE)</f>
        <v>8</v>
      </c>
      <c r="N138" t="s">
        <v>180</v>
      </c>
    </row>
    <row r="139" spans="1:17" x14ac:dyDescent="0.25">
      <c r="A139" s="51" t="s">
        <v>186</v>
      </c>
      <c r="B139" s="94">
        <f>VLOOKUP(B$137,$S$67:$W$75,3,FALSE)</f>
        <v>120</v>
      </c>
      <c r="C139" s="94">
        <f>VLOOKUP(C$137,$S$67:$W$75,3,FALSE)</f>
        <v>160</v>
      </c>
      <c r="D139" s="94">
        <f>VLOOKUP(D$137,$S$67:$W$75,3,FALSE)</f>
        <v>240</v>
      </c>
      <c r="E139" t="s">
        <v>180</v>
      </c>
      <c r="F139" s="125"/>
      <c r="G139" s="125"/>
      <c r="H139" s="125"/>
      <c r="I139" s="125"/>
      <c r="J139" s="51" t="s">
        <v>186</v>
      </c>
      <c r="K139" s="94">
        <f>VLOOKUP(K$137,$S$67:$W$75,3,FALSE)</f>
        <v>160</v>
      </c>
      <c r="L139" s="94">
        <f>VLOOKUP(L$137,$S$67:$W$75,3,FALSE)</f>
        <v>160</v>
      </c>
      <c r="M139" s="94">
        <f>VLOOKUP(M$137,$S$67:$W$75,3,FALSE)</f>
        <v>160</v>
      </c>
      <c r="N139" t="s">
        <v>180</v>
      </c>
      <c r="O139" t="s">
        <v>255</v>
      </c>
    </row>
    <row r="140" spans="1:17" ht="18" x14ac:dyDescent="0.35">
      <c r="A140" s="51" t="s">
        <v>189</v>
      </c>
      <c r="B140" s="4">
        <f>B139-13</f>
        <v>107</v>
      </c>
      <c r="C140" s="4">
        <f>C139-16</f>
        <v>144</v>
      </c>
      <c r="D140" s="4">
        <f>D139-20</f>
        <v>220</v>
      </c>
      <c r="E140" t="s">
        <v>180</v>
      </c>
      <c r="F140" s="2"/>
      <c r="G140" s="2"/>
      <c r="H140" s="2"/>
      <c r="I140" s="2"/>
      <c r="J140" s="51" t="s">
        <v>189</v>
      </c>
      <c r="K140" s="126">
        <f>K139-10</f>
        <v>150</v>
      </c>
      <c r="L140" s="126">
        <f>L139-13</f>
        <v>147</v>
      </c>
      <c r="M140" s="126">
        <f>M139-17</f>
        <v>143</v>
      </c>
      <c r="N140" t="s">
        <v>180</v>
      </c>
      <c r="O140" s="51" t="s">
        <v>256</v>
      </c>
      <c r="P140">
        <v>5.3</v>
      </c>
      <c r="Q140" t="s">
        <v>180</v>
      </c>
    </row>
    <row r="141" spans="1:17" ht="18" x14ac:dyDescent="0.35">
      <c r="A141" s="51" t="s">
        <v>191</v>
      </c>
      <c r="B141" s="4">
        <v>45</v>
      </c>
      <c r="C141" s="4">
        <v>45</v>
      </c>
      <c r="D141" s="4">
        <v>45</v>
      </c>
      <c r="E141" t="s">
        <v>192</v>
      </c>
      <c r="F141" s="2"/>
      <c r="G141" s="2"/>
      <c r="H141" s="2"/>
      <c r="I141" s="2"/>
      <c r="J141" s="51" t="s">
        <v>191</v>
      </c>
      <c r="K141" s="126">
        <v>90</v>
      </c>
      <c r="L141" s="126">
        <v>90</v>
      </c>
      <c r="M141" s="126">
        <v>90</v>
      </c>
      <c r="N141" t="s">
        <v>192</v>
      </c>
      <c r="O141" s="51" t="s">
        <v>257</v>
      </c>
      <c r="P141">
        <v>1000</v>
      </c>
      <c r="Q141" t="s">
        <v>197</v>
      </c>
    </row>
    <row r="142" spans="1:17" ht="18" x14ac:dyDescent="0.35">
      <c r="A142" s="51" t="s">
        <v>194</v>
      </c>
      <c r="B142" s="4">
        <f>0.3+(0.7*B141)/45</f>
        <v>1</v>
      </c>
      <c r="C142" s="4">
        <f t="shared" ref="C142:D142" si="54">0.3+(0.7*C141)/45</f>
        <v>1</v>
      </c>
      <c r="D142" s="4">
        <f t="shared" si="54"/>
        <v>1</v>
      </c>
      <c r="F142" s="2"/>
      <c r="G142" s="2"/>
      <c r="H142" s="2"/>
      <c r="I142" s="2"/>
      <c r="J142" s="51" t="s">
        <v>258</v>
      </c>
      <c r="K142" s="96">
        <f>IF(K151&lt;=0.2,1,1/(K152+SQRT(K152^2-K152^-2)))</f>
        <v>0.38487428081073888</v>
      </c>
      <c r="L142" s="96">
        <f>IF(L151&lt;=0.2,1,1/(L152+SQRT(L152^2-L152^-2)))</f>
        <v>0.38487428081073888</v>
      </c>
      <c r="M142" s="96">
        <f>IF(M151&lt;=0.2,1,1/(M152+SQRT(M152^2-M152^-2)))</f>
        <v>0.38487428081073888</v>
      </c>
      <c r="O142" s="51" t="s">
        <v>259</v>
      </c>
      <c r="P142" s="120">
        <f>(PI()*P140^2/4*P141)/(1000*P145)</f>
        <v>20.056213099849383</v>
      </c>
      <c r="Q142" t="s">
        <v>211</v>
      </c>
    </row>
    <row r="143" spans="1:17" ht="18" x14ac:dyDescent="0.35">
      <c r="A143" s="51" t="s">
        <v>196</v>
      </c>
      <c r="B143" s="94">
        <f>VLOOKUP(B$137,$S$67:$W$75,4,FALSE)</f>
        <v>13</v>
      </c>
      <c r="C143" s="94">
        <f>VLOOKUP(C$137,$S$67:$W$75,4,FALSE)</f>
        <v>11.6</v>
      </c>
      <c r="D143" s="94">
        <f>VLOOKUP(D$137,$S$67:$W$75,4,FALSE)</f>
        <v>11.6</v>
      </c>
      <c r="E143" t="s">
        <v>197</v>
      </c>
      <c r="F143" s="127"/>
      <c r="G143" s="127"/>
      <c r="H143" s="127"/>
      <c r="I143" s="127"/>
      <c r="J143" s="51" t="s">
        <v>206</v>
      </c>
      <c r="K143" s="96">
        <f>IF($A$3=$S$39,1,$C$7)</f>
        <v>0.8</v>
      </c>
      <c r="L143" s="96">
        <f>$B$52</f>
        <v>0.8</v>
      </c>
      <c r="M143" s="96">
        <f>$B$52</f>
        <v>0.8</v>
      </c>
      <c r="O143" s="51" t="s">
        <v>260</v>
      </c>
      <c r="P143">
        <v>210000</v>
      </c>
      <c r="Q143" t="s">
        <v>197</v>
      </c>
    </row>
    <row r="144" spans="1:17" ht="18" x14ac:dyDescent="0.35">
      <c r="A144" s="51" t="s">
        <v>286</v>
      </c>
      <c r="B144" s="4" t="str">
        <f>Belastungstabelle_Website!B67</f>
        <v>GL24h</v>
      </c>
      <c r="C144" s="4" t="str">
        <f>B144</f>
        <v>GL24h</v>
      </c>
      <c r="D144" s="4" t="str">
        <f>B144</f>
        <v>GL24h</v>
      </c>
      <c r="F144" s="2"/>
      <c r="G144" s="2"/>
      <c r="H144" s="2"/>
      <c r="I144" s="2"/>
      <c r="J144" s="51" t="s">
        <v>208</v>
      </c>
      <c r="K144" s="96">
        <f>IF($A$3=$S$39,1,$C$8)</f>
        <v>1.3</v>
      </c>
      <c r="L144" s="67">
        <f>$B$53</f>
        <v>1.3</v>
      </c>
      <c r="M144" s="67">
        <f>$B$53</f>
        <v>1.3</v>
      </c>
      <c r="O144" s="51" t="s">
        <v>262</v>
      </c>
      <c r="P144" s="108">
        <f>PI()*P140^4/64</f>
        <v>38.732308035765378</v>
      </c>
      <c r="Q144" s="41" t="s">
        <v>263</v>
      </c>
    </row>
    <row r="145" spans="1:18" ht="18" x14ac:dyDescent="0.35">
      <c r="A145" s="51" t="s">
        <v>201</v>
      </c>
      <c r="B145" s="4">
        <f>VLOOKUP(B144,$S$45:$T$52,2,FALSE)</f>
        <v>385</v>
      </c>
      <c r="C145" s="4">
        <f t="shared" ref="C145:D145" si="55">VLOOKUP(C144,$S$45:$T$52,2,FALSE)</f>
        <v>385</v>
      </c>
      <c r="D145" s="4">
        <f t="shared" si="55"/>
        <v>385</v>
      </c>
      <c r="E145" t="s">
        <v>202</v>
      </c>
      <c r="F145" s="2"/>
      <c r="G145" s="2"/>
      <c r="H145" s="2"/>
      <c r="I145" s="2"/>
      <c r="J145" s="51" t="s">
        <v>196</v>
      </c>
      <c r="K145" s="99">
        <f>VLOOKUP(K$137,$S$67:$W$75,4,FALSE)</f>
        <v>11.6</v>
      </c>
      <c r="L145" s="99">
        <f>VLOOKUP(L$137,$S$67:$W$75,4,FALSE)</f>
        <v>11.6</v>
      </c>
      <c r="M145" s="99">
        <f>VLOOKUP(M$137,$S$67:$W$75,4,FALSE)</f>
        <v>11.6</v>
      </c>
      <c r="N145" t="s">
        <v>197</v>
      </c>
      <c r="O145" s="51" t="s">
        <v>264</v>
      </c>
      <c r="P145" s="108">
        <f>IF($A$3=$S$39,1,$C$9)</f>
        <v>1.1000000000000001</v>
      </c>
    </row>
    <row r="146" spans="1:18" ht="18" x14ac:dyDescent="0.35">
      <c r="A146" s="51" t="s">
        <v>204</v>
      </c>
      <c r="B146" s="4">
        <v>350</v>
      </c>
      <c r="C146" s="4">
        <v>350</v>
      </c>
      <c r="D146" s="4">
        <v>350</v>
      </c>
      <c r="E146" t="s">
        <v>202</v>
      </c>
      <c r="F146" s="2"/>
      <c r="G146" s="2"/>
      <c r="H146" s="2"/>
      <c r="I146" s="2"/>
      <c r="J146" s="51" t="s">
        <v>141</v>
      </c>
      <c r="K146" s="67" t="str">
        <f>$B$144</f>
        <v>GL24h</v>
      </c>
      <c r="L146" s="67" t="str">
        <f t="shared" ref="L146:M146" si="56">$B$144</f>
        <v>GL24h</v>
      </c>
      <c r="M146" s="67" t="str">
        <f t="shared" si="56"/>
        <v>GL24h</v>
      </c>
    </row>
    <row r="147" spans="1:18" ht="18" x14ac:dyDescent="0.35">
      <c r="A147" s="51" t="s">
        <v>206</v>
      </c>
      <c r="B147" s="122">
        <f>IF($A$3=$S$39,1,$C$7)</f>
        <v>0.8</v>
      </c>
      <c r="C147" s="122">
        <f>$B$52</f>
        <v>0.8</v>
      </c>
      <c r="D147" s="122">
        <f>$B$52</f>
        <v>0.8</v>
      </c>
      <c r="F147" s="128"/>
      <c r="G147" s="128"/>
      <c r="H147" s="2"/>
      <c r="I147" s="2"/>
      <c r="J147" s="51" t="s">
        <v>201</v>
      </c>
      <c r="K147" s="126">
        <f>B145</f>
        <v>385</v>
      </c>
      <c r="L147" s="126">
        <f>C145</f>
        <v>385</v>
      </c>
      <c r="M147" s="126">
        <f>D145</f>
        <v>385</v>
      </c>
      <c r="N147" t="s">
        <v>202</v>
      </c>
    </row>
    <row r="148" spans="1:18" ht="18" x14ac:dyDescent="0.35">
      <c r="A148" s="51" t="s">
        <v>208</v>
      </c>
      <c r="B148" s="122">
        <f>IF($A$3=$S$39,1,$C$8)</f>
        <v>1.3</v>
      </c>
      <c r="C148" s="69">
        <f>$B$53</f>
        <v>1.3</v>
      </c>
      <c r="D148" s="69">
        <f>$B$53</f>
        <v>1.3</v>
      </c>
      <c r="F148" s="88"/>
      <c r="G148" s="88"/>
      <c r="H148" s="2"/>
      <c r="I148" s="2"/>
      <c r="J148" s="51" t="s">
        <v>204</v>
      </c>
      <c r="K148" s="126">
        <v>350</v>
      </c>
      <c r="L148" s="126">
        <v>350</v>
      </c>
      <c r="M148" s="126">
        <v>350</v>
      </c>
      <c r="N148" t="s">
        <v>202</v>
      </c>
    </row>
    <row r="149" spans="1:18" ht="18" x14ac:dyDescent="0.35">
      <c r="A149" s="51" t="s">
        <v>210</v>
      </c>
      <c r="B149" s="94">
        <f>VLOOKUP(B$137,$S$67:$W$75,5,FALSE)</f>
        <v>24</v>
      </c>
      <c r="C149" s="94">
        <f>VLOOKUP(C$137,$S$67:$W$75,5,FALSE)</f>
        <v>20</v>
      </c>
      <c r="D149" s="94">
        <f>VLOOKUP(D$137,$S$67:$W$75,5,FALSE)</f>
        <v>20</v>
      </c>
      <c r="E149" t="s">
        <v>211</v>
      </c>
      <c r="F149" s="2"/>
      <c r="G149" s="2"/>
      <c r="H149" s="2"/>
      <c r="I149" s="2"/>
      <c r="J149" s="51" t="s">
        <v>265</v>
      </c>
      <c r="K149" s="67">
        <f>(0.19+0.012*K138)*K147*((90+K141)/180)</f>
        <v>110.11000000000001</v>
      </c>
      <c r="L149" s="67">
        <f>(0.19+0.012*L138)*L147*((90+L141)/180)</f>
        <v>110.11000000000001</v>
      </c>
      <c r="M149" s="67">
        <f>(0.19+0.012*M138)*M147*((90+M141)/180)</f>
        <v>110.11000000000001</v>
      </c>
      <c r="N149" t="s">
        <v>211</v>
      </c>
    </row>
    <row r="150" spans="1:18" ht="18" x14ac:dyDescent="0.35">
      <c r="A150" s="129" t="str">
        <f>IF($A$3=$S$39,"Zugkraft Fax,45,Rk =","Zugkraft Fax,45,Rd =")</f>
        <v>Zugkraft Fax,45,Rd =</v>
      </c>
      <c r="B150" s="67">
        <f>MIN((B147/B148)*(B142*B143*B138*B140*(B145/B146)^0.8)/1000,B149/B148)</f>
        <v>7.390569404606806</v>
      </c>
      <c r="C150" s="67">
        <f t="shared" ref="C150:D150" si="57">MIN((C147/C148)*(C142*C143*C138*C140*(C145/C146)^0.8)/1000,C149/C148)</f>
        <v>8.8750590463373165</v>
      </c>
      <c r="D150" s="67">
        <f t="shared" si="57"/>
        <v>13.559117987459791</v>
      </c>
      <c r="E150" t="s">
        <v>211</v>
      </c>
      <c r="F150" s="86"/>
      <c r="G150" s="86"/>
      <c r="H150" s="86"/>
      <c r="I150" s="86"/>
      <c r="J150" s="51" t="s">
        <v>266</v>
      </c>
      <c r="K150" s="96">
        <f>SQRT(K149*$P$95*$P$96)/1000</f>
        <v>29.926761133504016</v>
      </c>
      <c r="L150" s="96">
        <f>SQRT(L149*$P$95*$P$96)/1000</f>
        <v>29.926761133504016</v>
      </c>
      <c r="M150" s="96">
        <f>SQRT(M149*$P$95*$P$96)/1000</f>
        <v>29.926761133504016</v>
      </c>
      <c r="N150" t="s">
        <v>211</v>
      </c>
    </row>
    <row r="151" spans="1:18" x14ac:dyDescent="0.25">
      <c r="A151" s="1"/>
      <c r="J151" s="61" t="s">
        <v>267</v>
      </c>
      <c r="K151" s="67">
        <f>SQRT($P$94/K150)</f>
        <v>0.81864310639971027</v>
      </c>
      <c r="L151" s="67">
        <f>SQRT($P$94/L150)</f>
        <v>0.81864310639971027</v>
      </c>
      <c r="M151" s="67">
        <f>SQRT($P$94/M150)</f>
        <v>0.81864310639971027</v>
      </c>
    </row>
    <row r="152" spans="1:18" ht="18.75" x14ac:dyDescent="0.3">
      <c r="A152" s="59"/>
      <c r="J152" s="51" t="s">
        <v>268</v>
      </c>
      <c r="K152" s="67">
        <f>0.5*(1+0.49*(K151-0.2)+K151^-2)</f>
        <v>1.3976396381972038</v>
      </c>
      <c r="L152" s="67">
        <f t="shared" ref="L152:M152" si="58">0.5*(1+0.49*(L151-0.2)+L151^-2)</f>
        <v>1.3976396381972038</v>
      </c>
      <c r="M152" s="67">
        <f t="shared" si="58"/>
        <v>1.3976396381972038</v>
      </c>
    </row>
    <row r="153" spans="1:18" ht="19.5" x14ac:dyDescent="0.35">
      <c r="A153" s="59"/>
      <c r="J153" s="51" t="s">
        <v>287</v>
      </c>
      <c r="K153" s="67">
        <f>MIN((K145*K138*K140*K143/K144)/1000,K142*$P$94)</f>
        <v>7.7191205925914517</v>
      </c>
      <c r="L153" s="67">
        <f>MIN((L145*L138*L140*L143/L144)/1000,L142*$P$94)</f>
        <v>7.7191205925914517</v>
      </c>
      <c r="M153" s="67">
        <f>MIN((M145*M138*M140*M143/M144)/1000,M142*$P$94)</f>
        <v>7.7191205925914517</v>
      </c>
    </row>
    <row r="154" spans="1:18" ht="18.75" x14ac:dyDescent="0.3">
      <c r="A154" s="59"/>
      <c r="G154" s="51"/>
      <c r="H154" s="88"/>
      <c r="I154" s="88"/>
      <c r="J154" s="88"/>
    </row>
    <row r="155" spans="1:18" ht="18.75" x14ac:dyDescent="0.3">
      <c r="A155" s="59"/>
      <c r="G155" s="51"/>
      <c r="H155" s="88"/>
      <c r="I155" s="88"/>
      <c r="J155" s="88"/>
    </row>
    <row r="156" spans="1:18" x14ac:dyDescent="0.25">
      <c r="D156" t="s">
        <v>288</v>
      </c>
      <c r="E156" t="s">
        <v>289</v>
      </c>
      <c r="J156" t="s">
        <v>270</v>
      </c>
      <c r="K156" t="s">
        <v>272</v>
      </c>
      <c r="L156" t="s">
        <v>290</v>
      </c>
      <c r="M156" s="210" t="str">
        <f>B144</f>
        <v>GL24h</v>
      </c>
      <c r="N156" s="210"/>
      <c r="O156" s="210"/>
      <c r="P156" s="210"/>
      <c r="Q156" s="119" t="s">
        <v>291</v>
      </c>
      <c r="R156" s="119"/>
    </row>
    <row r="157" spans="1:18" x14ac:dyDescent="0.25">
      <c r="A157" s="5" t="s">
        <v>2</v>
      </c>
      <c r="B157" s="5" t="s">
        <v>159</v>
      </c>
      <c r="C157" s="5" t="s">
        <v>159</v>
      </c>
      <c r="D157" s="5" t="s">
        <v>292</v>
      </c>
      <c r="E157" s="5" t="s">
        <v>293</v>
      </c>
      <c r="F157" s="5" t="s">
        <v>226</v>
      </c>
      <c r="G157" s="5" t="s">
        <v>227</v>
      </c>
      <c r="H157" s="5" t="s">
        <v>271</v>
      </c>
      <c r="I157" s="5" t="s">
        <v>14</v>
      </c>
      <c r="J157" s="5" t="s">
        <v>272</v>
      </c>
      <c r="K157" s="5" t="s">
        <v>294</v>
      </c>
      <c r="L157" s="5" t="s">
        <v>282</v>
      </c>
      <c r="M157" s="5" t="s">
        <v>174</v>
      </c>
      <c r="N157" s="5" t="s">
        <v>228</v>
      </c>
      <c r="O157" s="5" t="s">
        <v>228</v>
      </c>
      <c r="P157" s="5" t="s">
        <v>173</v>
      </c>
      <c r="Q157" s="5" t="s">
        <v>295</v>
      </c>
      <c r="R157" s="5" t="s">
        <v>296</v>
      </c>
    </row>
    <row r="158" spans="1:18" ht="18" x14ac:dyDescent="0.35">
      <c r="A158" s="6" t="s">
        <v>235</v>
      </c>
      <c r="B158" s="103" t="s">
        <v>161</v>
      </c>
      <c r="C158" s="6" t="s">
        <v>274</v>
      </c>
      <c r="D158" s="103" t="s">
        <v>297</v>
      </c>
      <c r="E158" s="103" t="s">
        <v>298</v>
      </c>
      <c r="F158" s="103" t="s">
        <v>236</v>
      </c>
      <c r="G158" s="103" t="s">
        <v>299</v>
      </c>
      <c r="H158" s="103" t="s">
        <v>300</v>
      </c>
      <c r="I158" s="103" t="s">
        <v>301</v>
      </c>
      <c r="J158" s="103" t="s">
        <v>276</v>
      </c>
      <c r="K158" s="103" t="s">
        <v>302</v>
      </c>
      <c r="L158" s="103" t="s">
        <v>303</v>
      </c>
      <c r="M158" s="103" t="str">
        <f>IF($A$3=$S$39," fr,k"," fr,d")</f>
        <v xml:space="preserve"> fr,d</v>
      </c>
      <c r="N158" s="103" t="str">
        <f>IF($A$3=$S$39,"fc,90,k","fc,90,d")</f>
        <v>fc,90,d</v>
      </c>
      <c r="O158" s="103" t="str">
        <f>IF($A$3=$S$39,"fc,0,k","fc,0,d")</f>
        <v>fc,0,d</v>
      </c>
      <c r="P158" s="103" t="str">
        <f>IF($A$3=$S$39," fv,k"," fv,d")</f>
        <v xml:space="preserve"> fv,d</v>
      </c>
      <c r="Q158" s="103" t="str">
        <f>IF($A$3=$S$39,"F2,C,Rk","F2,C,Rd")</f>
        <v>F2,C,Rd</v>
      </c>
      <c r="R158" s="103" t="str">
        <f>IF($A$3=$S$39,"F2,C,tau,Rk","F2,C,tau,Rd")</f>
        <v>F2,C,tau,Rd</v>
      </c>
    </row>
    <row r="159" spans="1:18" x14ac:dyDescent="0.25">
      <c r="A159" s="7" t="s">
        <v>0</v>
      </c>
      <c r="B159" s="9" t="s">
        <v>277</v>
      </c>
      <c r="C159" s="9" t="s">
        <v>277</v>
      </c>
      <c r="D159" s="9" t="s">
        <v>304</v>
      </c>
      <c r="E159" s="9" t="s">
        <v>305</v>
      </c>
      <c r="F159" s="9" t="s">
        <v>0</v>
      </c>
      <c r="G159" s="9" t="s">
        <v>1</v>
      </c>
      <c r="H159" s="9" t="s">
        <v>1</v>
      </c>
      <c r="I159" s="9" t="s">
        <v>0</v>
      </c>
      <c r="J159" s="9" t="s">
        <v>278</v>
      </c>
      <c r="K159" s="9" t="s">
        <v>278</v>
      </c>
      <c r="L159" s="9" t="s">
        <v>278</v>
      </c>
      <c r="M159" s="9" t="s">
        <v>237</v>
      </c>
      <c r="N159" s="9" t="s">
        <v>237</v>
      </c>
      <c r="O159" s="9" t="s">
        <v>237</v>
      </c>
      <c r="P159" s="9" t="s">
        <v>237</v>
      </c>
      <c r="Q159" s="9" t="s">
        <v>1</v>
      </c>
      <c r="R159" s="9" t="s">
        <v>1</v>
      </c>
    </row>
    <row r="160" spans="1:18" x14ac:dyDescent="0.25">
      <c r="A160" s="3" t="str">
        <f>A17</f>
        <v>200x60x25 H</v>
      </c>
      <c r="B160" s="4">
        <f>F17</f>
        <v>4</v>
      </c>
      <c r="C160" s="4">
        <f>G17-1</f>
        <v>2</v>
      </c>
      <c r="D160" s="66">
        <v>2</v>
      </c>
      <c r="E160" s="66">
        <v>4</v>
      </c>
      <c r="F160" s="3">
        <f>$B$140</f>
        <v>107</v>
      </c>
      <c r="G160" s="69">
        <f>$B$150</f>
        <v>7.390569404606806</v>
      </c>
      <c r="H160" s="69">
        <f>$K$153</f>
        <v>7.7191205925914517</v>
      </c>
      <c r="I160" s="4">
        <f>E17</f>
        <v>40</v>
      </c>
      <c r="J160" s="4">
        <f>(B17/10)*((C17/10-2)+2*$J$177/10)</f>
        <v>111.60000000000001</v>
      </c>
      <c r="K160" s="95">
        <f>(I160/10-D160*$B$138/10)*F160/10/SQRT(2)</f>
        <v>18.158502140870539</v>
      </c>
      <c r="L160" s="122">
        <f>(D17/10-E160*$B$138/10*SQRT(2))*SQRT(2)*F160/10+D17/10*I160/10</f>
        <v>314.16170234784232</v>
      </c>
      <c r="M160" s="95">
        <f t="shared" ref="M160:M174" si="59">VLOOKUP($M$156,$S$45:$X$52,6,FALSE)/10</f>
        <v>7.3846153846153839E-2</v>
      </c>
      <c r="N160" s="95">
        <f t="shared" ref="N160:N174" si="60">VLOOKUP($M$156,$S$45:$X$52,3,FALSE)/10</f>
        <v>0.15384615384615383</v>
      </c>
      <c r="O160" s="95">
        <f t="shared" ref="O160:O174" si="61">VLOOKUP($M$156,$S$45:$X$52,4,FALSE)/10</f>
        <v>1.476923076923077</v>
      </c>
      <c r="P160" s="95">
        <f t="shared" ref="P160:P174" si="62">$P$176*$P$177</f>
        <v>0.15378461538461541</v>
      </c>
      <c r="Q160" s="122">
        <f>MIN(0.64*B160*G160,J160*N160*$N$176+C160*H160)+MIN(0.51*B160*G160,0.8*J160*N160*$J$129)</f>
        <v>33.996619261191306</v>
      </c>
      <c r="R160" s="122">
        <f>MAX(1.3*K160*O160,0.75*L160*P160)</f>
        <v>36.234927423104224</v>
      </c>
    </row>
    <row r="161" spans="1:19" x14ac:dyDescent="0.25">
      <c r="A161" s="3" t="str">
        <f t="shared" ref="A161:A174" si="63">A18</f>
        <v>200x100x25 H</v>
      </c>
      <c r="B161" s="4">
        <f t="shared" ref="B161:B174" si="64">F18</f>
        <v>6</v>
      </c>
      <c r="C161" s="4">
        <f t="shared" ref="C161:C163" si="65">G18-1</f>
        <v>2</v>
      </c>
      <c r="D161" s="66">
        <v>4</v>
      </c>
      <c r="E161" s="66">
        <v>4</v>
      </c>
      <c r="F161" s="3">
        <f t="shared" ref="F161:F163" si="66">$B$140</f>
        <v>107</v>
      </c>
      <c r="G161" s="69">
        <f t="shared" ref="G161:G163" si="67">$B$150</f>
        <v>7.390569404606806</v>
      </c>
      <c r="H161" s="69">
        <f>$K$153</f>
        <v>7.7191205925914517</v>
      </c>
      <c r="I161" s="4">
        <f t="shared" ref="I161:I174" si="68">E18</f>
        <v>80</v>
      </c>
      <c r="J161" s="4">
        <f t="shared" ref="J161:J174" si="69">(B18/10)*((C18/10-2)+2*$J$177/10)</f>
        <v>186</v>
      </c>
      <c r="K161" s="95">
        <f t="shared" ref="K161:K163" si="70">(I161/10-D161*$B$138/10)*F161/10/SQRT(2)</f>
        <v>36.317004281741077</v>
      </c>
      <c r="L161" s="122">
        <f t="shared" ref="L161:L163" si="71">(D18/10-E161*$B$138/10*SQRT(2))*SQRT(2)*F161/10+D18/10*I161/10</f>
        <v>394.16170234784232</v>
      </c>
      <c r="M161" s="95">
        <f t="shared" si="59"/>
        <v>7.3846153846153839E-2</v>
      </c>
      <c r="N161" s="95">
        <f t="shared" si="60"/>
        <v>0.15384615384615383</v>
      </c>
      <c r="O161" s="95">
        <f t="shared" si="61"/>
        <v>1.476923076923077</v>
      </c>
      <c r="P161" s="95">
        <f t="shared" si="62"/>
        <v>0.15378461538461541</v>
      </c>
      <c r="Q161" s="122">
        <f t="shared" ref="Q161:Q174" si="72">MIN(0.64*B161*G161,J161*N161*$N$176+C161*H161)+MIN(0.51*B161*G161,0.8*J161*N161*$J$129)</f>
        <v>50.994928891786962</v>
      </c>
      <c r="R161" s="122">
        <f t="shared" ref="R161:R174" si="73">MAX(1.3*K161*O161,0.75*L161*P161)</f>
        <v>69.728648220942873</v>
      </c>
    </row>
    <row r="162" spans="1:19" x14ac:dyDescent="0.25">
      <c r="A162" s="3" t="str">
        <f t="shared" si="63"/>
        <v>200x140x25 H</v>
      </c>
      <c r="B162" s="4">
        <f t="shared" si="64"/>
        <v>8</v>
      </c>
      <c r="C162" s="4">
        <f t="shared" si="65"/>
        <v>2</v>
      </c>
      <c r="D162" s="66">
        <v>4</v>
      </c>
      <c r="E162" s="66">
        <v>4</v>
      </c>
      <c r="F162" s="3">
        <f t="shared" si="66"/>
        <v>107</v>
      </c>
      <c r="G162" s="69">
        <f t="shared" si="67"/>
        <v>7.390569404606806</v>
      </c>
      <c r="H162" s="69">
        <f>$K$153</f>
        <v>7.7191205925914517</v>
      </c>
      <c r="I162" s="4">
        <f t="shared" si="68"/>
        <v>120</v>
      </c>
      <c r="J162" s="4">
        <f t="shared" si="69"/>
        <v>260.40000000000003</v>
      </c>
      <c r="K162" s="95">
        <f t="shared" si="70"/>
        <v>66.581174516525309</v>
      </c>
      <c r="L162" s="122">
        <f t="shared" si="71"/>
        <v>474.16170234784232</v>
      </c>
      <c r="M162" s="95">
        <f t="shared" si="59"/>
        <v>7.3846153846153839E-2</v>
      </c>
      <c r="N162" s="95">
        <f t="shared" si="60"/>
        <v>0.15384615384615383</v>
      </c>
      <c r="O162" s="95">
        <f t="shared" si="61"/>
        <v>1.476923076923077</v>
      </c>
      <c r="P162" s="95">
        <f t="shared" si="62"/>
        <v>0.15378461538461541</v>
      </c>
      <c r="Q162" s="122">
        <f t="shared" si="72"/>
        <v>67.993238522382612</v>
      </c>
      <c r="R162" s="122">
        <f t="shared" si="73"/>
        <v>127.83585507172862</v>
      </c>
    </row>
    <row r="163" spans="1:19" x14ac:dyDescent="0.25">
      <c r="A163" s="3" t="str">
        <f t="shared" si="63"/>
        <v>200x180x25 H</v>
      </c>
      <c r="B163" s="4">
        <f t="shared" si="64"/>
        <v>8</v>
      </c>
      <c r="C163" s="4">
        <f t="shared" si="65"/>
        <v>2</v>
      </c>
      <c r="D163" s="66">
        <v>4</v>
      </c>
      <c r="E163" s="66">
        <v>4</v>
      </c>
      <c r="F163" s="3">
        <f t="shared" si="66"/>
        <v>107</v>
      </c>
      <c r="G163" s="69">
        <f t="shared" si="67"/>
        <v>7.390569404606806</v>
      </c>
      <c r="H163" s="69">
        <f>$K$153</f>
        <v>7.7191205925914517</v>
      </c>
      <c r="I163" s="4">
        <f t="shared" si="68"/>
        <v>160</v>
      </c>
      <c r="J163" s="4">
        <f t="shared" si="69"/>
        <v>334.8</v>
      </c>
      <c r="K163" s="95">
        <f t="shared" si="70"/>
        <v>96.845344751309554</v>
      </c>
      <c r="L163" s="122">
        <f t="shared" si="71"/>
        <v>554.16170234784227</v>
      </c>
      <c r="M163" s="95">
        <f t="shared" si="59"/>
        <v>7.3846153846153839E-2</v>
      </c>
      <c r="N163" s="95">
        <f t="shared" si="60"/>
        <v>0.15384615384615383</v>
      </c>
      <c r="O163" s="95">
        <f t="shared" si="61"/>
        <v>1.476923076923077</v>
      </c>
      <c r="P163" s="95">
        <f t="shared" si="62"/>
        <v>0.15378461538461541</v>
      </c>
      <c r="Q163" s="122">
        <f t="shared" si="72"/>
        <v>67.993238522382612</v>
      </c>
      <c r="R163" s="122">
        <f t="shared" si="73"/>
        <v>185.94306192251435</v>
      </c>
    </row>
    <row r="164" spans="1:19" x14ac:dyDescent="0.25">
      <c r="A164" s="3" t="str">
        <f t="shared" si="63"/>
        <v>360x60x30 H</v>
      </c>
      <c r="B164" s="4">
        <f t="shared" si="64"/>
        <v>8</v>
      </c>
      <c r="C164" s="4">
        <f>G21-2</f>
        <v>2</v>
      </c>
      <c r="D164" s="66">
        <v>2</v>
      </c>
      <c r="E164" s="66">
        <v>8</v>
      </c>
      <c r="F164" s="3">
        <f>$C$140</f>
        <v>144</v>
      </c>
      <c r="G164" s="69">
        <f>$C$150</f>
        <v>8.8750590463373165</v>
      </c>
      <c r="H164" s="69">
        <f>$L$153</f>
        <v>7.7191205925914517</v>
      </c>
      <c r="I164" s="4">
        <f t="shared" si="68"/>
        <v>40</v>
      </c>
      <c r="J164" s="4">
        <f t="shared" si="69"/>
        <v>180</v>
      </c>
      <c r="K164" s="95">
        <f>(I164/10-D164*$C$138/10)*F164/10/SQRT(2)</f>
        <v>24.437610357807078</v>
      </c>
      <c r="L164" s="122">
        <f>(D21/10-E164*$C$138/10*SQRT(2))*SQRT(2)*F164/10+D21/10*I164/10</f>
        <v>692.80831073421245</v>
      </c>
      <c r="M164" s="95">
        <f t="shared" si="59"/>
        <v>7.3846153846153839E-2</v>
      </c>
      <c r="N164" s="95">
        <f t="shared" si="60"/>
        <v>0.15384615384615383</v>
      </c>
      <c r="O164" s="95">
        <f t="shared" si="61"/>
        <v>1.476923076923077</v>
      </c>
      <c r="P164" s="95">
        <f t="shared" si="62"/>
        <v>0.15378461538461541</v>
      </c>
      <c r="Q164" s="122">
        <f t="shared" si="72"/>
        <v>81.650543226303313</v>
      </c>
      <c r="R164" s="122">
        <f t="shared" si="73"/>
        <v>79.90744470114447</v>
      </c>
    </row>
    <row r="165" spans="1:19" x14ac:dyDescent="0.25">
      <c r="A165" s="3" t="str">
        <f t="shared" si="63"/>
        <v>360x100x30 H</v>
      </c>
      <c r="B165" s="4">
        <f t="shared" si="64"/>
        <v>10</v>
      </c>
      <c r="C165" s="4">
        <f t="shared" ref="C165:C174" si="74">G22-2</f>
        <v>2</v>
      </c>
      <c r="D165" s="66">
        <v>4</v>
      </c>
      <c r="E165" s="66">
        <v>6</v>
      </c>
      <c r="F165" s="3">
        <f t="shared" ref="F165:F167" si="75">$C$140</f>
        <v>144</v>
      </c>
      <c r="G165" s="69">
        <f t="shared" ref="G165:G167" si="76">$C$150</f>
        <v>8.8750590463373165</v>
      </c>
      <c r="H165" s="69">
        <f>$L$153</f>
        <v>7.7191205925914517</v>
      </c>
      <c r="I165" s="4">
        <f t="shared" si="68"/>
        <v>80</v>
      </c>
      <c r="J165" s="4">
        <f t="shared" si="69"/>
        <v>300</v>
      </c>
      <c r="K165" s="95">
        <f t="shared" ref="K165:K166" si="77">(I165/10-D165*$C$138/10)*F165/10/SQRT(2)</f>
        <v>48.875220715614155</v>
      </c>
      <c r="L165" s="122">
        <f t="shared" ref="L165:L166" si="78">(D22/10-E165*$C$138/10*SQRT(2))*SQRT(2)*F165/10+D22/10*I165/10</f>
        <v>882.8883107342125</v>
      </c>
      <c r="M165" s="95">
        <f t="shared" si="59"/>
        <v>7.3846153846153839E-2</v>
      </c>
      <c r="N165" s="95">
        <f t="shared" si="60"/>
        <v>0.15384615384615383</v>
      </c>
      <c r="O165" s="95">
        <f t="shared" si="61"/>
        <v>1.476923076923077</v>
      </c>
      <c r="P165" s="95">
        <f t="shared" si="62"/>
        <v>0.15378461538461541</v>
      </c>
      <c r="Q165" s="122">
        <f t="shared" si="72"/>
        <v>102.06317903287913</v>
      </c>
      <c r="R165" s="122">
        <f t="shared" si="73"/>
        <v>101.83097947037525</v>
      </c>
    </row>
    <row r="166" spans="1:19" x14ac:dyDescent="0.25">
      <c r="A166" s="3" t="str">
        <f t="shared" si="63"/>
        <v>360x140x30 H</v>
      </c>
      <c r="B166" s="4">
        <f t="shared" si="64"/>
        <v>12</v>
      </c>
      <c r="C166" s="4">
        <f t="shared" si="74"/>
        <v>2</v>
      </c>
      <c r="D166" s="66">
        <v>6</v>
      </c>
      <c r="E166" s="66">
        <v>4</v>
      </c>
      <c r="F166" s="3">
        <f t="shared" si="75"/>
        <v>144</v>
      </c>
      <c r="G166" s="69">
        <f t="shared" si="76"/>
        <v>8.8750590463373165</v>
      </c>
      <c r="H166" s="69">
        <f t="shared" ref="H166:H167" si="79">$L$153</f>
        <v>7.7191205925914517</v>
      </c>
      <c r="I166" s="4">
        <f t="shared" si="68"/>
        <v>120</v>
      </c>
      <c r="J166" s="4">
        <f t="shared" si="69"/>
        <v>420</v>
      </c>
      <c r="K166" s="95">
        <f t="shared" si="77"/>
        <v>73.312831073421236</v>
      </c>
      <c r="L166" s="122">
        <f t="shared" si="78"/>
        <v>1072.9683107342125</v>
      </c>
      <c r="M166" s="95">
        <f t="shared" si="59"/>
        <v>7.3846153846153839E-2</v>
      </c>
      <c r="N166" s="95">
        <f t="shared" si="60"/>
        <v>0.15384615384615383</v>
      </c>
      <c r="O166" s="95">
        <f t="shared" si="61"/>
        <v>1.476923076923077</v>
      </c>
      <c r="P166" s="95">
        <f t="shared" si="62"/>
        <v>0.15378461538461541</v>
      </c>
      <c r="Q166" s="122">
        <f t="shared" si="72"/>
        <v>122.47581483945496</v>
      </c>
      <c r="R166" s="122">
        <f t="shared" si="73"/>
        <v>140.7606356609688</v>
      </c>
    </row>
    <row r="167" spans="1:19" x14ac:dyDescent="0.25">
      <c r="A167" s="3" t="str">
        <f t="shared" si="63"/>
        <v>360x180x30 H</v>
      </c>
      <c r="B167" s="4">
        <f t="shared" si="64"/>
        <v>14</v>
      </c>
      <c r="C167" s="4">
        <f t="shared" si="74"/>
        <v>2</v>
      </c>
      <c r="D167" s="66">
        <v>6</v>
      </c>
      <c r="E167" s="66">
        <v>6</v>
      </c>
      <c r="F167" s="3">
        <f t="shared" si="75"/>
        <v>144</v>
      </c>
      <c r="G167" s="69">
        <f t="shared" si="76"/>
        <v>8.8750590463373165</v>
      </c>
      <c r="H167" s="69">
        <f t="shared" si="79"/>
        <v>7.7191205925914517</v>
      </c>
      <c r="I167" s="4">
        <f t="shared" si="68"/>
        <v>160</v>
      </c>
      <c r="J167" s="4">
        <f t="shared" si="69"/>
        <v>540</v>
      </c>
      <c r="K167" s="95">
        <f>(I167/10-D167*$C$138/10)*F167/10/SQRT(2)</f>
        <v>114.04218166976638</v>
      </c>
      <c r="L167" s="122">
        <f>(D24/10-E167*$C$138/10*SQRT(2))*SQRT(2)*F167/10+D24/10*I167/10</f>
        <v>1170.8883107342126</v>
      </c>
      <c r="M167" s="95">
        <f t="shared" si="59"/>
        <v>7.3846153846153839E-2</v>
      </c>
      <c r="N167" s="95">
        <f t="shared" si="60"/>
        <v>0.15384615384615383</v>
      </c>
      <c r="O167" s="95">
        <f t="shared" si="61"/>
        <v>1.476923076923077</v>
      </c>
      <c r="P167" s="95">
        <f t="shared" si="62"/>
        <v>0.15378461538461541</v>
      </c>
      <c r="Q167" s="122">
        <f t="shared" si="72"/>
        <v>142.8884506460308</v>
      </c>
      <c r="R167" s="122">
        <f t="shared" si="73"/>
        <v>218.96098880595147</v>
      </c>
    </row>
    <row r="168" spans="1:19" s="136" customFormat="1" x14ac:dyDescent="0.25">
      <c r="A168" s="130" t="str">
        <f t="shared" si="63"/>
        <v>500x60x40 H</v>
      </c>
      <c r="B168" s="131">
        <f t="shared" si="64"/>
        <v>12</v>
      </c>
      <c r="C168" s="131">
        <f t="shared" si="74"/>
        <v>4</v>
      </c>
      <c r="D168" s="132">
        <v>2</v>
      </c>
      <c r="E168" s="132">
        <v>12</v>
      </c>
      <c r="F168" s="130">
        <f>$D$140</f>
        <v>220</v>
      </c>
      <c r="G168" s="133">
        <f t="shared" ref="G168:G174" si="80">$D$150</f>
        <v>13.559117987459791</v>
      </c>
      <c r="H168" s="133">
        <f>$M$153</f>
        <v>7.7191205925914517</v>
      </c>
      <c r="I168" s="131">
        <f t="shared" si="68"/>
        <v>40</v>
      </c>
      <c r="J168" s="4">
        <f t="shared" si="69"/>
        <v>264</v>
      </c>
      <c r="K168" s="134">
        <f>(I168/10-D168*$D$138/10)*F168/10/SQRT(2)</f>
        <v>37.335238046649707</v>
      </c>
      <c r="L168" s="135">
        <f>(D25/10-E168*$D$138/10*SQRT(2))*SQRT(2)*F168/10+D25/10*I168/10</f>
        <v>1333.2349186104045</v>
      </c>
      <c r="M168" s="134">
        <f t="shared" si="59"/>
        <v>7.3846153846153839E-2</v>
      </c>
      <c r="N168" s="134">
        <f t="shared" si="60"/>
        <v>0.15384615384615383</v>
      </c>
      <c r="O168" s="134">
        <f t="shared" si="61"/>
        <v>1.476923076923077</v>
      </c>
      <c r="P168" s="134">
        <f t="shared" si="62"/>
        <v>0.15378461538461541</v>
      </c>
      <c r="Q168" s="135">
        <f t="shared" si="72"/>
        <v>158.81494390882733</v>
      </c>
      <c r="R168" s="135">
        <f t="shared" si="73"/>
        <v>153.77326438188007</v>
      </c>
      <c r="S168" s="136">
        <v>240</v>
      </c>
    </row>
    <row r="169" spans="1:19" s="136" customFormat="1" x14ac:dyDescent="0.25">
      <c r="A169" s="130" t="str">
        <f t="shared" si="63"/>
        <v>500x100x40 H</v>
      </c>
      <c r="B169" s="131">
        <f t="shared" si="64"/>
        <v>20</v>
      </c>
      <c r="C169" s="131">
        <f t="shared" si="74"/>
        <v>4</v>
      </c>
      <c r="D169" s="132">
        <v>4</v>
      </c>
      <c r="E169" s="132">
        <v>12</v>
      </c>
      <c r="F169" s="130">
        <f t="shared" ref="F169:F174" si="81">$D$140</f>
        <v>220</v>
      </c>
      <c r="G169" s="133">
        <f t="shared" si="80"/>
        <v>13.559117987459791</v>
      </c>
      <c r="H169" s="133">
        <f t="shared" ref="H169:H174" si="82">$M$153</f>
        <v>7.7191205925914517</v>
      </c>
      <c r="I169" s="131">
        <f t="shared" si="68"/>
        <v>80</v>
      </c>
      <c r="J169" s="4">
        <f t="shared" si="69"/>
        <v>440</v>
      </c>
      <c r="K169" s="134">
        <f t="shared" ref="K169:K174" si="83">(I169/10-D169*$D$138/10)*F169/10/SQRT(2)</f>
        <v>74.670476093299413</v>
      </c>
      <c r="L169" s="135">
        <f t="shared" ref="L169:L174" si="84">(D26/10-E169*$D$138/10*SQRT(2))*SQRT(2)*F169/10+D26/10*I169/10</f>
        <v>1533.2349186104045</v>
      </c>
      <c r="M169" s="134">
        <f t="shared" si="59"/>
        <v>7.3846153846153839E-2</v>
      </c>
      <c r="N169" s="134">
        <f t="shared" si="60"/>
        <v>0.15384615384615383</v>
      </c>
      <c r="O169" s="134">
        <f t="shared" si="61"/>
        <v>1.476923076923077</v>
      </c>
      <c r="P169" s="134">
        <f t="shared" si="62"/>
        <v>0.15378461538461541</v>
      </c>
      <c r="Q169" s="135">
        <f t="shared" si="72"/>
        <v>244.10725160113503</v>
      </c>
      <c r="R169" s="135">
        <f>MAX(1.3*K169*O169,0.75*L169*P169)</f>
        <v>176.84095668957238</v>
      </c>
      <c r="S169" s="136">
        <v>240</v>
      </c>
    </row>
    <row r="170" spans="1:19" s="136" customFormat="1" x14ac:dyDescent="0.25">
      <c r="A170" s="130" t="str">
        <f t="shared" si="63"/>
        <v>500x140x40 H</v>
      </c>
      <c r="B170" s="131">
        <f t="shared" si="64"/>
        <v>20</v>
      </c>
      <c r="C170" s="131">
        <f t="shared" si="74"/>
        <v>4</v>
      </c>
      <c r="D170" s="132">
        <v>4</v>
      </c>
      <c r="E170" s="132">
        <v>10</v>
      </c>
      <c r="F170" s="130">
        <f t="shared" si="81"/>
        <v>220</v>
      </c>
      <c r="G170" s="133">
        <f t="shared" si="80"/>
        <v>13.559117987459791</v>
      </c>
      <c r="H170" s="133">
        <f t="shared" si="82"/>
        <v>7.7191205925914517</v>
      </c>
      <c r="I170" s="131">
        <f t="shared" si="68"/>
        <v>120</v>
      </c>
      <c r="J170" s="4">
        <f t="shared" si="69"/>
        <v>616</v>
      </c>
      <c r="K170" s="134">
        <f t="shared" si="83"/>
        <v>136.89587283771561</v>
      </c>
      <c r="L170" s="135">
        <f t="shared" si="84"/>
        <v>1803.6349186104046</v>
      </c>
      <c r="M170" s="134">
        <f t="shared" si="59"/>
        <v>7.3846153846153839E-2</v>
      </c>
      <c r="N170" s="134">
        <f t="shared" si="60"/>
        <v>0.15384615384615383</v>
      </c>
      <c r="O170" s="134">
        <f t="shared" si="61"/>
        <v>1.476923076923077</v>
      </c>
      <c r="P170" s="134">
        <f t="shared" si="62"/>
        <v>0.15378461538461541</v>
      </c>
      <c r="Q170" s="135">
        <f t="shared" si="72"/>
        <v>306.23363331640837</v>
      </c>
      <c r="R170" s="135">
        <f t="shared" si="73"/>
        <v>262.84007584841402</v>
      </c>
      <c r="S170" s="136">
        <v>240</v>
      </c>
    </row>
    <row r="171" spans="1:19" s="136" customFormat="1" x14ac:dyDescent="0.25">
      <c r="A171" s="130" t="str">
        <f t="shared" si="63"/>
        <v>500x180x40 H</v>
      </c>
      <c r="B171" s="131">
        <f t="shared" si="64"/>
        <v>20</v>
      </c>
      <c r="C171" s="131">
        <f t="shared" si="74"/>
        <v>4</v>
      </c>
      <c r="D171" s="132">
        <v>4</v>
      </c>
      <c r="E171" s="132">
        <v>10</v>
      </c>
      <c r="F171" s="130">
        <f t="shared" si="81"/>
        <v>220</v>
      </c>
      <c r="G171" s="133">
        <f t="shared" si="80"/>
        <v>13.559117987459791</v>
      </c>
      <c r="H171" s="133">
        <f t="shared" si="82"/>
        <v>7.7191205925914517</v>
      </c>
      <c r="I171" s="131">
        <f t="shared" si="68"/>
        <v>160</v>
      </c>
      <c r="J171" s="4">
        <f t="shared" si="69"/>
        <v>792</v>
      </c>
      <c r="K171" s="134">
        <f t="shared" si="83"/>
        <v>199.12126958213179</v>
      </c>
      <c r="L171" s="135">
        <f t="shared" si="84"/>
        <v>2003.6349186104046</v>
      </c>
      <c r="M171" s="134">
        <f t="shared" si="59"/>
        <v>7.3846153846153839E-2</v>
      </c>
      <c r="N171" s="134">
        <f t="shared" si="60"/>
        <v>0.15384615384615383</v>
      </c>
      <c r="O171" s="134">
        <f t="shared" si="61"/>
        <v>1.476923076923077</v>
      </c>
      <c r="P171" s="134">
        <f t="shared" si="62"/>
        <v>0.15378461538461541</v>
      </c>
      <c r="Q171" s="135">
        <f t="shared" si="72"/>
        <v>311.85971371157518</v>
      </c>
      <c r="R171" s="135">
        <f t="shared" si="73"/>
        <v>382.31283759769309</v>
      </c>
      <c r="S171" s="136">
        <v>200</v>
      </c>
    </row>
    <row r="172" spans="1:19" s="136" customFormat="1" x14ac:dyDescent="0.25">
      <c r="A172" s="130" t="str">
        <f t="shared" si="63"/>
        <v>500x220x40 H</v>
      </c>
      <c r="B172" s="131">
        <f t="shared" si="64"/>
        <v>22</v>
      </c>
      <c r="C172" s="131">
        <f t="shared" si="74"/>
        <v>4</v>
      </c>
      <c r="D172" s="132">
        <v>4</v>
      </c>
      <c r="E172" s="132">
        <v>10</v>
      </c>
      <c r="F172" s="130">
        <f t="shared" si="81"/>
        <v>220</v>
      </c>
      <c r="G172" s="133">
        <f t="shared" si="80"/>
        <v>13.559117987459791</v>
      </c>
      <c r="H172" s="133">
        <f t="shared" si="82"/>
        <v>7.7191205925914517</v>
      </c>
      <c r="I172" s="131">
        <f t="shared" si="68"/>
        <v>200</v>
      </c>
      <c r="J172" s="4">
        <f t="shared" si="69"/>
        <v>968</v>
      </c>
      <c r="K172" s="134">
        <f t="shared" si="83"/>
        <v>261.34666632654796</v>
      </c>
      <c r="L172" s="135">
        <f t="shared" si="84"/>
        <v>2203.6349186104044</v>
      </c>
      <c r="M172" s="134">
        <f t="shared" si="59"/>
        <v>7.3846153846153839E-2</v>
      </c>
      <c r="N172" s="134">
        <f t="shared" si="60"/>
        <v>0.15384615384615383</v>
      </c>
      <c r="O172" s="134">
        <f t="shared" si="61"/>
        <v>1.476923076923077</v>
      </c>
      <c r="P172" s="134">
        <f t="shared" si="62"/>
        <v>0.15378461538461541</v>
      </c>
      <c r="Q172" s="135">
        <f t="shared" si="72"/>
        <v>343.04568508273269</v>
      </c>
      <c r="R172" s="135">
        <f t="shared" si="73"/>
        <v>501.78559934697216</v>
      </c>
      <c r="S172" s="136">
        <v>200</v>
      </c>
    </row>
    <row r="173" spans="1:19" s="136" customFormat="1" x14ac:dyDescent="0.25">
      <c r="A173" s="130" t="str">
        <f>A30</f>
        <v>500x260x40 H</v>
      </c>
      <c r="B173" s="131">
        <f t="shared" si="64"/>
        <v>24</v>
      </c>
      <c r="C173" s="131">
        <f t="shared" si="74"/>
        <v>4</v>
      </c>
      <c r="D173" s="132">
        <v>4</v>
      </c>
      <c r="E173" s="132">
        <v>10</v>
      </c>
      <c r="F173" s="130">
        <f t="shared" si="81"/>
        <v>220</v>
      </c>
      <c r="G173" s="133">
        <f t="shared" si="80"/>
        <v>13.559117987459791</v>
      </c>
      <c r="H173" s="133">
        <f t="shared" si="82"/>
        <v>7.7191205925914517</v>
      </c>
      <c r="I173" s="131">
        <f t="shared" si="68"/>
        <v>240</v>
      </c>
      <c r="J173" s="4">
        <f t="shared" si="69"/>
        <v>1144</v>
      </c>
      <c r="K173" s="134">
        <f t="shared" si="83"/>
        <v>323.57206307096413</v>
      </c>
      <c r="L173" s="135">
        <f t="shared" si="84"/>
        <v>2403.6349186104044</v>
      </c>
      <c r="M173" s="134">
        <f t="shared" si="59"/>
        <v>7.3846153846153839E-2</v>
      </c>
      <c r="N173" s="134">
        <f t="shared" si="60"/>
        <v>0.15384615384615383</v>
      </c>
      <c r="O173" s="134">
        <f t="shared" si="61"/>
        <v>1.476923076923077</v>
      </c>
      <c r="P173" s="134">
        <f t="shared" si="62"/>
        <v>0.15378461538461541</v>
      </c>
      <c r="Q173" s="135">
        <f t="shared" si="72"/>
        <v>374.2316564538902</v>
      </c>
      <c r="R173" s="135">
        <f t="shared" si="73"/>
        <v>621.25836109625118</v>
      </c>
      <c r="S173" s="136">
        <v>200</v>
      </c>
    </row>
    <row r="174" spans="1:19" s="136" customFormat="1" x14ac:dyDescent="0.25">
      <c r="A174" s="130" t="str">
        <f t="shared" si="63"/>
        <v>500x300x40 H</v>
      </c>
      <c r="B174" s="131">
        <f t="shared" si="64"/>
        <v>24</v>
      </c>
      <c r="C174" s="131">
        <f t="shared" si="74"/>
        <v>4</v>
      </c>
      <c r="D174" s="132">
        <v>4</v>
      </c>
      <c r="E174" s="132">
        <v>10</v>
      </c>
      <c r="F174" s="130">
        <f t="shared" si="81"/>
        <v>220</v>
      </c>
      <c r="G174" s="133">
        <f t="shared" si="80"/>
        <v>13.559117987459791</v>
      </c>
      <c r="H174" s="133">
        <f t="shared" si="82"/>
        <v>7.7191205925914517</v>
      </c>
      <c r="I174" s="131">
        <f t="shared" si="68"/>
        <v>280</v>
      </c>
      <c r="J174" s="4">
        <f t="shared" si="69"/>
        <v>1320</v>
      </c>
      <c r="K174" s="134">
        <f t="shared" si="83"/>
        <v>385.79745981538031</v>
      </c>
      <c r="L174" s="135">
        <f t="shared" si="84"/>
        <v>2603.6349186104044</v>
      </c>
      <c r="M174" s="134">
        <f t="shared" si="59"/>
        <v>7.3846153846153839E-2</v>
      </c>
      <c r="N174" s="134">
        <f t="shared" si="60"/>
        <v>0.15384615384615383</v>
      </c>
      <c r="O174" s="134">
        <f t="shared" si="61"/>
        <v>1.476923076923077</v>
      </c>
      <c r="P174" s="134">
        <f t="shared" si="62"/>
        <v>0.15378461538461541</v>
      </c>
      <c r="Q174" s="135">
        <f t="shared" si="72"/>
        <v>374.2316564538902</v>
      </c>
      <c r="R174" s="135">
        <f t="shared" si="73"/>
        <v>740.73112284553019</v>
      </c>
      <c r="S174" s="136">
        <v>200</v>
      </c>
    </row>
    <row r="175" spans="1:19" x14ac:dyDescent="0.25">
      <c r="B175" s="2"/>
      <c r="G175" s="88"/>
      <c r="H175" s="88"/>
      <c r="I175" s="2"/>
      <c r="J175" s="2"/>
      <c r="K175" s="137"/>
      <c r="L175" s="108"/>
      <c r="M175" s="2"/>
      <c r="N175" s="2"/>
      <c r="O175" s="2"/>
      <c r="P175" s="137"/>
      <c r="Q175" s="108"/>
      <c r="R175" s="108"/>
    </row>
    <row r="176" spans="1:19" x14ac:dyDescent="0.25">
      <c r="G176" s="2"/>
      <c r="H176" s="51"/>
      <c r="J176" s="51" t="s">
        <v>325</v>
      </c>
      <c r="M176" s="51" t="s">
        <v>280</v>
      </c>
      <c r="N176" s="2">
        <v>1.75</v>
      </c>
      <c r="O176" s="51" t="s">
        <v>306</v>
      </c>
      <c r="P176" s="137">
        <f>VLOOKUP($M$156,$S$45:$X$52,5,FALSE)/10</f>
        <v>0.21538461538461542</v>
      </c>
    </row>
    <row r="177" spans="9:16" x14ac:dyDescent="0.25">
      <c r="I177" s="51" t="s">
        <v>281</v>
      </c>
      <c r="J177" s="41">
        <v>30</v>
      </c>
      <c r="O177" s="51" t="s">
        <v>307</v>
      </c>
      <c r="P177" s="60">
        <v>0.71399999999999997</v>
      </c>
    </row>
    <row r="178" spans="9:16" x14ac:dyDescent="0.25">
      <c r="J178" t="s">
        <v>324</v>
      </c>
    </row>
  </sheetData>
  <sheetProtection algorithmName="SHA-512" hashValue="rDqkcXybrMFfwKV9IbJYNu8p9DFVGBxTIvK2dlNDVJzm27vTwe8RzUtSbZiwnA6VyfvNv5dh/UxELeGSFZrTsQ==" saltValue="J5Twrm49M1vCUNgeMcS2dg==" spinCount="100000" sheet="1" objects="1" scenarios="1" selectLockedCells="1" selectUnlockedCells="1"/>
  <mergeCells count="27">
    <mergeCell ref="P13:R13"/>
    <mergeCell ref="A3:B3"/>
    <mergeCell ref="P11:X11"/>
    <mergeCell ref="H12:M12"/>
    <mergeCell ref="P12:Q12"/>
    <mergeCell ref="S12:T12"/>
    <mergeCell ref="G13:G14"/>
    <mergeCell ref="H13:I13"/>
    <mergeCell ref="J13:K13"/>
    <mergeCell ref="L13:M13"/>
    <mergeCell ref="N13:O13"/>
    <mergeCell ref="B62:C62"/>
    <mergeCell ref="M108:N108"/>
    <mergeCell ref="M156:P156"/>
    <mergeCell ref="S13:U13"/>
    <mergeCell ref="V13:X13"/>
    <mergeCell ref="S41:S43"/>
    <mergeCell ref="H61:I61"/>
    <mergeCell ref="J61:M61"/>
    <mergeCell ref="R36:R37"/>
    <mergeCell ref="W36:W37"/>
    <mergeCell ref="W53:W54"/>
    <mergeCell ref="B14:E14"/>
    <mergeCell ref="P14:R14"/>
    <mergeCell ref="S14:U14"/>
    <mergeCell ref="V14:X14"/>
    <mergeCell ref="F13:F14"/>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05290-EEFE-4A4C-96E0-DD5ADD3FB937}">
  <dimension ref="A1:G59"/>
  <sheetViews>
    <sheetView zoomScale="90" zoomScaleNormal="90" workbookViewId="0">
      <pane ySplit="1" topLeftCell="A8" activePane="bottomLeft" state="frozen"/>
      <selection pane="bottomLeft" activeCell="B10" sqref="B10"/>
    </sheetView>
  </sheetViews>
  <sheetFormatPr baseColWidth="10" defaultColWidth="11.42578125" defaultRowHeight="15" x14ac:dyDescent="0.25"/>
  <cols>
    <col min="1" max="1" width="72.7109375" style="35" customWidth="1"/>
    <col min="2" max="4" width="72.7109375" style="39" customWidth="1"/>
    <col min="5" max="16384" width="11.42578125" style="39"/>
  </cols>
  <sheetData>
    <row r="1" spans="1:7" x14ac:dyDescent="0.25">
      <c r="A1" s="43" t="s">
        <v>118</v>
      </c>
      <c r="B1" s="44" t="s">
        <v>117</v>
      </c>
      <c r="C1" s="44" t="s">
        <v>119</v>
      </c>
      <c r="D1" s="44" t="s">
        <v>120</v>
      </c>
    </row>
    <row r="2" spans="1:7" ht="30" x14ac:dyDescent="0.25">
      <c r="A2" s="35" t="s">
        <v>407</v>
      </c>
      <c r="B2" s="35" t="s">
        <v>409</v>
      </c>
      <c r="C2" s="39" t="s">
        <v>406</v>
      </c>
      <c r="D2" s="56" t="s">
        <v>408</v>
      </c>
    </row>
    <row r="3" spans="1:7" ht="180" x14ac:dyDescent="0.25">
      <c r="A3" s="40" t="s">
        <v>122</v>
      </c>
      <c r="B3" s="40" t="s">
        <v>123</v>
      </c>
      <c r="C3" s="52" t="s">
        <v>394</v>
      </c>
      <c r="D3" s="40" t="s">
        <v>124</v>
      </c>
      <c r="E3" s="40"/>
      <c r="F3" s="40"/>
      <c r="G3" s="40"/>
    </row>
    <row r="4" spans="1:7" x14ac:dyDescent="0.25">
      <c r="A4" s="37" t="s">
        <v>22</v>
      </c>
      <c r="B4" s="46" t="s">
        <v>44</v>
      </c>
      <c r="C4" s="46" t="s">
        <v>427</v>
      </c>
      <c r="D4" s="44" t="s">
        <v>45</v>
      </c>
    </row>
    <row r="5" spans="1:7" x14ac:dyDescent="0.25">
      <c r="A5" s="41" t="s">
        <v>423</v>
      </c>
      <c r="B5" s="48" t="s">
        <v>424</v>
      </c>
      <c r="C5" s="47" t="s">
        <v>425</v>
      </c>
      <c r="D5" s="48" t="s">
        <v>426</v>
      </c>
    </row>
    <row r="6" spans="1:7" x14ac:dyDescent="0.25">
      <c r="A6" s="35" t="s">
        <v>25</v>
      </c>
      <c r="B6" s="48" t="s">
        <v>48</v>
      </c>
      <c r="C6" s="39" t="s">
        <v>395</v>
      </c>
      <c r="D6" s="48" t="s">
        <v>49</v>
      </c>
    </row>
    <row r="7" spans="1:7" x14ac:dyDescent="0.25">
      <c r="A7" s="35" t="s">
        <v>26</v>
      </c>
      <c r="B7" s="48" t="s">
        <v>50</v>
      </c>
      <c r="C7" s="39" t="s">
        <v>77</v>
      </c>
      <c r="D7" s="48" t="s">
        <v>51</v>
      </c>
    </row>
    <row r="8" spans="1:7" x14ac:dyDescent="0.25">
      <c r="A8" s="41" t="s">
        <v>12</v>
      </c>
      <c r="B8" s="48" t="s">
        <v>52</v>
      </c>
      <c r="C8" s="39" t="s">
        <v>78</v>
      </c>
      <c r="D8" s="48" t="s">
        <v>53</v>
      </c>
    </row>
    <row r="9" spans="1:7" x14ac:dyDescent="0.25">
      <c r="A9" s="41" t="s">
        <v>320</v>
      </c>
      <c r="B9" s="48" t="s">
        <v>321</v>
      </c>
      <c r="C9" s="39" t="s">
        <v>322</v>
      </c>
      <c r="D9" s="48" t="s">
        <v>323</v>
      </c>
    </row>
    <row r="10" spans="1:7" x14ac:dyDescent="0.25">
      <c r="A10" s="41" t="s">
        <v>121</v>
      </c>
      <c r="B10" s="48" t="s">
        <v>55</v>
      </c>
      <c r="C10" s="39" t="s">
        <v>80</v>
      </c>
      <c r="D10" s="48" t="s">
        <v>56</v>
      </c>
    </row>
    <row r="11" spans="1:7" x14ac:dyDescent="0.25">
      <c r="A11" s="41" t="s">
        <v>159</v>
      </c>
      <c r="B11" s="48" t="s">
        <v>312</v>
      </c>
      <c r="C11" s="39" t="s">
        <v>314</v>
      </c>
      <c r="D11" s="48" t="s">
        <v>316</v>
      </c>
    </row>
    <row r="12" spans="1:7" x14ac:dyDescent="0.25">
      <c r="A12" s="45" t="s">
        <v>311</v>
      </c>
      <c r="B12" s="48" t="s">
        <v>313</v>
      </c>
      <c r="C12" s="39" t="s">
        <v>315</v>
      </c>
      <c r="D12" s="48" t="s">
        <v>317</v>
      </c>
    </row>
    <row r="13" spans="1:7" ht="18" x14ac:dyDescent="0.35">
      <c r="A13" s="41" t="s">
        <v>36</v>
      </c>
      <c r="B13" s="41" t="s">
        <v>36</v>
      </c>
      <c r="C13" s="41" t="s">
        <v>36</v>
      </c>
      <c r="D13" s="41" t="s">
        <v>36</v>
      </c>
    </row>
    <row r="14" spans="1:7" ht="46.5" x14ac:dyDescent="0.25">
      <c r="A14" s="39" t="s">
        <v>39</v>
      </c>
      <c r="B14" s="49" t="s">
        <v>58</v>
      </c>
      <c r="C14" s="49" t="s">
        <v>416</v>
      </c>
      <c r="D14" s="49" t="s">
        <v>82</v>
      </c>
    </row>
    <row r="15" spans="1:7" ht="46.5" x14ac:dyDescent="0.35">
      <c r="A15" s="39" t="s">
        <v>40</v>
      </c>
      <c r="B15" s="49" t="s">
        <v>59</v>
      </c>
      <c r="C15" s="49" t="s">
        <v>417</v>
      </c>
      <c r="D15" s="49" t="s">
        <v>60</v>
      </c>
    </row>
    <row r="16" spans="1:7" ht="18" x14ac:dyDescent="0.35">
      <c r="A16" s="39" t="s">
        <v>360</v>
      </c>
      <c r="B16" s="49" t="s">
        <v>361</v>
      </c>
      <c r="C16" s="49" t="s">
        <v>362</v>
      </c>
      <c r="D16" s="49" t="s">
        <v>363</v>
      </c>
    </row>
    <row r="17" spans="1:7" x14ac:dyDescent="0.25">
      <c r="A17" s="1" t="s">
        <v>23</v>
      </c>
      <c r="B17" s="44" t="s">
        <v>378</v>
      </c>
      <c r="C17" s="44" t="s">
        <v>428</v>
      </c>
      <c r="D17" s="44" t="s">
        <v>57</v>
      </c>
    </row>
    <row r="18" spans="1:7" x14ac:dyDescent="0.25">
      <c r="A18" s="41" t="s">
        <v>2</v>
      </c>
      <c r="B18" s="48" t="s">
        <v>46</v>
      </c>
      <c r="C18" s="47" t="s">
        <v>75</v>
      </c>
      <c r="D18" s="48" t="s">
        <v>47</v>
      </c>
    </row>
    <row r="19" spans="1:7" x14ac:dyDescent="0.25">
      <c r="A19" s="35" t="s">
        <v>25</v>
      </c>
      <c r="B19" s="48" t="s">
        <v>48</v>
      </c>
      <c r="C19" s="39" t="s">
        <v>395</v>
      </c>
      <c r="D19" s="48" t="s">
        <v>49</v>
      </c>
    </row>
    <row r="20" spans="1:7" x14ac:dyDescent="0.25">
      <c r="A20" s="35" t="s">
        <v>26</v>
      </c>
      <c r="B20" s="48" t="s">
        <v>50</v>
      </c>
      <c r="C20" s="39" t="s">
        <v>77</v>
      </c>
      <c r="D20" s="48" t="s">
        <v>51</v>
      </c>
    </row>
    <row r="21" spans="1:7" x14ac:dyDescent="0.25">
      <c r="A21" s="41" t="s">
        <v>14</v>
      </c>
      <c r="B21" s="39" t="s">
        <v>61</v>
      </c>
      <c r="C21" s="39" t="s">
        <v>81</v>
      </c>
      <c r="D21" s="39" t="s">
        <v>62</v>
      </c>
    </row>
    <row r="22" spans="1:7" x14ac:dyDescent="0.25">
      <c r="A22" s="41" t="s">
        <v>320</v>
      </c>
      <c r="B22" s="48" t="s">
        <v>321</v>
      </c>
      <c r="C22" s="39" t="s">
        <v>322</v>
      </c>
      <c r="D22" s="48" t="s">
        <v>323</v>
      </c>
    </row>
    <row r="23" spans="1:7" x14ac:dyDescent="0.25">
      <c r="A23" s="41" t="s">
        <v>121</v>
      </c>
      <c r="B23" s="48" t="s">
        <v>55</v>
      </c>
      <c r="C23" s="39" t="s">
        <v>80</v>
      </c>
      <c r="D23" s="48" t="s">
        <v>56</v>
      </c>
    </row>
    <row r="24" spans="1:7" ht="15" customHeight="1" x14ac:dyDescent="0.25">
      <c r="A24" s="41" t="s">
        <v>159</v>
      </c>
      <c r="B24" s="48" t="s">
        <v>312</v>
      </c>
      <c r="C24" s="39" t="s">
        <v>314</v>
      </c>
      <c r="D24" s="48" t="s">
        <v>316</v>
      </c>
    </row>
    <row r="25" spans="1:7" ht="15" customHeight="1" x14ac:dyDescent="0.25">
      <c r="A25" s="45" t="s">
        <v>311</v>
      </c>
      <c r="B25" s="48" t="s">
        <v>313</v>
      </c>
      <c r="C25" s="39" t="s">
        <v>315</v>
      </c>
      <c r="D25" s="48" t="s">
        <v>317</v>
      </c>
    </row>
    <row r="26" spans="1:7" ht="76.5" x14ac:dyDescent="0.25">
      <c r="A26" s="35" t="s">
        <v>41</v>
      </c>
      <c r="B26" s="35" t="s">
        <v>63</v>
      </c>
      <c r="C26" s="35" t="s">
        <v>418</v>
      </c>
      <c r="D26" s="35" t="s">
        <v>65</v>
      </c>
      <c r="E26" s="35"/>
      <c r="F26" s="35"/>
      <c r="G26" s="35"/>
    </row>
    <row r="27" spans="1:7" ht="49.5" x14ac:dyDescent="0.35">
      <c r="A27" s="39" t="s">
        <v>42</v>
      </c>
      <c r="B27" s="35" t="s">
        <v>66</v>
      </c>
      <c r="C27" s="35" t="s">
        <v>419</v>
      </c>
      <c r="D27" s="35" t="s">
        <v>64</v>
      </c>
      <c r="E27" s="42"/>
      <c r="F27" s="42"/>
      <c r="G27" s="38"/>
    </row>
    <row r="28" spans="1:7" ht="18.75" x14ac:dyDescent="0.35">
      <c r="A28" s="39" t="s">
        <v>364</v>
      </c>
      <c r="B28" s="35" t="s">
        <v>365</v>
      </c>
      <c r="C28" s="35" t="s">
        <v>366</v>
      </c>
      <c r="D28" s="35" t="s">
        <v>367</v>
      </c>
      <c r="E28" s="42"/>
      <c r="F28" s="42"/>
      <c r="G28" s="38"/>
    </row>
    <row r="29" spans="1:7" ht="15.75" x14ac:dyDescent="0.25">
      <c r="A29" s="1" t="s">
        <v>24</v>
      </c>
      <c r="B29" s="44" t="s">
        <v>379</v>
      </c>
      <c r="C29" s="53" t="s">
        <v>429</v>
      </c>
      <c r="D29" s="44" t="s">
        <v>67</v>
      </c>
    </row>
    <row r="30" spans="1:7" x14ac:dyDescent="0.25">
      <c r="A30" s="41" t="s">
        <v>423</v>
      </c>
      <c r="B30" s="48" t="s">
        <v>424</v>
      </c>
      <c r="C30" s="47" t="s">
        <v>425</v>
      </c>
      <c r="D30" s="48" t="s">
        <v>426</v>
      </c>
    </row>
    <row r="31" spans="1:7" x14ac:dyDescent="0.25">
      <c r="A31" s="35" t="s">
        <v>25</v>
      </c>
      <c r="B31" s="48" t="s">
        <v>48</v>
      </c>
      <c r="C31" s="39" t="s">
        <v>76</v>
      </c>
      <c r="D31" s="48" t="s">
        <v>49</v>
      </c>
    </row>
    <row r="32" spans="1:7" x14ac:dyDescent="0.25">
      <c r="A32" s="35" t="s">
        <v>26</v>
      </c>
      <c r="B32" s="48" t="s">
        <v>50</v>
      </c>
      <c r="C32" s="39" t="s">
        <v>77</v>
      </c>
      <c r="D32" s="48" t="s">
        <v>51</v>
      </c>
    </row>
    <row r="33" spans="1:7" x14ac:dyDescent="0.25">
      <c r="A33" s="41" t="s">
        <v>320</v>
      </c>
      <c r="B33" s="48" t="s">
        <v>321</v>
      </c>
      <c r="C33" s="39" t="s">
        <v>322</v>
      </c>
      <c r="D33" s="48" t="s">
        <v>323</v>
      </c>
    </row>
    <row r="34" spans="1:7" x14ac:dyDescent="0.25">
      <c r="A34" s="41" t="s">
        <v>121</v>
      </c>
      <c r="B34" s="48" t="s">
        <v>55</v>
      </c>
      <c r="C34" s="39" t="s">
        <v>84</v>
      </c>
      <c r="D34" s="48" t="s">
        <v>56</v>
      </c>
    </row>
    <row r="35" spans="1:7" ht="15" customHeight="1" x14ac:dyDescent="0.25">
      <c r="A35" s="41" t="s">
        <v>159</v>
      </c>
      <c r="B35" s="48" t="s">
        <v>312</v>
      </c>
      <c r="C35" s="39" t="s">
        <v>314</v>
      </c>
      <c r="D35" s="48" t="s">
        <v>316</v>
      </c>
    </row>
    <row r="36" spans="1:7" ht="15" customHeight="1" x14ac:dyDescent="0.25">
      <c r="A36" s="45" t="s">
        <v>311</v>
      </c>
      <c r="B36" s="48" t="s">
        <v>313</v>
      </c>
      <c r="C36" s="39" t="s">
        <v>315</v>
      </c>
      <c r="D36" s="48" t="s">
        <v>317</v>
      </c>
    </row>
    <row r="37" spans="1:7" ht="63.75" customHeight="1" x14ac:dyDescent="0.25">
      <c r="A37" s="35" t="s">
        <v>41</v>
      </c>
      <c r="B37" s="35" t="s">
        <v>63</v>
      </c>
      <c r="C37" s="35" t="s">
        <v>418</v>
      </c>
      <c r="D37" s="35" t="s">
        <v>65</v>
      </c>
      <c r="E37" s="35"/>
      <c r="F37" s="35"/>
      <c r="G37" s="35"/>
    </row>
    <row r="38" spans="1:7" ht="46.5" x14ac:dyDescent="0.25">
      <c r="A38" s="36" t="s">
        <v>43</v>
      </c>
      <c r="B38" s="36" t="s">
        <v>68</v>
      </c>
      <c r="C38" s="36" t="s">
        <v>420</v>
      </c>
      <c r="D38" s="36" t="s">
        <v>69</v>
      </c>
      <c r="E38" s="35"/>
      <c r="F38" s="35"/>
      <c r="G38" s="35"/>
    </row>
    <row r="39" spans="1:7" ht="18.75" x14ac:dyDescent="0.35">
      <c r="A39" s="39" t="s">
        <v>371</v>
      </c>
      <c r="B39" s="35" t="s">
        <v>370</v>
      </c>
      <c r="C39" s="35" t="s">
        <v>369</v>
      </c>
      <c r="D39" s="35" t="s">
        <v>368</v>
      </c>
      <c r="E39" s="42"/>
      <c r="F39" s="42"/>
      <c r="G39" s="38"/>
    </row>
    <row r="40" spans="1:7" ht="135" x14ac:dyDescent="0.25">
      <c r="A40" s="35" t="s">
        <v>71</v>
      </c>
      <c r="B40" s="39" t="s">
        <v>72</v>
      </c>
      <c r="C40" s="39" t="s">
        <v>114</v>
      </c>
      <c r="D40" s="39" t="s">
        <v>73</v>
      </c>
    </row>
    <row r="41" spans="1:7" x14ac:dyDescent="0.25">
      <c r="A41" t="s">
        <v>308</v>
      </c>
      <c r="B41" s="39" t="s">
        <v>326</v>
      </c>
      <c r="C41" s="39" t="s">
        <v>396</v>
      </c>
      <c r="D41" s="166" t="s">
        <v>381</v>
      </c>
    </row>
    <row r="42" spans="1:7" x14ac:dyDescent="0.25">
      <c r="A42" t="s">
        <v>318</v>
      </c>
      <c r="B42" s="39" t="s">
        <v>327</v>
      </c>
      <c r="C42" s="39" t="s">
        <v>397</v>
      </c>
      <c r="D42" s="166" t="s">
        <v>382</v>
      </c>
    </row>
    <row r="43" spans="1:7" x14ac:dyDescent="0.25">
      <c r="A43" t="s">
        <v>310</v>
      </c>
      <c r="B43" s="39" t="s">
        <v>328</v>
      </c>
      <c r="C43" s="39" t="s">
        <v>330</v>
      </c>
      <c r="D43" s="166" t="s">
        <v>383</v>
      </c>
    </row>
    <row r="44" spans="1:7" x14ac:dyDescent="0.25">
      <c r="A44" t="s">
        <v>309</v>
      </c>
      <c r="B44" s="39" t="s">
        <v>390</v>
      </c>
      <c r="C44" s="39" t="s">
        <v>331</v>
      </c>
      <c r="D44" s="166" t="s">
        <v>384</v>
      </c>
    </row>
    <row r="45" spans="1:7" x14ac:dyDescent="0.25">
      <c r="A45" t="s">
        <v>319</v>
      </c>
      <c r="B45" s="39" t="s">
        <v>329</v>
      </c>
      <c r="C45" s="39" t="s">
        <v>398</v>
      </c>
      <c r="D45" s="166" t="s">
        <v>385</v>
      </c>
    </row>
    <row r="46" spans="1:7" x14ac:dyDescent="0.25">
      <c r="A46" t="s">
        <v>350</v>
      </c>
      <c r="B46" t="s">
        <v>332</v>
      </c>
      <c r="C46" t="s">
        <v>332</v>
      </c>
      <c r="D46" s="136" t="s">
        <v>344</v>
      </c>
    </row>
    <row r="47" spans="1:7" x14ac:dyDescent="0.25">
      <c r="A47" t="s">
        <v>350</v>
      </c>
      <c r="B47" t="s">
        <v>333</v>
      </c>
      <c r="C47" t="s">
        <v>341</v>
      </c>
      <c r="D47" s="136" t="s">
        <v>345</v>
      </c>
    </row>
    <row r="48" spans="1:7" x14ac:dyDescent="0.25">
      <c r="A48" t="s">
        <v>350</v>
      </c>
      <c r="B48" t="s">
        <v>334</v>
      </c>
      <c r="C48" t="s">
        <v>339</v>
      </c>
      <c r="D48" s="136" t="s">
        <v>346</v>
      </c>
    </row>
    <row r="49" spans="1:4" x14ac:dyDescent="0.25">
      <c r="A49" t="s">
        <v>350</v>
      </c>
      <c r="B49" t="s">
        <v>335</v>
      </c>
      <c r="C49" t="s">
        <v>340</v>
      </c>
      <c r="D49" s="136" t="s">
        <v>347</v>
      </c>
    </row>
    <row r="50" spans="1:4" x14ac:dyDescent="0.25">
      <c r="A50" t="s">
        <v>350</v>
      </c>
      <c r="B50" t="s">
        <v>337</v>
      </c>
      <c r="C50" t="s">
        <v>343</v>
      </c>
      <c r="D50" s="136" t="s">
        <v>348</v>
      </c>
    </row>
    <row r="51" spans="1:4" x14ac:dyDescent="0.25">
      <c r="A51" t="s">
        <v>350</v>
      </c>
      <c r="B51" t="s">
        <v>336</v>
      </c>
      <c r="C51" t="s">
        <v>342</v>
      </c>
      <c r="D51" s="136" t="s">
        <v>349</v>
      </c>
    </row>
    <row r="52" spans="1:4" x14ac:dyDescent="0.25">
      <c r="A52" s="143" t="s">
        <v>126</v>
      </c>
      <c r="B52" s="143" t="s">
        <v>351</v>
      </c>
      <c r="C52" s="143" t="s">
        <v>353</v>
      </c>
      <c r="D52" s="167" t="s">
        <v>355</v>
      </c>
    </row>
    <row r="53" spans="1:4" x14ac:dyDescent="0.25">
      <c r="A53" t="s">
        <v>166</v>
      </c>
      <c r="B53" t="s">
        <v>352</v>
      </c>
      <c r="C53" t="s">
        <v>354</v>
      </c>
      <c r="D53" s="136" t="s">
        <v>386</v>
      </c>
    </row>
    <row r="54" spans="1:4" x14ac:dyDescent="0.25">
      <c r="A54" s="35" t="s">
        <v>357</v>
      </c>
      <c r="B54" s="39" t="s">
        <v>356</v>
      </c>
      <c r="C54" s="39" t="s">
        <v>358</v>
      </c>
      <c r="D54" s="166" t="s">
        <v>359</v>
      </c>
    </row>
    <row r="55" spans="1:4" x14ac:dyDescent="0.25">
      <c r="A55" s="35" t="s">
        <v>372</v>
      </c>
      <c r="B55" s="39" t="s">
        <v>391</v>
      </c>
      <c r="C55" s="39" t="s">
        <v>399</v>
      </c>
      <c r="D55" s="166" t="s">
        <v>387</v>
      </c>
    </row>
    <row r="56" spans="1:4" x14ac:dyDescent="0.25">
      <c r="A56" s="35" t="s">
        <v>373</v>
      </c>
      <c r="B56" s="39" t="s">
        <v>392</v>
      </c>
      <c r="C56" s="39" t="s">
        <v>400</v>
      </c>
      <c r="D56" s="166" t="s">
        <v>388</v>
      </c>
    </row>
    <row r="57" spans="1:4" x14ac:dyDescent="0.25">
      <c r="A57" s="35" t="s">
        <v>377</v>
      </c>
      <c r="B57" s="39" t="s">
        <v>393</v>
      </c>
      <c r="C57" s="39" t="s">
        <v>401</v>
      </c>
      <c r="D57" s="39" t="s">
        <v>389</v>
      </c>
    </row>
    <row r="58" spans="1:4" ht="19.5" customHeight="1" x14ac:dyDescent="0.25">
      <c r="A58" s="35" t="s">
        <v>410</v>
      </c>
      <c r="B58" s="39" t="s">
        <v>411</v>
      </c>
      <c r="C58" s="39" t="s">
        <v>421</v>
      </c>
      <c r="D58" s="39" t="s">
        <v>412</v>
      </c>
    </row>
    <row r="59" spans="1:4" x14ac:dyDescent="0.25">
      <c r="A59" s="35" t="s">
        <v>413</v>
      </c>
      <c r="B59" s="39" t="s">
        <v>414</v>
      </c>
      <c r="C59" s="39" t="s">
        <v>422</v>
      </c>
      <c r="D59" s="39" t="s">
        <v>415</v>
      </c>
    </row>
  </sheetData>
  <sheetProtection algorithmName="SHA-512" hashValue="nuhh0IpXnm2vFT/9iqq9lrwLxHBBvaJs42CV9BCV8rdKC3QMBrKHg9liktschDQoMslzwU1fKTZY/ylPkBXSdg==" saltValue="zk3YZvyDtci17WOwDnnqfQ==" spinCount="100000" sheet="1" objects="1" scenarios="1" selectLockedCells="1"/>
  <pageMargins left="0.7" right="0.7" top="0.78740157499999996" bottom="0.78740157499999996" header="0.3" footer="0.3"/>
  <pageSetup paperSize="9"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C1358-8D13-4606-99A4-2C535D0EF6D2}">
  <dimension ref="A1:G74"/>
  <sheetViews>
    <sheetView workbookViewId="0">
      <selection activeCell="J15" sqref="J15"/>
    </sheetView>
  </sheetViews>
  <sheetFormatPr baseColWidth="10" defaultColWidth="11.5703125" defaultRowHeight="15" x14ac:dyDescent="0.25"/>
  <cols>
    <col min="1" max="1" width="21.5703125" customWidth="1"/>
    <col min="2" max="2" width="22.7109375" customWidth="1"/>
    <col min="3" max="3" width="24.85546875" customWidth="1"/>
    <col min="4" max="5" width="17.42578125" customWidth="1"/>
    <col min="6" max="6" width="14.28515625" customWidth="1"/>
    <col min="7" max="7" width="17.28515625" customWidth="1"/>
    <col min="8" max="8" width="12.7109375" bestFit="1" customWidth="1"/>
    <col min="9" max="9" width="10.42578125" bestFit="1" customWidth="1"/>
    <col min="10" max="10" width="10.85546875" bestFit="1" customWidth="1"/>
  </cols>
  <sheetData>
    <row r="1" spans="1:7" x14ac:dyDescent="0.25">
      <c r="A1" s="1" t="s">
        <v>37</v>
      </c>
      <c r="E1" s="51" t="s">
        <v>74</v>
      </c>
      <c r="F1" s="50" t="s">
        <v>117</v>
      </c>
      <c r="G1" t="s">
        <v>70</v>
      </c>
    </row>
    <row r="2" spans="1:7" x14ac:dyDescent="0.25">
      <c r="G2" t="s">
        <v>102</v>
      </c>
    </row>
    <row r="3" spans="1:7" ht="91.5" customHeight="1" x14ac:dyDescent="0.25">
      <c r="A3" s="219" t="s">
        <v>38</v>
      </c>
      <c r="B3" s="219"/>
      <c r="C3" s="219"/>
      <c r="D3" s="219"/>
      <c r="E3" s="219"/>
      <c r="F3" s="219"/>
      <c r="G3" s="219"/>
    </row>
    <row r="4" spans="1:7" ht="21" x14ac:dyDescent="0.35">
      <c r="A4" s="28"/>
      <c r="B4" s="28"/>
      <c r="C4" s="28"/>
      <c r="D4" s="28"/>
      <c r="E4" s="28"/>
      <c r="F4" s="28"/>
      <c r="G4" s="28"/>
    </row>
    <row r="5" spans="1:7" x14ac:dyDescent="0.25">
      <c r="A5" s="1" t="s">
        <v>88</v>
      </c>
    </row>
    <row r="6" spans="1:7" x14ac:dyDescent="0.25">
      <c r="A6" s="5" t="s">
        <v>46</v>
      </c>
      <c r="B6" s="54" t="s">
        <v>48</v>
      </c>
      <c r="C6" s="54" t="s">
        <v>50</v>
      </c>
      <c r="D6" s="4" t="s">
        <v>52</v>
      </c>
      <c r="E6" s="55" t="s">
        <v>54</v>
      </c>
      <c r="F6" s="4"/>
      <c r="G6" s="4"/>
    </row>
    <row r="7" spans="1:7" ht="16.899999999999999" customHeight="1" x14ac:dyDescent="0.35">
      <c r="A7" s="6" t="s">
        <v>94</v>
      </c>
      <c r="B7" s="220" t="s">
        <v>89</v>
      </c>
      <c r="C7" s="220" t="s">
        <v>89</v>
      </c>
      <c r="D7" s="8" t="s">
        <v>92</v>
      </c>
      <c r="E7" s="8" t="s">
        <v>27</v>
      </c>
      <c r="F7" s="8" t="s">
        <v>28</v>
      </c>
      <c r="G7" s="12" t="s">
        <v>29</v>
      </c>
    </row>
    <row r="8" spans="1:7" x14ac:dyDescent="0.25">
      <c r="A8" s="7" t="s">
        <v>0</v>
      </c>
      <c r="B8" s="221"/>
      <c r="C8" s="221"/>
      <c r="D8" s="9" t="s">
        <v>0</v>
      </c>
      <c r="E8" s="9" t="s">
        <v>1</v>
      </c>
      <c r="F8" s="9" t="s">
        <v>1</v>
      </c>
      <c r="G8" s="13" t="s">
        <v>1</v>
      </c>
    </row>
    <row r="9" spans="1:7" x14ac:dyDescent="0.25">
      <c r="A9" s="3" t="s">
        <v>3</v>
      </c>
      <c r="B9" s="16">
        <v>4</v>
      </c>
      <c r="C9" s="15">
        <v>3</v>
      </c>
      <c r="D9" s="4">
        <v>60</v>
      </c>
      <c r="E9" s="25">
        <v>55.244506299435862</v>
      </c>
      <c r="F9" s="25">
        <v>57.745920000000005</v>
      </c>
      <c r="G9" s="20">
        <v>55.244506299435862</v>
      </c>
    </row>
    <row r="10" spans="1:7" x14ac:dyDescent="0.25">
      <c r="A10" s="3" t="s">
        <v>4</v>
      </c>
      <c r="B10" s="16">
        <v>6</v>
      </c>
      <c r="C10" s="15">
        <v>3</v>
      </c>
      <c r="D10" s="4">
        <v>100</v>
      </c>
      <c r="E10" s="25">
        <v>82.86675944915379</v>
      </c>
      <c r="F10" s="25">
        <v>68.95872</v>
      </c>
      <c r="G10" s="20">
        <v>68.95872</v>
      </c>
    </row>
    <row r="11" spans="1:7" x14ac:dyDescent="0.25">
      <c r="A11" s="3" t="s">
        <v>5</v>
      </c>
      <c r="B11" s="16">
        <v>8</v>
      </c>
      <c r="C11" s="15">
        <v>3</v>
      </c>
      <c r="D11" s="4">
        <v>140</v>
      </c>
      <c r="E11" s="25">
        <v>110.48901259887172</v>
      </c>
      <c r="F11" s="25">
        <v>80.171520000000015</v>
      </c>
      <c r="G11" s="20">
        <v>80.171520000000015</v>
      </c>
    </row>
    <row r="12" spans="1:7" ht="15.75" thickBot="1" x14ac:dyDescent="0.3">
      <c r="A12" s="10" t="s">
        <v>20</v>
      </c>
      <c r="B12" s="18">
        <v>8</v>
      </c>
      <c r="C12" s="17">
        <v>3</v>
      </c>
      <c r="D12" s="11">
        <v>180</v>
      </c>
      <c r="E12" s="26">
        <v>110.48901259887172</v>
      </c>
      <c r="F12" s="26">
        <v>91.384320000000002</v>
      </c>
      <c r="G12" s="21">
        <v>91.384320000000002</v>
      </c>
    </row>
    <row r="13" spans="1:7" ht="15.75" thickTop="1" x14ac:dyDescent="0.25">
      <c r="A13" s="7" t="s">
        <v>6</v>
      </c>
      <c r="B13" s="19">
        <v>8</v>
      </c>
      <c r="C13" s="19">
        <v>4</v>
      </c>
      <c r="D13" s="9">
        <v>60</v>
      </c>
      <c r="E13" s="27">
        <v>132.68213274274288</v>
      </c>
      <c r="F13" s="27">
        <v>159.744</v>
      </c>
      <c r="G13" s="22">
        <v>132.68213274274288</v>
      </c>
    </row>
    <row r="14" spans="1:7" x14ac:dyDescent="0.25">
      <c r="A14" s="3" t="s">
        <v>7</v>
      </c>
      <c r="B14" s="15">
        <v>10</v>
      </c>
      <c r="C14" s="15">
        <v>4</v>
      </c>
      <c r="D14" s="4">
        <v>100</v>
      </c>
      <c r="E14" s="25">
        <v>165.85266592842859</v>
      </c>
      <c r="F14" s="25">
        <v>179.71199999999999</v>
      </c>
      <c r="G14" s="20">
        <v>165.85266592842859</v>
      </c>
    </row>
    <row r="15" spans="1:7" x14ac:dyDescent="0.25">
      <c r="A15" s="3" t="s">
        <v>8</v>
      </c>
      <c r="B15" s="15">
        <v>12</v>
      </c>
      <c r="C15" s="15">
        <v>4</v>
      </c>
      <c r="D15" s="4">
        <v>140</v>
      </c>
      <c r="E15" s="25">
        <v>199.02319911411431</v>
      </c>
      <c r="F15" s="25">
        <v>199.68</v>
      </c>
      <c r="G15" s="20">
        <v>199.02319911411431</v>
      </c>
    </row>
    <row r="16" spans="1:7" ht="15.75" thickBot="1" x14ac:dyDescent="0.3">
      <c r="A16" s="10" t="s">
        <v>21</v>
      </c>
      <c r="B16" s="17">
        <v>14</v>
      </c>
      <c r="C16" s="17">
        <v>4</v>
      </c>
      <c r="D16" s="11">
        <v>180</v>
      </c>
      <c r="E16" s="26">
        <v>232.19373229979999</v>
      </c>
      <c r="F16" s="26">
        <v>219.648</v>
      </c>
      <c r="G16" s="21">
        <v>219.648</v>
      </c>
    </row>
    <row r="17" spans="1:7" ht="15.75" thickTop="1" x14ac:dyDescent="0.25">
      <c r="A17" s="7" t="s">
        <v>9</v>
      </c>
      <c r="B17" s="23">
        <v>12</v>
      </c>
      <c r="C17" s="19">
        <v>6</v>
      </c>
      <c r="D17" s="9">
        <v>60</v>
      </c>
      <c r="E17" s="27">
        <v>278.80405048313423</v>
      </c>
      <c r="F17" s="27">
        <v>353.28</v>
      </c>
      <c r="G17" s="22">
        <v>278.80405048313423</v>
      </c>
    </row>
    <row r="18" spans="1:7" x14ac:dyDescent="0.25">
      <c r="A18" s="3" t="s">
        <v>10</v>
      </c>
      <c r="B18" s="24">
        <v>20</v>
      </c>
      <c r="C18" s="15">
        <v>6</v>
      </c>
      <c r="D18" s="9">
        <v>100</v>
      </c>
      <c r="E18" s="25">
        <v>464.67341747189039</v>
      </c>
      <c r="F18" s="25">
        <v>384</v>
      </c>
      <c r="G18" s="20">
        <v>384</v>
      </c>
    </row>
    <row r="19" spans="1:7" x14ac:dyDescent="0.25">
      <c r="A19" s="3" t="s">
        <v>11</v>
      </c>
      <c r="B19" s="24">
        <v>20</v>
      </c>
      <c r="C19" s="15">
        <v>6</v>
      </c>
      <c r="D19" s="4">
        <v>140</v>
      </c>
      <c r="E19" s="25">
        <v>464.67341747189039</v>
      </c>
      <c r="F19" s="25">
        <v>414.71999999999997</v>
      </c>
      <c r="G19" s="20">
        <v>414.71999999999997</v>
      </c>
    </row>
    <row r="20" spans="1:7" x14ac:dyDescent="0.25">
      <c r="A20" s="3" t="s">
        <v>16</v>
      </c>
      <c r="B20" s="24">
        <v>20</v>
      </c>
      <c r="C20" s="15">
        <v>6</v>
      </c>
      <c r="D20" s="4">
        <v>180</v>
      </c>
      <c r="E20" s="25">
        <v>464.67341747189039</v>
      </c>
      <c r="F20" s="25">
        <v>445.44</v>
      </c>
      <c r="G20" s="20">
        <v>445.44</v>
      </c>
    </row>
    <row r="21" spans="1:7" x14ac:dyDescent="0.25">
      <c r="A21" s="3" t="s">
        <v>17</v>
      </c>
      <c r="B21" s="24">
        <v>22</v>
      </c>
      <c r="C21" s="15">
        <v>6</v>
      </c>
      <c r="D21" s="4">
        <v>220</v>
      </c>
      <c r="E21" s="25">
        <v>511.14075921907937</v>
      </c>
      <c r="F21" s="25">
        <v>476.15999999999997</v>
      </c>
      <c r="G21" s="20">
        <v>476.15999999999997</v>
      </c>
    </row>
    <row r="22" spans="1:7" x14ac:dyDescent="0.25">
      <c r="A22" s="3" t="s">
        <v>18</v>
      </c>
      <c r="B22" s="24">
        <v>24</v>
      </c>
      <c r="C22" s="15">
        <v>6</v>
      </c>
      <c r="D22" s="4">
        <v>260</v>
      </c>
      <c r="E22" s="25">
        <v>557.60810096626847</v>
      </c>
      <c r="F22" s="25">
        <v>506.88</v>
      </c>
      <c r="G22" s="20">
        <v>506.88</v>
      </c>
    </row>
    <row r="23" spans="1:7" x14ac:dyDescent="0.25">
      <c r="A23" s="3" t="s">
        <v>19</v>
      </c>
      <c r="B23" s="24">
        <v>24</v>
      </c>
      <c r="C23" s="15">
        <v>6</v>
      </c>
      <c r="D23" s="4">
        <v>300</v>
      </c>
      <c r="E23" s="25">
        <v>557.60810096626847</v>
      </c>
      <c r="F23" s="25">
        <v>537.59999999999991</v>
      </c>
      <c r="G23" s="20">
        <v>537.59999999999991</v>
      </c>
    </row>
    <row r="24" spans="1:7" ht="32.25" customHeight="1" x14ac:dyDescent="0.25">
      <c r="A24" s="222" t="s">
        <v>90</v>
      </c>
      <c r="B24" s="201"/>
      <c r="C24" s="201"/>
      <c r="D24" s="201"/>
      <c r="E24" s="201"/>
      <c r="F24" s="201"/>
      <c r="G24" s="201"/>
    </row>
    <row r="25" spans="1:7" ht="16.5" x14ac:dyDescent="0.25">
      <c r="A25" s="6" t="s">
        <v>91</v>
      </c>
      <c r="B25" s="31"/>
      <c r="C25" s="32"/>
      <c r="D25" s="2"/>
      <c r="E25" s="33"/>
      <c r="F25" s="33"/>
      <c r="G25" s="34"/>
    </row>
    <row r="26" spans="1:7" ht="18" x14ac:dyDescent="0.35">
      <c r="A26" s="6" t="s">
        <v>95</v>
      </c>
      <c r="B26" s="31"/>
      <c r="C26" s="32"/>
      <c r="D26" s="2"/>
      <c r="E26" s="33"/>
      <c r="F26" s="33"/>
      <c r="G26" s="34"/>
    </row>
    <row r="28" spans="1:7" x14ac:dyDescent="0.25">
      <c r="A28" s="1" t="s">
        <v>99</v>
      </c>
    </row>
    <row r="29" spans="1:7" x14ac:dyDescent="0.25">
      <c r="A29" s="5" t="s">
        <v>46</v>
      </c>
      <c r="B29" s="54" t="s">
        <v>48</v>
      </c>
      <c r="C29" s="54" t="s">
        <v>50</v>
      </c>
      <c r="D29" s="4" t="s">
        <v>52</v>
      </c>
      <c r="E29" s="3" t="s">
        <v>54</v>
      </c>
      <c r="F29" s="4"/>
      <c r="G29" s="3"/>
    </row>
    <row r="30" spans="1:7" ht="16.899999999999999" customHeight="1" x14ac:dyDescent="0.35">
      <c r="A30" s="6" t="s">
        <v>93</v>
      </c>
      <c r="B30" s="220" t="s">
        <v>89</v>
      </c>
      <c r="C30" s="220" t="s">
        <v>89</v>
      </c>
      <c r="D30" s="8" t="s">
        <v>15</v>
      </c>
      <c r="E30" s="8" t="s">
        <v>30</v>
      </c>
      <c r="F30" s="8" t="s">
        <v>31</v>
      </c>
      <c r="G30" s="12" t="s">
        <v>32</v>
      </c>
    </row>
    <row r="31" spans="1:7" x14ac:dyDescent="0.25">
      <c r="A31" s="7" t="s">
        <v>0</v>
      </c>
      <c r="B31" s="221"/>
      <c r="C31" s="221"/>
      <c r="D31" s="9" t="s">
        <v>0</v>
      </c>
      <c r="E31" s="9" t="s">
        <v>1</v>
      </c>
      <c r="F31" s="9" t="s">
        <v>1</v>
      </c>
      <c r="G31" s="13" t="s">
        <v>1</v>
      </c>
    </row>
    <row r="32" spans="1:7" x14ac:dyDescent="0.25">
      <c r="A32" s="3" t="s">
        <v>3</v>
      </c>
      <c r="B32" s="16">
        <v>4</v>
      </c>
      <c r="C32" s="15">
        <v>3</v>
      </c>
      <c r="D32" s="4">
        <v>20</v>
      </c>
      <c r="E32" s="25">
        <v>55.244506299435862</v>
      </c>
      <c r="F32" s="25">
        <v>58.485120000000009</v>
      </c>
      <c r="G32" s="20">
        <v>55.244506299435862</v>
      </c>
    </row>
    <row r="33" spans="1:7" x14ac:dyDescent="0.25">
      <c r="A33" s="3" t="s">
        <v>4</v>
      </c>
      <c r="B33" s="16">
        <v>6</v>
      </c>
      <c r="C33" s="15">
        <v>3</v>
      </c>
      <c r="D33" s="4">
        <v>30</v>
      </c>
      <c r="E33" s="25">
        <v>82.86675944915379</v>
      </c>
      <c r="F33" s="25">
        <v>70.456320000000005</v>
      </c>
      <c r="G33" s="20">
        <v>70.456320000000005</v>
      </c>
    </row>
    <row r="34" spans="1:7" x14ac:dyDescent="0.25">
      <c r="A34" s="3" t="s">
        <v>5</v>
      </c>
      <c r="B34" s="16">
        <v>8</v>
      </c>
      <c r="C34" s="15">
        <v>3</v>
      </c>
      <c r="D34" s="4">
        <v>40</v>
      </c>
      <c r="E34" s="25">
        <v>110.48901259887172</v>
      </c>
      <c r="F34" s="25">
        <v>83.387520000000009</v>
      </c>
      <c r="G34" s="20">
        <v>83.387520000000009</v>
      </c>
    </row>
    <row r="35" spans="1:7" ht="15.75" thickBot="1" x14ac:dyDescent="0.3">
      <c r="A35" s="10" t="s">
        <v>20</v>
      </c>
      <c r="B35" s="18">
        <v>8</v>
      </c>
      <c r="C35" s="17">
        <v>3</v>
      </c>
      <c r="D35" s="11">
        <v>40</v>
      </c>
      <c r="E35" s="26">
        <v>110.48901259887172</v>
      </c>
      <c r="F35" s="26">
        <v>92.315520000000006</v>
      </c>
      <c r="G35" s="21">
        <v>92.315520000000006</v>
      </c>
    </row>
    <row r="36" spans="1:7" ht="15.75" thickTop="1" x14ac:dyDescent="0.25">
      <c r="A36" s="7" t="s">
        <v>6</v>
      </c>
      <c r="B36" s="19">
        <v>8</v>
      </c>
      <c r="C36" s="19">
        <v>4</v>
      </c>
      <c r="D36" s="9">
        <v>20</v>
      </c>
      <c r="E36" s="27">
        <v>132.68213274274288</v>
      </c>
      <c r="F36" s="27">
        <v>159.93600000000001</v>
      </c>
      <c r="G36" s="22">
        <v>132.68213274274288</v>
      </c>
    </row>
    <row r="37" spans="1:7" x14ac:dyDescent="0.25">
      <c r="A37" s="3" t="s">
        <v>7</v>
      </c>
      <c r="B37" s="15">
        <v>10</v>
      </c>
      <c r="C37" s="15">
        <v>4</v>
      </c>
      <c r="D37" s="4">
        <v>20</v>
      </c>
      <c r="E37" s="25">
        <v>165.85266592842859</v>
      </c>
      <c r="F37" s="25">
        <v>173.37600000000003</v>
      </c>
      <c r="G37" s="20">
        <v>165.85266592842859</v>
      </c>
    </row>
    <row r="38" spans="1:7" x14ac:dyDescent="0.25">
      <c r="A38" s="3" t="s">
        <v>8</v>
      </c>
      <c r="B38" s="15">
        <v>12</v>
      </c>
      <c r="C38" s="15">
        <v>4</v>
      </c>
      <c r="D38" s="4">
        <v>40</v>
      </c>
      <c r="E38" s="25">
        <v>199.02319911411433</v>
      </c>
      <c r="F38" s="25">
        <v>200.16</v>
      </c>
      <c r="G38" s="20">
        <v>199.02319911411433</v>
      </c>
    </row>
    <row r="39" spans="1:7" ht="15.75" thickBot="1" x14ac:dyDescent="0.3">
      <c r="A39" s="10" t="s">
        <v>21</v>
      </c>
      <c r="B39" s="17">
        <v>14</v>
      </c>
      <c r="C39" s="17">
        <v>4</v>
      </c>
      <c r="D39" s="11">
        <v>50</v>
      </c>
      <c r="E39" s="26">
        <v>232.19373229980005</v>
      </c>
      <c r="F39" s="26">
        <v>221.71200000000002</v>
      </c>
      <c r="G39" s="21">
        <v>221.71200000000002</v>
      </c>
    </row>
    <row r="40" spans="1:7" ht="15.75" thickTop="1" x14ac:dyDescent="0.25">
      <c r="A40" s="7" t="s">
        <v>9</v>
      </c>
      <c r="B40" s="23">
        <v>12</v>
      </c>
      <c r="C40" s="19">
        <v>6</v>
      </c>
      <c r="D40" s="9">
        <v>20</v>
      </c>
      <c r="E40" s="27">
        <v>278.80405048313423</v>
      </c>
      <c r="F40" s="27">
        <v>352.8</v>
      </c>
      <c r="G40" s="22">
        <v>278.80405048313423</v>
      </c>
    </row>
    <row r="41" spans="1:7" x14ac:dyDescent="0.25">
      <c r="A41" s="3" t="s">
        <v>10</v>
      </c>
      <c r="B41" s="24">
        <v>20</v>
      </c>
      <c r="C41" s="15">
        <v>6</v>
      </c>
      <c r="D41" s="4">
        <v>40</v>
      </c>
      <c r="E41" s="25">
        <v>464.67341747189039</v>
      </c>
      <c r="F41" s="25">
        <v>390.71999999999997</v>
      </c>
      <c r="G41" s="20">
        <v>390.71999999999997</v>
      </c>
    </row>
    <row r="42" spans="1:7" x14ac:dyDescent="0.25">
      <c r="A42" s="3" t="s">
        <v>11</v>
      </c>
      <c r="B42" s="24">
        <v>20</v>
      </c>
      <c r="C42" s="15">
        <v>6</v>
      </c>
      <c r="D42" s="4">
        <v>50</v>
      </c>
      <c r="E42" s="25">
        <v>464.67341747189039</v>
      </c>
      <c r="F42" s="25">
        <v>421.19999999999993</v>
      </c>
      <c r="G42" s="20">
        <v>421.19999999999993</v>
      </c>
    </row>
    <row r="43" spans="1:7" x14ac:dyDescent="0.25">
      <c r="A43" s="3" t="s">
        <v>16</v>
      </c>
      <c r="B43" s="24">
        <v>20</v>
      </c>
      <c r="C43" s="15">
        <v>6</v>
      </c>
      <c r="D43" s="4">
        <v>60</v>
      </c>
      <c r="E43" s="25">
        <v>464.67341747189039</v>
      </c>
      <c r="F43" s="25">
        <v>452.64</v>
      </c>
      <c r="G43" s="20">
        <v>452.64</v>
      </c>
    </row>
    <row r="44" spans="1:7" x14ac:dyDescent="0.25">
      <c r="A44" s="3" t="s">
        <v>17</v>
      </c>
      <c r="B44" s="24">
        <v>22</v>
      </c>
      <c r="C44" s="15">
        <v>6</v>
      </c>
      <c r="D44" s="4">
        <v>70</v>
      </c>
      <c r="E44" s="25">
        <v>511.14075921907948</v>
      </c>
      <c r="F44" s="25">
        <v>485.03999999999996</v>
      </c>
      <c r="G44" s="20">
        <v>485.03999999999996</v>
      </c>
    </row>
    <row r="45" spans="1:7" x14ac:dyDescent="0.25">
      <c r="A45" s="3" t="s">
        <v>18</v>
      </c>
      <c r="B45" s="24">
        <v>24</v>
      </c>
      <c r="C45" s="15">
        <v>6</v>
      </c>
      <c r="D45" s="4">
        <v>80</v>
      </c>
      <c r="E45" s="25">
        <v>557.60810096626847</v>
      </c>
      <c r="F45" s="25">
        <v>518.4</v>
      </c>
      <c r="G45" s="20">
        <v>518.4</v>
      </c>
    </row>
    <row r="46" spans="1:7" x14ac:dyDescent="0.25">
      <c r="A46" s="3" t="s">
        <v>19</v>
      </c>
      <c r="B46" s="24">
        <v>24</v>
      </c>
      <c r="C46" s="15">
        <v>6</v>
      </c>
      <c r="D46" s="4">
        <v>90</v>
      </c>
      <c r="E46" s="25">
        <v>557.60810096626847</v>
      </c>
      <c r="F46" s="25">
        <v>552.72</v>
      </c>
      <c r="G46" s="20">
        <v>552.72</v>
      </c>
    </row>
    <row r="47" spans="1:7" ht="30.75" customHeight="1" x14ac:dyDescent="0.25">
      <c r="A47" s="222" t="s">
        <v>63</v>
      </c>
      <c r="B47" s="201"/>
      <c r="C47" s="201"/>
      <c r="D47" s="201"/>
      <c r="E47" s="201"/>
      <c r="F47" s="201"/>
      <c r="G47" s="201"/>
    </row>
    <row r="48" spans="1:7" ht="18" x14ac:dyDescent="0.35">
      <c r="A48" s="6" t="s">
        <v>98</v>
      </c>
      <c r="B48" s="31"/>
      <c r="C48" s="32"/>
      <c r="D48" s="2"/>
      <c r="E48" s="33"/>
      <c r="F48" s="33"/>
      <c r="G48" s="34"/>
    </row>
    <row r="49" spans="1:7" ht="18" x14ac:dyDescent="0.35">
      <c r="A49" s="6" t="s">
        <v>97</v>
      </c>
      <c r="B49" s="31"/>
      <c r="C49" s="32"/>
      <c r="D49" s="2"/>
      <c r="E49" s="33"/>
      <c r="F49" s="33"/>
      <c r="G49" s="34"/>
    </row>
    <row r="51" spans="1:7" x14ac:dyDescent="0.25">
      <c r="A51" s="1" t="s">
        <v>100</v>
      </c>
    </row>
    <row r="52" spans="1:7" x14ac:dyDescent="0.25">
      <c r="A52" s="5" t="s">
        <v>46</v>
      </c>
      <c r="B52" s="54" t="s">
        <v>48</v>
      </c>
      <c r="C52" s="54" t="s">
        <v>50</v>
      </c>
      <c r="D52" s="3" t="s">
        <v>54</v>
      </c>
      <c r="E52" s="4"/>
      <c r="F52" s="3"/>
    </row>
    <row r="53" spans="1:7" ht="16.899999999999999" customHeight="1" x14ac:dyDescent="0.35">
      <c r="A53" s="6" t="s">
        <v>93</v>
      </c>
      <c r="B53" s="220" t="s">
        <v>89</v>
      </c>
      <c r="C53" s="220" t="s">
        <v>89</v>
      </c>
      <c r="D53" s="8" t="s">
        <v>33</v>
      </c>
      <c r="E53" s="8" t="s">
        <v>34</v>
      </c>
      <c r="F53" s="12" t="s">
        <v>35</v>
      </c>
    </row>
    <row r="54" spans="1:7" x14ac:dyDescent="0.25">
      <c r="A54" s="7" t="s">
        <v>0</v>
      </c>
      <c r="B54" s="221"/>
      <c r="C54" s="221"/>
      <c r="D54" s="9" t="s">
        <v>1</v>
      </c>
      <c r="E54" s="9" t="s">
        <v>1</v>
      </c>
      <c r="F54" s="13" t="s">
        <v>1</v>
      </c>
    </row>
    <row r="55" spans="1:7" x14ac:dyDescent="0.25">
      <c r="A55" s="3" t="s">
        <v>3</v>
      </c>
      <c r="B55" s="16">
        <v>4</v>
      </c>
      <c r="C55" s="15">
        <v>3</v>
      </c>
      <c r="D55" s="25">
        <v>55.244506299435862</v>
      </c>
      <c r="E55" s="25">
        <v>58.881757062544345</v>
      </c>
      <c r="F55" s="20">
        <v>55.244506299435862</v>
      </c>
    </row>
    <row r="56" spans="1:7" x14ac:dyDescent="0.25">
      <c r="A56" s="3" t="s">
        <v>4</v>
      </c>
      <c r="B56" s="16">
        <v>6</v>
      </c>
      <c r="C56" s="15">
        <v>3</v>
      </c>
      <c r="D56" s="25">
        <v>82.86675944915379</v>
      </c>
      <c r="E56" s="25">
        <v>113.30905335903216</v>
      </c>
      <c r="F56" s="20">
        <v>82.86675944915379</v>
      </c>
    </row>
    <row r="57" spans="1:7" x14ac:dyDescent="0.25">
      <c r="A57" s="3" t="s">
        <v>5</v>
      </c>
      <c r="B57" s="16">
        <v>8</v>
      </c>
      <c r="C57" s="15">
        <v>3</v>
      </c>
      <c r="D57" s="25">
        <v>110.48901259887172</v>
      </c>
      <c r="E57" s="25">
        <v>207.73326449155897</v>
      </c>
      <c r="F57" s="20">
        <v>110.48901259887172</v>
      </c>
    </row>
    <row r="58" spans="1:7" ht="15.75" thickBot="1" x14ac:dyDescent="0.3">
      <c r="A58" s="10" t="s">
        <v>20</v>
      </c>
      <c r="B58" s="18">
        <v>8</v>
      </c>
      <c r="C58" s="17">
        <v>3</v>
      </c>
      <c r="D58" s="26">
        <v>110.48901259887172</v>
      </c>
      <c r="E58" s="26">
        <v>302.15747562408581</v>
      </c>
      <c r="F58" s="21">
        <v>110.48901259887172</v>
      </c>
    </row>
    <row r="59" spans="1:7" ht="15.75" thickTop="1" x14ac:dyDescent="0.25">
      <c r="A59" s="7" t="s">
        <v>6</v>
      </c>
      <c r="B59" s="19">
        <v>8</v>
      </c>
      <c r="C59" s="19">
        <v>4</v>
      </c>
      <c r="D59" s="27">
        <v>132.68213274274288</v>
      </c>
      <c r="E59" s="27">
        <v>129.84959763935976</v>
      </c>
      <c r="F59" s="22">
        <v>129.84959763935976</v>
      </c>
    </row>
    <row r="60" spans="1:7" x14ac:dyDescent="0.25">
      <c r="A60" s="3" t="s">
        <v>7</v>
      </c>
      <c r="B60" s="15">
        <v>10</v>
      </c>
      <c r="C60" s="15">
        <v>4</v>
      </c>
      <c r="D60" s="25">
        <v>165.85266592842859</v>
      </c>
      <c r="E60" s="25">
        <v>165.47534163935975</v>
      </c>
      <c r="F60" s="20">
        <v>165.47534163935975</v>
      </c>
    </row>
    <row r="61" spans="1:7" x14ac:dyDescent="0.25">
      <c r="A61" s="3" t="s">
        <v>8</v>
      </c>
      <c r="B61" s="15">
        <v>12</v>
      </c>
      <c r="C61" s="15">
        <v>4</v>
      </c>
      <c r="D61" s="25">
        <v>199.02319911411433</v>
      </c>
      <c r="E61" s="25">
        <v>228.73603294907426</v>
      </c>
      <c r="F61" s="20">
        <v>199.02319911411433</v>
      </c>
    </row>
    <row r="62" spans="1:7" ht="15.75" thickBot="1" x14ac:dyDescent="0.3">
      <c r="A62" s="10" t="s">
        <v>21</v>
      </c>
      <c r="B62" s="17">
        <v>14</v>
      </c>
      <c r="C62" s="17">
        <v>4</v>
      </c>
      <c r="D62" s="26">
        <v>232.19373229980005</v>
      </c>
      <c r="E62" s="26">
        <v>355.8116068096711</v>
      </c>
      <c r="F62" s="21">
        <v>232.19373229980005</v>
      </c>
    </row>
    <row r="63" spans="1:7" ht="15.75" thickTop="1" x14ac:dyDescent="0.25">
      <c r="A63" s="7" t="s">
        <v>9</v>
      </c>
      <c r="B63" s="29">
        <v>12</v>
      </c>
      <c r="C63" s="19">
        <v>6</v>
      </c>
      <c r="D63" s="27">
        <v>276</v>
      </c>
      <c r="E63" s="27">
        <v>249.88155462055505</v>
      </c>
      <c r="F63" s="22">
        <v>249.88155462055505</v>
      </c>
    </row>
    <row r="64" spans="1:7" x14ac:dyDescent="0.25">
      <c r="A64" s="3" t="s">
        <v>10</v>
      </c>
      <c r="B64" s="30">
        <v>20</v>
      </c>
      <c r="C64" s="15">
        <v>6</v>
      </c>
      <c r="D64" s="25">
        <v>460</v>
      </c>
      <c r="E64" s="25">
        <v>287.36655462055501</v>
      </c>
      <c r="F64" s="20">
        <v>287.36655462055501</v>
      </c>
    </row>
    <row r="65" spans="1:7" x14ac:dyDescent="0.25">
      <c r="A65" s="3" t="s">
        <v>11</v>
      </c>
      <c r="B65" s="30">
        <v>20</v>
      </c>
      <c r="C65" s="15">
        <v>6</v>
      </c>
      <c r="D65" s="25">
        <v>460</v>
      </c>
      <c r="E65" s="25">
        <v>427.11512325367272</v>
      </c>
      <c r="F65" s="20">
        <v>427.11512325367272</v>
      </c>
    </row>
    <row r="66" spans="1:7" x14ac:dyDescent="0.25">
      <c r="A66" s="3" t="s">
        <v>16</v>
      </c>
      <c r="B66" s="24">
        <v>20</v>
      </c>
      <c r="C66" s="15">
        <v>6</v>
      </c>
      <c r="D66" s="25">
        <v>464.67341747189039</v>
      </c>
      <c r="E66" s="25">
        <v>508.30229544238728</v>
      </c>
      <c r="F66" s="20">
        <v>464.67341747189039</v>
      </c>
    </row>
    <row r="67" spans="1:7" x14ac:dyDescent="0.25">
      <c r="A67" s="3" t="s">
        <v>17</v>
      </c>
      <c r="B67" s="24">
        <v>22</v>
      </c>
      <c r="C67" s="15">
        <v>6</v>
      </c>
      <c r="D67" s="25">
        <v>511.14075921907948</v>
      </c>
      <c r="E67" s="25">
        <v>667.14676276813327</v>
      </c>
      <c r="F67" s="20">
        <v>511.14075921907948</v>
      </c>
    </row>
    <row r="68" spans="1:7" x14ac:dyDescent="0.25">
      <c r="A68" s="3" t="s">
        <v>18</v>
      </c>
      <c r="B68" s="24">
        <v>24</v>
      </c>
      <c r="C68" s="15">
        <v>6</v>
      </c>
      <c r="D68" s="25">
        <v>557.60810096626847</v>
      </c>
      <c r="E68" s="25">
        <v>825.99123009387938</v>
      </c>
      <c r="F68" s="20">
        <v>557.60810096626847</v>
      </c>
    </row>
    <row r="69" spans="1:7" x14ac:dyDescent="0.25">
      <c r="A69" s="3" t="s">
        <v>19</v>
      </c>
      <c r="B69" s="24">
        <v>24</v>
      </c>
      <c r="C69" s="15">
        <v>6</v>
      </c>
      <c r="D69" s="25">
        <v>557.60810096626847</v>
      </c>
      <c r="E69" s="25">
        <v>984.83569741962515</v>
      </c>
      <c r="F69" s="20">
        <v>557.60810096626847</v>
      </c>
    </row>
    <row r="70" spans="1:7" ht="30.75" customHeight="1" x14ac:dyDescent="0.25">
      <c r="A70" s="213" t="s">
        <v>63</v>
      </c>
      <c r="B70" s="213"/>
      <c r="C70" s="213"/>
      <c r="D70" s="213"/>
      <c r="E70" s="213"/>
      <c r="F70" s="213"/>
      <c r="G70" s="213"/>
    </row>
    <row r="71" spans="1:7" ht="33" customHeight="1" x14ac:dyDescent="0.25">
      <c r="A71" s="223" t="s">
        <v>68</v>
      </c>
      <c r="B71" s="213"/>
      <c r="C71" s="213"/>
      <c r="D71" s="213"/>
      <c r="E71" s="213"/>
      <c r="F71" s="213"/>
      <c r="G71" s="213"/>
    </row>
    <row r="72" spans="1:7" ht="18" x14ac:dyDescent="0.35">
      <c r="A72" s="6" t="s">
        <v>96</v>
      </c>
      <c r="B72" s="31"/>
      <c r="C72" s="32"/>
      <c r="D72" s="2"/>
      <c r="E72" s="33"/>
      <c r="F72" s="33"/>
      <c r="G72" s="34"/>
    </row>
    <row r="74" spans="1:7" ht="80.25" customHeight="1" x14ac:dyDescent="0.25">
      <c r="A74" s="218" t="s">
        <v>101</v>
      </c>
      <c r="B74" s="218"/>
      <c r="C74" s="218"/>
      <c r="D74" s="218"/>
      <c r="E74" s="218"/>
      <c r="F74" s="218"/>
      <c r="G74" s="218"/>
    </row>
  </sheetData>
  <sheetProtection algorithmName="SHA-512" hashValue="DlZu4TFKy3ZK0YBfM1RKFLmqnE9WRLRyR5wLZ0I/e+coL8fyT5qbFwhaGGv7Ke8HO/8PIUVcWPijwir1AEarVw==" saltValue="VkBwtZNU/yQWisiIM0sf4w==" spinCount="100000" sheet="1" objects="1" scenarios="1"/>
  <mergeCells count="12">
    <mergeCell ref="A74:G74"/>
    <mergeCell ref="A3:G3"/>
    <mergeCell ref="B7:B8"/>
    <mergeCell ref="C7:C8"/>
    <mergeCell ref="A24:G24"/>
    <mergeCell ref="B30:B31"/>
    <mergeCell ref="C30:C31"/>
    <mergeCell ref="A47:G47"/>
    <mergeCell ref="B53:B54"/>
    <mergeCell ref="C53:C54"/>
    <mergeCell ref="A70:G70"/>
    <mergeCell ref="A71:G7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AB71F-0B31-43CF-96E1-D414E962523A}">
  <dimension ref="A1:G74"/>
  <sheetViews>
    <sheetView workbookViewId="0">
      <selection activeCell="A3" sqref="A3:G3"/>
    </sheetView>
  </sheetViews>
  <sheetFormatPr baseColWidth="10" defaultColWidth="11.5703125" defaultRowHeight="15" x14ac:dyDescent="0.25"/>
  <cols>
    <col min="1" max="1" width="21.5703125" customWidth="1"/>
    <col min="2" max="2" width="22.7109375" customWidth="1"/>
    <col min="3" max="3" width="24.85546875" customWidth="1"/>
    <col min="4" max="5" width="17.42578125" customWidth="1"/>
    <col min="6" max="6" width="14.28515625" customWidth="1"/>
    <col min="7" max="7" width="17.28515625" customWidth="1"/>
    <col min="8" max="8" width="12.7109375" bestFit="1" customWidth="1"/>
    <col min="9" max="9" width="10.42578125" bestFit="1" customWidth="1"/>
    <col min="10" max="10" width="10.85546875" bestFit="1" customWidth="1"/>
  </cols>
  <sheetData>
    <row r="1" spans="1:7" x14ac:dyDescent="0.25">
      <c r="A1" s="1" t="s">
        <v>87</v>
      </c>
      <c r="E1" s="51" t="s">
        <v>74</v>
      </c>
      <c r="F1" s="50" t="s">
        <v>116</v>
      </c>
      <c r="G1" t="s">
        <v>70</v>
      </c>
    </row>
    <row r="2" spans="1:7" x14ac:dyDescent="0.25">
      <c r="G2" t="s">
        <v>102</v>
      </c>
    </row>
    <row r="3" spans="1:7" ht="91.5" customHeight="1" x14ac:dyDescent="0.25">
      <c r="A3" s="219" t="s">
        <v>103</v>
      </c>
      <c r="B3" s="219"/>
      <c r="C3" s="219"/>
      <c r="D3" s="219"/>
      <c r="E3" s="219"/>
      <c r="F3" s="219"/>
      <c r="G3" s="219"/>
    </row>
    <row r="4" spans="1:7" ht="21" x14ac:dyDescent="0.35">
      <c r="A4" s="28"/>
      <c r="B4" s="28"/>
      <c r="C4" s="28"/>
      <c r="D4" s="28"/>
      <c r="E4" s="28"/>
      <c r="F4" s="28"/>
      <c r="G4" s="28"/>
    </row>
    <row r="5" spans="1:7" x14ac:dyDescent="0.25">
      <c r="A5" s="1" t="s">
        <v>104</v>
      </c>
    </row>
    <row r="6" spans="1:7" x14ac:dyDescent="0.25">
      <c r="A6" s="5" t="s">
        <v>75</v>
      </c>
      <c r="B6" s="14" t="s">
        <v>76</v>
      </c>
      <c r="C6" s="14" t="s">
        <v>77</v>
      </c>
      <c r="D6" s="4" t="s">
        <v>78</v>
      </c>
      <c r="E6" s="3" t="s">
        <v>79</v>
      </c>
      <c r="F6" s="4"/>
      <c r="G6" s="3"/>
    </row>
    <row r="7" spans="1:7" ht="16.899999999999999" customHeight="1" x14ac:dyDescent="0.35">
      <c r="A7" s="6" t="s">
        <v>115</v>
      </c>
      <c r="B7" s="220" t="s">
        <v>105</v>
      </c>
      <c r="C7" s="220" t="s">
        <v>105</v>
      </c>
      <c r="D7" s="8" t="s">
        <v>13</v>
      </c>
      <c r="E7" s="8" t="s">
        <v>27</v>
      </c>
      <c r="F7" s="8" t="s">
        <v>28</v>
      </c>
      <c r="G7" s="12" t="s">
        <v>29</v>
      </c>
    </row>
    <row r="8" spans="1:7" x14ac:dyDescent="0.25">
      <c r="A8" s="7" t="s">
        <v>0</v>
      </c>
      <c r="B8" s="221"/>
      <c r="C8" s="221"/>
      <c r="D8" s="9" t="s">
        <v>0</v>
      </c>
      <c r="E8" s="9" t="s">
        <v>1</v>
      </c>
      <c r="F8" s="9" t="s">
        <v>1</v>
      </c>
      <c r="G8" s="13" t="s">
        <v>1</v>
      </c>
    </row>
    <row r="9" spans="1:7" x14ac:dyDescent="0.25">
      <c r="A9" s="3" t="s">
        <v>3</v>
      </c>
      <c r="B9" s="16">
        <v>4</v>
      </c>
      <c r="C9" s="15">
        <v>3</v>
      </c>
      <c r="D9" s="4">
        <v>60</v>
      </c>
      <c r="E9" s="25">
        <v>55.244506299435862</v>
      </c>
      <c r="F9" s="25">
        <v>57.745920000000005</v>
      </c>
      <c r="G9" s="20">
        <v>55.244506299435862</v>
      </c>
    </row>
    <row r="10" spans="1:7" x14ac:dyDescent="0.25">
      <c r="A10" s="3" t="s">
        <v>4</v>
      </c>
      <c r="B10" s="16">
        <v>6</v>
      </c>
      <c r="C10" s="15">
        <v>3</v>
      </c>
      <c r="D10" s="4">
        <v>100</v>
      </c>
      <c r="E10" s="25">
        <v>82.86675944915379</v>
      </c>
      <c r="F10" s="25">
        <v>68.95872</v>
      </c>
      <c r="G10" s="20">
        <v>68.95872</v>
      </c>
    </row>
    <row r="11" spans="1:7" x14ac:dyDescent="0.25">
      <c r="A11" s="3" t="s">
        <v>5</v>
      </c>
      <c r="B11" s="16">
        <v>8</v>
      </c>
      <c r="C11" s="15">
        <v>3</v>
      </c>
      <c r="D11" s="4">
        <v>140</v>
      </c>
      <c r="E11" s="25">
        <v>110.48901259887172</v>
      </c>
      <c r="F11" s="25">
        <v>80.171520000000015</v>
      </c>
      <c r="G11" s="20">
        <v>80.171520000000015</v>
      </c>
    </row>
    <row r="12" spans="1:7" ht="15.75" thickBot="1" x14ac:dyDescent="0.3">
      <c r="A12" s="10" t="s">
        <v>20</v>
      </c>
      <c r="B12" s="18">
        <v>8</v>
      </c>
      <c r="C12" s="17">
        <v>3</v>
      </c>
      <c r="D12" s="11">
        <v>180</v>
      </c>
      <c r="E12" s="26">
        <v>110.48901259887172</v>
      </c>
      <c r="F12" s="26">
        <v>91.384320000000002</v>
      </c>
      <c r="G12" s="21">
        <v>91.384320000000002</v>
      </c>
    </row>
    <row r="13" spans="1:7" ht="15.75" thickTop="1" x14ac:dyDescent="0.25">
      <c r="A13" s="7" t="s">
        <v>6</v>
      </c>
      <c r="B13" s="19">
        <v>8</v>
      </c>
      <c r="C13" s="19">
        <v>4</v>
      </c>
      <c r="D13" s="9">
        <v>60</v>
      </c>
      <c r="E13" s="27">
        <v>132.68213274274288</v>
      </c>
      <c r="F13" s="27">
        <v>159.744</v>
      </c>
      <c r="G13" s="22">
        <v>132.68213274274288</v>
      </c>
    </row>
    <row r="14" spans="1:7" x14ac:dyDescent="0.25">
      <c r="A14" s="3" t="s">
        <v>7</v>
      </c>
      <c r="B14" s="15">
        <v>10</v>
      </c>
      <c r="C14" s="15">
        <v>4</v>
      </c>
      <c r="D14" s="4">
        <v>100</v>
      </c>
      <c r="E14" s="25">
        <v>165.85266592842859</v>
      </c>
      <c r="F14" s="25">
        <v>179.71199999999999</v>
      </c>
      <c r="G14" s="20">
        <v>165.85266592842859</v>
      </c>
    </row>
    <row r="15" spans="1:7" x14ac:dyDescent="0.25">
      <c r="A15" s="3" t="s">
        <v>8</v>
      </c>
      <c r="B15" s="15">
        <v>12</v>
      </c>
      <c r="C15" s="15">
        <v>4</v>
      </c>
      <c r="D15" s="4">
        <v>140</v>
      </c>
      <c r="E15" s="25">
        <v>199.02319911411431</v>
      </c>
      <c r="F15" s="25">
        <v>199.68</v>
      </c>
      <c r="G15" s="20">
        <v>199.02319911411431</v>
      </c>
    </row>
    <row r="16" spans="1:7" ht="15.75" thickBot="1" x14ac:dyDescent="0.3">
      <c r="A16" s="10" t="s">
        <v>21</v>
      </c>
      <c r="B16" s="17">
        <v>14</v>
      </c>
      <c r="C16" s="17">
        <v>4</v>
      </c>
      <c r="D16" s="11">
        <v>180</v>
      </c>
      <c r="E16" s="26">
        <v>232.19373229979999</v>
      </c>
      <c r="F16" s="26">
        <v>219.648</v>
      </c>
      <c r="G16" s="21">
        <v>219.648</v>
      </c>
    </row>
    <row r="17" spans="1:7" ht="15.75" thickTop="1" x14ac:dyDescent="0.25">
      <c r="A17" s="7" t="s">
        <v>9</v>
      </c>
      <c r="B17" s="23">
        <v>12</v>
      </c>
      <c r="C17" s="19">
        <v>6</v>
      </c>
      <c r="D17" s="9">
        <v>60</v>
      </c>
      <c r="E17" s="27">
        <v>278.80405048313423</v>
      </c>
      <c r="F17" s="27">
        <v>353.28</v>
      </c>
      <c r="G17" s="22">
        <v>278.80405048313423</v>
      </c>
    </row>
    <row r="18" spans="1:7" x14ac:dyDescent="0.25">
      <c r="A18" s="3" t="s">
        <v>10</v>
      </c>
      <c r="B18" s="24">
        <v>20</v>
      </c>
      <c r="C18" s="15">
        <v>6</v>
      </c>
      <c r="D18" s="9">
        <v>100</v>
      </c>
      <c r="E18" s="25">
        <v>464.67341747189039</v>
      </c>
      <c r="F18" s="25">
        <v>384</v>
      </c>
      <c r="G18" s="20">
        <v>384</v>
      </c>
    </row>
    <row r="19" spans="1:7" x14ac:dyDescent="0.25">
      <c r="A19" s="3" t="s">
        <v>11</v>
      </c>
      <c r="B19" s="24">
        <v>20</v>
      </c>
      <c r="C19" s="15">
        <v>6</v>
      </c>
      <c r="D19" s="4">
        <v>140</v>
      </c>
      <c r="E19" s="25">
        <v>464.67341747189039</v>
      </c>
      <c r="F19" s="25">
        <v>414.71999999999997</v>
      </c>
      <c r="G19" s="20">
        <v>414.71999999999997</v>
      </c>
    </row>
    <row r="20" spans="1:7" x14ac:dyDescent="0.25">
      <c r="A20" s="3" t="s">
        <v>16</v>
      </c>
      <c r="B20" s="24">
        <v>20</v>
      </c>
      <c r="C20" s="15">
        <v>6</v>
      </c>
      <c r="D20" s="4">
        <v>180</v>
      </c>
      <c r="E20" s="25">
        <v>464.67341747189039</v>
      </c>
      <c r="F20" s="25">
        <v>445.44</v>
      </c>
      <c r="G20" s="20">
        <v>445.44</v>
      </c>
    </row>
    <row r="21" spans="1:7" x14ac:dyDescent="0.25">
      <c r="A21" s="3" t="s">
        <v>17</v>
      </c>
      <c r="B21" s="24">
        <v>22</v>
      </c>
      <c r="C21" s="15">
        <v>6</v>
      </c>
      <c r="D21" s="4">
        <v>220</v>
      </c>
      <c r="E21" s="25">
        <v>511.14075921907937</v>
      </c>
      <c r="F21" s="25">
        <v>476.15999999999997</v>
      </c>
      <c r="G21" s="20">
        <v>476.15999999999997</v>
      </c>
    </row>
    <row r="22" spans="1:7" x14ac:dyDescent="0.25">
      <c r="A22" s="3" t="s">
        <v>18</v>
      </c>
      <c r="B22" s="24">
        <v>24</v>
      </c>
      <c r="C22" s="15">
        <v>6</v>
      </c>
      <c r="D22" s="4">
        <v>260</v>
      </c>
      <c r="E22" s="25">
        <v>557.60810096626847</v>
      </c>
      <c r="F22" s="25">
        <v>506.88</v>
      </c>
      <c r="G22" s="20">
        <v>506.88</v>
      </c>
    </row>
    <row r="23" spans="1:7" x14ac:dyDescent="0.25">
      <c r="A23" s="3" t="s">
        <v>19</v>
      </c>
      <c r="B23" s="24">
        <v>24</v>
      </c>
      <c r="C23" s="15">
        <v>6</v>
      </c>
      <c r="D23" s="4">
        <v>300</v>
      </c>
      <c r="E23" s="25">
        <v>557.60810096626847</v>
      </c>
      <c r="F23" s="25">
        <v>537.59999999999991</v>
      </c>
      <c r="G23" s="20">
        <v>537.59999999999991</v>
      </c>
    </row>
    <row r="24" spans="1:7" ht="32.25" customHeight="1" x14ac:dyDescent="0.25">
      <c r="A24" s="222" t="s">
        <v>107</v>
      </c>
      <c r="B24" s="201"/>
      <c r="C24" s="201"/>
      <c r="D24" s="201"/>
      <c r="E24" s="201"/>
      <c r="F24" s="201"/>
      <c r="G24" s="201"/>
    </row>
    <row r="25" spans="1:7" ht="31.15" customHeight="1" x14ac:dyDescent="0.25">
      <c r="A25" s="223" t="s">
        <v>108</v>
      </c>
      <c r="B25" s="213"/>
      <c r="C25" s="213"/>
      <c r="D25" s="213"/>
      <c r="E25" s="213"/>
      <c r="F25" s="213"/>
      <c r="G25" s="213"/>
    </row>
    <row r="26" spans="1:7" ht="18" x14ac:dyDescent="0.35">
      <c r="A26" s="6" t="s">
        <v>109</v>
      </c>
      <c r="B26" s="31"/>
      <c r="C26" s="32"/>
      <c r="D26" s="2"/>
      <c r="E26" s="33"/>
      <c r="F26" s="33"/>
      <c r="G26" s="34"/>
    </row>
    <row r="28" spans="1:7" x14ac:dyDescent="0.25">
      <c r="A28" s="1" t="s">
        <v>23</v>
      </c>
    </row>
    <row r="29" spans="1:7" x14ac:dyDescent="0.25">
      <c r="A29" s="5" t="s">
        <v>2</v>
      </c>
      <c r="B29" s="14" t="s">
        <v>76</v>
      </c>
      <c r="C29" s="14" t="s">
        <v>77</v>
      </c>
      <c r="D29" s="4" t="s">
        <v>78</v>
      </c>
      <c r="E29" s="3" t="s">
        <v>79</v>
      </c>
      <c r="F29" s="4"/>
      <c r="G29" s="3"/>
    </row>
    <row r="30" spans="1:7" ht="16.899999999999999" customHeight="1" x14ac:dyDescent="0.35">
      <c r="A30" s="6" t="s">
        <v>106</v>
      </c>
      <c r="B30" s="220" t="s">
        <v>105</v>
      </c>
      <c r="C30" s="220" t="s">
        <v>105</v>
      </c>
      <c r="D30" s="8" t="s">
        <v>15</v>
      </c>
      <c r="E30" s="8" t="s">
        <v>30</v>
      </c>
      <c r="F30" s="8" t="s">
        <v>31</v>
      </c>
      <c r="G30" s="12" t="s">
        <v>32</v>
      </c>
    </row>
    <row r="31" spans="1:7" x14ac:dyDescent="0.25">
      <c r="A31" s="7" t="s">
        <v>0</v>
      </c>
      <c r="B31" s="221"/>
      <c r="C31" s="221"/>
      <c r="D31" s="9" t="s">
        <v>0</v>
      </c>
      <c r="E31" s="9" t="s">
        <v>1</v>
      </c>
      <c r="F31" s="9" t="s">
        <v>1</v>
      </c>
      <c r="G31" s="13" t="s">
        <v>1</v>
      </c>
    </row>
    <row r="32" spans="1:7" x14ac:dyDescent="0.25">
      <c r="A32" s="3" t="s">
        <v>3</v>
      </c>
      <c r="B32" s="16">
        <v>4</v>
      </c>
      <c r="C32" s="15">
        <v>3</v>
      </c>
      <c r="D32" s="4">
        <v>20</v>
      </c>
      <c r="E32" s="25">
        <v>55.244506299435862</v>
      </c>
      <c r="F32" s="25">
        <v>58.485120000000009</v>
      </c>
      <c r="G32" s="20">
        <v>55.244506299435862</v>
      </c>
    </row>
    <row r="33" spans="1:7" x14ac:dyDescent="0.25">
      <c r="A33" s="3" t="s">
        <v>4</v>
      </c>
      <c r="B33" s="16">
        <v>6</v>
      </c>
      <c r="C33" s="15">
        <v>3</v>
      </c>
      <c r="D33" s="4">
        <v>30</v>
      </c>
      <c r="E33" s="25">
        <v>82.86675944915379</v>
      </c>
      <c r="F33" s="25">
        <v>70.456320000000005</v>
      </c>
      <c r="G33" s="20">
        <v>70.456320000000005</v>
      </c>
    </row>
    <row r="34" spans="1:7" x14ac:dyDescent="0.25">
      <c r="A34" s="3" t="s">
        <v>5</v>
      </c>
      <c r="B34" s="16">
        <v>8</v>
      </c>
      <c r="C34" s="15">
        <v>3</v>
      </c>
      <c r="D34" s="4">
        <v>40</v>
      </c>
      <c r="E34" s="25">
        <v>110.48901259887172</v>
      </c>
      <c r="F34" s="25">
        <v>83.387520000000009</v>
      </c>
      <c r="G34" s="20">
        <v>83.387520000000009</v>
      </c>
    </row>
    <row r="35" spans="1:7" ht="15.75" thickBot="1" x14ac:dyDescent="0.3">
      <c r="A35" s="10" t="s">
        <v>20</v>
      </c>
      <c r="B35" s="18">
        <v>8</v>
      </c>
      <c r="C35" s="17">
        <v>3</v>
      </c>
      <c r="D35" s="11">
        <v>40</v>
      </c>
      <c r="E35" s="26">
        <v>110.48901259887172</v>
      </c>
      <c r="F35" s="26">
        <v>92.315520000000006</v>
      </c>
      <c r="G35" s="21">
        <v>92.315520000000006</v>
      </c>
    </row>
    <row r="36" spans="1:7" ht="15.75" thickTop="1" x14ac:dyDescent="0.25">
      <c r="A36" s="7" t="s">
        <v>6</v>
      </c>
      <c r="B36" s="19">
        <v>8</v>
      </c>
      <c r="C36" s="19">
        <v>4</v>
      </c>
      <c r="D36" s="9">
        <v>20</v>
      </c>
      <c r="E36" s="27">
        <v>132.68213274274288</v>
      </c>
      <c r="F36" s="27">
        <v>159.93600000000001</v>
      </c>
      <c r="G36" s="22">
        <v>132.68213274274288</v>
      </c>
    </row>
    <row r="37" spans="1:7" x14ac:dyDescent="0.25">
      <c r="A37" s="3" t="s">
        <v>7</v>
      </c>
      <c r="B37" s="15">
        <v>10</v>
      </c>
      <c r="C37" s="15">
        <v>4</v>
      </c>
      <c r="D37" s="4">
        <v>20</v>
      </c>
      <c r="E37" s="25">
        <v>165.85266592842859</v>
      </c>
      <c r="F37" s="25">
        <v>173.37600000000003</v>
      </c>
      <c r="G37" s="20">
        <v>165.85266592842859</v>
      </c>
    </row>
    <row r="38" spans="1:7" x14ac:dyDescent="0.25">
      <c r="A38" s="3" t="s">
        <v>8</v>
      </c>
      <c r="B38" s="15">
        <v>12</v>
      </c>
      <c r="C38" s="15">
        <v>4</v>
      </c>
      <c r="D38" s="4">
        <v>40</v>
      </c>
      <c r="E38" s="25">
        <v>199.02319911411433</v>
      </c>
      <c r="F38" s="25">
        <v>200.16</v>
      </c>
      <c r="G38" s="20">
        <v>199.02319911411433</v>
      </c>
    </row>
    <row r="39" spans="1:7" ht="15.75" thickBot="1" x14ac:dyDescent="0.3">
      <c r="A39" s="10" t="s">
        <v>21</v>
      </c>
      <c r="B39" s="17">
        <v>14</v>
      </c>
      <c r="C39" s="17">
        <v>4</v>
      </c>
      <c r="D39" s="11">
        <v>50</v>
      </c>
      <c r="E39" s="26">
        <v>232.19373229980005</v>
      </c>
      <c r="F39" s="26">
        <v>221.71200000000002</v>
      </c>
      <c r="G39" s="21">
        <v>221.71200000000002</v>
      </c>
    </row>
    <row r="40" spans="1:7" ht="15.75" thickTop="1" x14ac:dyDescent="0.25">
      <c r="A40" s="7" t="s">
        <v>9</v>
      </c>
      <c r="B40" s="23">
        <v>12</v>
      </c>
      <c r="C40" s="19">
        <v>6</v>
      </c>
      <c r="D40" s="9">
        <v>20</v>
      </c>
      <c r="E40" s="27">
        <v>278.80405048313423</v>
      </c>
      <c r="F40" s="27">
        <v>352.8</v>
      </c>
      <c r="G40" s="22">
        <v>278.80405048313423</v>
      </c>
    </row>
    <row r="41" spans="1:7" x14ac:dyDescent="0.25">
      <c r="A41" s="3" t="s">
        <v>10</v>
      </c>
      <c r="B41" s="24">
        <v>20</v>
      </c>
      <c r="C41" s="15">
        <v>6</v>
      </c>
      <c r="D41" s="4">
        <v>40</v>
      </c>
      <c r="E41" s="25">
        <v>464.67341747189039</v>
      </c>
      <c r="F41" s="25">
        <v>390.71999999999997</v>
      </c>
      <c r="G41" s="20">
        <v>390.71999999999997</v>
      </c>
    </row>
    <row r="42" spans="1:7" x14ac:dyDescent="0.25">
      <c r="A42" s="3" t="s">
        <v>11</v>
      </c>
      <c r="B42" s="24">
        <v>20</v>
      </c>
      <c r="C42" s="15">
        <v>6</v>
      </c>
      <c r="D42" s="4">
        <v>50</v>
      </c>
      <c r="E42" s="25">
        <v>464.67341747189039</v>
      </c>
      <c r="F42" s="25">
        <v>421.19999999999993</v>
      </c>
      <c r="G42" s="20">
        <v>421.19999999999993</v>
      </c>
    </row>
    <row r="43" spans="1:7" x14ac:dyDescent="0.25">
      <c r="A43" s="3" t="s">
        <v>16</v>
      </c>
      <c r="B43" s="24">
        <v>20</v>
      </c>
      <c r="C43" s="15">
        <v>6</v>
      </c>
      <c r="D43" s="4">
        <v>60</v>
      </c>
      <c r="E43" s="25">
        <v>464.67341747189039</v>
      </c>
      <c r="F43" s="25">
        <v>452.64</v>
      </c>
      <c r="G43" s="20">
        <v>452.64</v>
      </c>
    </row>
    <row r="44" spans="1:7" x14ac:dyDescent="0.25">
      <c r="A44" s="3" t="s">
        <v>17</v>
      </c>
      <c r="B44" s="24">
        <v>22</v>
      </c>
      <c r="C44" s="15">
        <v>6</v>
      </c>
      <c r="D44" s="4">
        <v>70</v>
      </c>
      <c r="E44" s="25">
        <v>511.14075921907948</v>
      </c>
      <c r="F44" s="25">
        <v>485.03999999999996</v>
      </c>
      <c r="G44" s="20">
        <v>485.03999999999996</v>
      </c>
    </row>
    <row r="45" spans="1:7" x14ac:dyDescent="0.25">
      <c r="A45" s="3" t="s">
        <v>18</v>
      </c>
      <c r="B45" s="24">
        <v>24</v>
      </c>
      <c r="C45" s="15">
        <v>6</v>
      </c>
      <c r="D45" s="4">
        <v>80</v>
      </c>
      <c r="E45" s="25">
        <v>557.60810096626847</v>
      </c>
      <c r="F45" s="25">
        <v>518.4</v>
      </c>
      <c r="G45" s="20">
        <v>518.4</v>
      </c>
    </row>
    <row r="46" spans="1:7" x14ac:dyDescent="0.25">
      <c r="A46" s="3" t="s">
        <v>19</v>
      </c>
      <c r="B46" s="24">
        <v>24</v>
      </c>
      <c r="C46" s="15">
        <v>6</v>
      </c>
      <c r="D46" s="4">
        <v>90</v>
      </c>
      <c r="E46" s="25">
        <v>557.60810096626847</v>
      </c>
      <c r="F46" s="25">
        <v>552.72</v>
      </c>
      <c r="G46" s="20">
        <v>552.72</v>
      </c>
    </row>
    <row r="47" spans="1:7" ht="30.75" customHeight="1" x14ac:dyDescent="0.25">
      <c r="A47" s="222" t="s">
        <v>83</v>
      </c>
      <c r="B47" s="201"/>
      <c r="C47" s="201"/>
      <c r="D47" s="201"/>
      <c r="E47" s="201"/>
      <c r="F47" s="201"/>
      <c r="G47" s="201"/>
    </row>
    <row r="48" spans="1:7" ht="32.450000000000003" customHeight="1" x14ac:dyDescent="0.35">
      <c r="A48" s="223" t="s">
        <v>112</v>
      </c>
      <c r="B48" s="213"/>
      <c r="C48" s="213"/>
      <c r="D48" s="213"/>
      <c r="E48" s="213"/>
      <c r="F48" s="213"/>
      <c r="G48" s="213"/>
    </row>
    <row r="49" spans="1:7" ht="18" x14ac:dyDescent="0.35">
      <c r="A49" s="6" t="s">
        <v>110</v>
      </c>
      <c r="B49" s="31"/>
      <c r="C49" s="32"/>
      <c r="D49" s="2"/>
      <c r="E49" s="33"/>
      <c r="F49" s="33"/>
      <c r="G49" s="34"/>
    </row>
    <row r="51" spans="1:7" x14ac:dyDescent="0.25">
      <c r="A51" s="1" t="s">
        <v>85</v>
      </c>
    </row>
    <row r="52" spans="1:7" x14ac:dyDescent="0.25">
      <c r="A52" s="5" t="s">
        <v>2</v>
      </c>
      <c r="B52" s="14" t="s">
        <v>76</v>
      </c>
      <c r="C52" s="14" t="s">
        <v>77</v>
      </c>
      <c r="D52" s="3" t="s">
        <v>79</v>
      </c>
      <c r="E52" s="4"/>
      <c r="F52" s="3"/>
    </row>
    <row r="53" spans="1:7" ht="16.899999999999999" customHeight="1" x14ac:dyDescent="0.35">
      <c r="A53" s="6" t="s">
        <v>106</v>
      </c>
      <c r="B53" s="220" t="s">
        <v>105</v>
      </c>
      <c r="C53" s="220" t="s">
        <v>105</v>
      </c>
      <c r="D53" s="8" t="s">
        <v>33</v>
      </c>
      <c r="E53" s="8" t="s">
        <v>34</v>
      </c>
      <c r="F53" s="12" t="s">
        <v>35</v>
      </c>
    </row>
    <row r="54" spans="1:7" x14ac:dyDescent="0.25">
      <c r="A54" s="7" t="s">
        <v>0</v>
      </c>
      <c r="B54" s="221"/>
      <c r="C54" s="221"/>
      <c r="D54" s="9" t="s">
        <v>1</v>
      </c>
      <c r="E54" s="9" t="s">
        <v>1</v>
      </c>
      <c r="F54" s="13" t="s">
        <v>1</v>
      </c>
    </row>
    <row r="55" spans="1:7" x14ac:dyDescent="0.25">
      <c r="A55" s="3" t="s">
        <v>3</v>
      </c>
      <c r="B55" s="16">
        <v>4</v>
      </c>
      <c r="C55" s="15">
        <v>3</v>
      </c>
      <c r="D55" s="25">
        <v>55.244506299435862</v>
      </c>
      <c r="E55" s="25">
        <v>58.881757062544345</v>
      </c>
      <c r="F55" s="20">
        <v>55.244506299435862</v>
      </c>
    </row>
    <row r="56" spans="1:7" x14ac:dyDescent="0.25">
      <c r="A56" s="3" t="s">
        <v>4</v>
      </c>
      <c r="B56" s="16">
        <v>6</v>
      </c>
      <c r="C56" s="15">
        <v>3</v>
      </c>
      <c r="D56" s="25">
        <v>82.86675944915379</v>
      </c>
      <c r="E56" s="25">
        <v>113.30905335903216</v>
      </c>
      <c r="F56" s="20">
        <v>82.86675944915379</v>
      </c>
    </row>
    <row r="57" spans="1:7" x14ac:dyDescent="0.25">
      <c r="A57" s="3" t="s">
        <v>5</v>
      </c>
      <c r="B57" s="16">
        <v>8</v>
      </c>
      <c r="C57" s="15">
        <v>3</v>
      </c>
      <c r="D57" s="25">
        <v>110.48901259887172</v>
      </c>
      <c r="E57" s="25">
        <v>207.73326449155897</v>
      </c>
      <c r="F57" s="20">
        <v>110.48901259887172</v>
      </c>
    </row>
    <row r="58" spans="1:7" ht="15.75" thickBot="1" x14ac:dyDescent="0.3">
      <c r="A58" s="10" t="s">
        <v>20</v>
      </c>
      <c r="B58" s="18">
        <v>8</v>
      </c>
      <c r="C58" s="17">
        <v>3</v>
      </c>
      <c r="D58" s="26">
        <v>110.48901259887172</v>
      </c>
      <c r="E58" s="26">
        <v>302.15747562408581</v>
      </c>
      <c r="F58" s="21">
        <v>110.48901259887172</v>
      </c>
    </row>
    <row r="59" spans="1:7" ht="15.75" thickTop="1" x14ac:dyDescent="0.25">
      <c r="A59" s="7" t="s">
        <v>6</v>
      </c>
      <c r="B59" s="19">
        <v>8</v>
      </c>
      <c r="C59" s="19">
        <v>4</v>
      </c>
      <c r="D59" s="27">
        <v>132.68213274274288</v>
      </c>
      <c r="E59" s="27">
        <v>129.84959763935976</v>
      </c>
      <c r="F59" s="22">
        <v>129.84959763935976</v>
      </c>
    </row>
    <row r="60" spans="1:7" x14ac:dyDescent="0.25">
      <c r="A60" s="3" t="s">
        <v>7</v>
      </c>
      <c r="B60" s="15">
        <v>10</v>
      </c>
      <c r="C60" s="15">
        <v>4</v>
      </c>
      <c r="D60" s="25">
        <v>165.85266592842859</v>
      </c>
      <c r="E60" s="25">
        <v>165.47534163935975</v>
      </c>
      <c r="F60" s="20">
        <v>165.47534163935975</v>
      </c>
    </row>
    <row r="61" spans="1:7" x14ac:dyDescent="0.25">
      <c r="A61" s="3" t="s">
        <v>8</v>
      </c>
      <c r="B61" s="15">
        <v>12</v>
      </c>
      <c r="C61" s="15">
        <v>4</v>
      </c>
      <c r="D61" s="25">
        <v>199.02319911411433</v>
      </c>
      <c r="E61" s="25">
        <v>228.73603294907426</v>
      </c>
      <c r="F61" s="20">
        <v>199.02319911411433</v>
      </c>
    </row>
    <row r="62" spans="1:7" ht="15.75" thickBot="1" x14ac:dyDescent="0.3">
      <c r="A62" s="10" t="s">
        <v>21</v>
      </c>
      <c r="B62" s="17">
        <v>14</v>
      </c>
      <c r="C62" s="17">
        <v>4</v>
      </c>
      <c r="D62" s="26">
        <v>232.19373229980005</v>
      </c>
      <c r="E62" s="26">
        <v>355.8116068096711</v>
      </c>
      <c r="F62" s="21">
        <v>232.19373229980005</v>
      </c>
    </row>
    <row r="63" spans="1:7" ht="15.75" thickTop="1" x14ac:dyDescent="0.25">
      <c r="A63" s="7" t="s">
        <v>9</v>
      </c>
      <c r="B63" s="29">
        <v>12</v>
      </c>
      <c r="C63" s="19">
        <v>6</v>
      </c>
      <c r="D63" s="27">
        <v>276</v>
      </c>
      <c r="E63" s="27">
        <v>249.88155462055505</v>
      </c>
      <c r="F63" s="22">
        <v>249.88155462055505</v>
      </c>
    </row>
    <row r="64" spans="1:7" x14ac:dyDescent="0.25">
      <c r="A64" s="3" t="s">
        <v>10</v>
      </c>
      <c r="B64" s="30">
        <v>20</v>
      </c>
      <c r="C64" s="15">
        <v>6</v>
      </c>
      <c r="D64" s="25">
        <v>460</v>
      </c>
      <c r="E64" s="25">
        <v>287.36655462055501</v>
      </c>
      <c r="F64" s="20">
        <v>287.36655462055501</v>
      </c>
    </row>
    <row r="65" spans="1:7" x14ac:dyDescent="0.25">
      <c r="A65" s="3" t="s">
        <v>11</v>
      </c>
      <c r="B65" s="30">
        <v>20</v>
      </c>
      <c r="C65" s="15">
        <v>6</v>
      </c>
      <c r="D65" s="25">
        <v>460</v>
      </c>
      <c r="E65" s="25">
        <v>427.11512325367272</v>
      </c>
      <c r="F65" s="20">
        <v>427.11512325367272</v>
      </c>
    </row>
    <row r="66" spans="1:7" x14ac:dyDescent="0.25">
      <c r="A66" s="3" t="s">
        <v>16</v>
      </c>
      <c r="B66" s="24">
        <v>20</v>
      </c>
      <c r="C66" s="15">
        <v>6</v>
      </c>
      <c r="D66" s="25">
        <v>464.67341747189039</v>
      </c>
      <c r="E66" s="25">
        <v>508.30229544238728</v>
      </c>
      <c r="F66" s="20">
        <v>464.67341747189039</v>
      </c>
    </row>
    <row r="67" spans="1:7" x14ac:dyDescent="0.25">
      <c r="A67" s="3" t="s">
        <v>17</v>
      </c>
      <c r="B67" s="24">
        <v>22</v>
      </c>
      <c r="C67" s="15">
        <v>6</v>
      </c>
      <c r="D67" s="25">
        <v>511.14075921907948</v>
      </c>
      <c r="E67" s="25">
        <v>667.14676276813327</v>
      </c>
      <c r="F67" s="20">
        <v>511.14075921907948</v>
      </c>
    </row>
    <row r="68" spans="1:7" x14ac:dyDescent="0.25">
      <c r="A68" s="3" t="s">
        <v>18</v>
      </c>
      <c r="B68" s="24">
        <v>24</v>
      </c>
      <c r="C68" s="15">
        <v>6</v>
      </c>
      <c r="D68" s="25">
        <v>557.60810096626847</v>
      </c>
      <c r="E68" s="25">
        <v>825.99123009387938</v>
      </c>
      <c r="F68" s="20">
        <v>557.60810096626847</v>
      </c>
    </row>
    <row r="69" spans="1:7" x14ac:dyDescent="0.25">
      <c r="A69" s="3" t="s">
        <v>19</v>
      </c>
      <c r="B69" s="24">
        <v>24</v>
      </c>
      <c r="C69" s="15">
        <v>6</v>
      </c>
      <c r="D69" s="25">
        <v>557.60810096626847</v>
      </c>
      <c r="E69" s="25">
        <v>984.83569741962515</v>
      </c>
      <c r="F69" s="20">
        <v>557.60810096626847</v>
      </c>
    </row>
    <row r="70" spans="1:7" ht="30.75" customHeight="1" x14ac:dyDescent="0.25">
      <c r="A70" s="213" t="s">
        <v>83</v>
      </c>
      <c r="B70" s="213"/>
      <c r="C70" s="213"/>
      <c r="D70" s="213"/>
      <c r="E70" s="213"/>
      <c r="F70" s="213"/>
      <c r="G70" s="213"/>
    </row>
    <row r="71" spans="1:7" ht="33" customHeight="1" x14ac:dyDescent="0.25">
      <c r="A71" s="223" t="s">
        <v>86</v>
      </c>
      <c r="B71" s="213"/>
      <c r="C71" s="213"/>
      <c r="D71" s="213"/>
      <c r="E71" s="213"/>
      <c r="F71" s="213"/>
      <c r="G71" s="213"/>
    </row>
    <row r="72" spans="1:7" ht="18" x14ac:dyDescent="0.35">
      <c r="A72" s="6" t="s">
        <v>111</v>
      </c>
      <c r="B72" s="31"/>
      <c r="C72" s="32"/>
      <c r="D72" s="2"/>
      <c r="E72" s="33"/>
      <c r="F72" s="33"/>
      <c r="G72" s="34"/>
    </row>
    <row r="74" spans="1:7" ht="80.25" customHeight="1" x14ac:dyDescent="0.25">
      <c r="A74" s="218" t="s">
        <v>113</v>
      </c>
      <c r="B74" s="218"/>
      <c r="C74" s="218"/>
      <c r="D74" s="218"/>
      <c r="E74" s="218"/>
      <c r="F74" s="218"/>
      <c r="G74" s="218"/>
    </row>
  </sheetData>
  <mergeCells count="14">
    <mergeCell ref="A74:G74"/>
    <mergeCell ref="A48:G48"/>
    <mergeCell ref="A3:G3"/>
    <mergeCell ref="B7:B8"/>
    <mergeCell ref="C7:C8"/>
    <mergeCell ref="A24:G24"/>
    <mergeCell ref="B30:B31"/>
    <mergeCell ref="C30:C31"/>
    <mergeCell ref="A25:G25"/>
    <mergeCell ref="A47:G47"/>
    <mergeCell ref="B53:B54"/>
    <mergeCell ref="C53:C54"/>
    <mergeCell ref="A70:G70"/>
    <mergeCell ref="A71:G7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57636-DBA6-47DA-8067-2735D08DFFC5}">
  <dimension ref="A1"/>
  <sheetViews>
    <sheetView workbookViewId="0">
      <selection activeCell="H17" sqref="H17"/>
    </sheetView>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vt:i4>
      </vt:variant>
    </vt:vector>
  </HeadingPairs>
  <TitlesOfParts>
    <vt:vector size="7" baseType="lpstr">
      <vt:lpstr>Belastungstabelle_Website</vt:lpstr>
      <vt:lpstr>Herleitung</vt:lpstr>
      <vt:lpstr>Übersetzungen</vt:lpstr>
      <vt:lpstr>EN</vt:lpstr>
      <vt:lpstr>FR</vt:lpstr>
      <vt:lpstr>ES</vt:lpstr>
      <vt:lpstr>Belastungstabelle_Website!Druckbereich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Joachim Blaß</dc:creator>
  <cp:lastModifiedBy>Torsten Langejürgen, Knapp GmbH</cp:lastModifiedBy>
  <cp:lastPrinted>2025-11-20T15:55:03Z</cp:lastPrinted>
  <dcterms:created xsi:type="dcterms:W3CDTF">2024-10-31T08:09:07Z</dcterms:created>
  <dcterms:modified xsi:type="dcterms:W3CDTF">2025-12-18T07:25:01Z</dcterms:modified>
</cp:coreProperties>
</file>