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comments1.xml" ContentType="application/vnd.openxmlformats-officedocument.spreadsheetml.comments+xml"/>
  <Override PartName="/xl/drawings/drawing2.xml" ContentType="application/vnd.openxmlformats-officedocument.drawing+xml"/>
  <Override PartName="/xl/embeddings/oleObject10.bin" ContentType="application/vnd.openxmlformats-officedocument.oleObject"/>
  <Override PartName="/xl/comments2.xml" ContentType="application/vnd.openxmlformats-officedocument.spreadsheetml.comments+xml"/>
  <Override PartName="/xl/drawings/drawing3.xml" ContentType="application/vnd.openxmlformats-officedocument.drawing+xml"/>
  <Override PartName="/xl/embeddings/oleObject11.bin" ContentType="application/vnd.openxmlformats-officedocument.oleObject"/>
  <Override PartName="/xl/embeddings/oleObject12.bin" ContentType="application/vnd.openxmlformats-officedocument.oleObject"/>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D9CA" lockStructure="1"/>
  <bookViews>
    <workbookView xWindow="360" yWindow="915" windowWidth="18075" windowHeight="10860" tabRatio="611"/>
  </bookViews>
  <sheets>
    <sheet name="Bemessung" sheetId="1" r:id="rId1"/>
    <sheet name="Berechnungstabellen" sheetId="4" state="hidden" r:id="rId2"/>
    <sheet name="Herleitung" sheetId="2" state="hidden" r:id="rId3"/>
    <sheet name="Schraubenlängen" sheetId="3" state="hidden" r:id="rId4"/>
  </sheets>
  <definedNames>
    <definedName name="_xlnm.Print_Area" localSheetId="0">Bemessung!$A$1:$I$140</definedName>
  </definedNames>
  <calcPr calcId="145621"/>
</workbook>
</file>

<file path=xl/calcChain.xml><?xml version="1.0" encoding="utf-8"?>
<calcChain xmlns="http://schemas.openxmlformats.org/spreadsheetml/2006/main">
  <c r="C35" i="1" l="1"/>
  <c r="H24" i="1" l="1"/>
  <c r="S160" i="2" l="1"/>
  <c r="R160" i="2"/>
  <c r="Q160" i="2"/>
  <c r="P160" i="2"/>
  <c r="O160" i="2"/>
  <c r="S72" i="2"/>
  <c r="R72" i="2"/>
  <c r="Q72" i="2"/>
  <c r="P72" i="2"/>
  <c r="O72" i="2"/>
  <c r="S9" i="2"/>
  <c r="R9" i="2"/>
  <c r="Q9" i="2"/>
  <c r="P9" i="2"/>
  <c r="O9" i="2"/>
  <c r="B36" i="4" s="1"/>
  <c r="A42" i="1"/>
  <c r="G19" i="1"/>
  <c r="B37" i="1" l="1"/>
  <c r="S77" i="2" l="1"/>
  <c r="R77" i="2"/>
  <c r="Q77" i="2"/>
  <c r="P77" i="2"/>
  <c r="G23" i="1" l="1"/>
  <c r="G22" i="1"/>
  <c r="G21" i="1"/>
  <c r="G20" i="1"/>
  <c r="F19" i="1"/>
  <c r="D5" i="3"/>
  <c r="O77" i="2" l="1"/>
  <c r="E83" i="1"/>
  <c r="F83" i="1"/>
  <c r="F84" i="1" s="1"/>
  <c r="E32" i="2"/>
  <c r="J24" i="2"/>
  <c r="J23" i="2" s="1"/>
  <c r="E108" i="2" s="1"/>
  <c r="C34" i="1"/>
  <c r="J52" i="2" l="1"/>
  <c r="P162" i="2"/>
  <c r="Q162" i="2"/>
  <c r="R162" i="2"/>
  <c r="S162" i="2"/>
  <c r="P166" i="2"/>
  <c r="Q166" i="2"/>
  <c r="R166" i="2"/>
  <c r="S166" i="2"/>
  <c r="P167" i="2"/>
  <c r="Q167" i="2"/>
  <c r="R167" i="2"/>
  <c r="S167" i="2"/>
  <c r="P170" i="2"/>
  <c r="Q170" i="2"/>
  <c r="R170" i="2"/>
  <c r="S170" i="2"/>
  <c r="P171" i="2"/>
  <c r="Q171" i="2"/>
  <c r="R171" i="2"/>
  <c r="S171" i="2"/>
  <c r="P172" i="2"/>
  <c r="Q172" i="2"/>
  <c r="R172" i="2"/>
  <c r="S172" i="2"/>
  <c r="O172" i="2"/>
  <c r="O171" i="2"/>
  <c r="O170" i="2"/>
  <c r="O167" i="2"/>
  <c r="O166" i="2"/>
  <c r="O162" i="2"/>
  <c r="P74" i="2"/>
  <c r="Q74" i="2"/>
  <c r="R74" i="2"/>
  <c r="S74" i="2"/>
  <c r="P78" i="2"/>
  <c r="Q78" i="2"/>
  <c r="R78" i="2"/>
  <c r="S78" i="2"/>
  <c r="P79" i="2"/>
  <c r="Q79" i="2"/>
  <c r="R79" i="2"/>
  <c r="S79" i="2"/>
  <c r="P82" i="2"/>
  <c r="Q82" i="2"/>
  <c r="R82" i="2"/>
  <c r="S82" i="2"/>
  <c r="P83" i="2"/>
  <c r="Q83" i="2"/>
  <c r="R83" i="2"/>
  <c r="S83" i="2"/>
  <c r="P84" i="2"/>
  <c r="Q84" i="2"/>
  <c r="R84" i="2"/>
  <c r="S84" i="2"/>
  <c r="O84" i="2"/>
  <c r="O83" i="2"/>
  <c r="O82" i="2"/>
  <c r="O79" i="2"/>
  <c r="O78" i="2"/>
  <c r="O74" i="2"/>
  <c r="E72" i="1"/>
  <c r="G75" i="1"/>
  <c r="E75" i="1" s="1"/>
  <c r="J21" i="4" l="1"/>
  <c r="D40" i="2" s="1"/>
  <c r="E33" i="1"/>
  <c r="M22" i="4" s="1"/>
  <c r="I97" i="2" s="1"/>
  <c r="P21" i="4"/>
  <c r="P22" i="4"/>
  <c r="P23" i="4"/>
  <c r="P24" i="4"/>
  <c r="P25" i="4"/>
  <c r="P26" i="4"/>
  <c r="P28" i="4"/>
  <c r="P29" i="4"/>
  <c r="B73" i="1" s="1"/>
  <c r="O25" i="2" s="1"/>
  <c r="Q25" i="2" s="1"/>
  <c r="P30" i="4"/>
  <c r="P31" i="4"/>
  <c r="P32" i="4"/>
  <c r="P27" i="4"/>
  <c r="O24" i="2"/>
  <c r="C83" i="1"/>
  <c r="D75" i="1"/>
  <c r="B75" i="1" s="1"/>
  <c r="J23" i="4" l="1"/>
  <c r="D96" i="2"/>
  <c r="I41" i="2"/>
  <c r="M29" i="4"/>
  <c r="M28" i="4"/>
  <c r="M21" i="4"/>
  <c r="M25" i="4"/>
  <c r="M32" i="4"/>
  <c r="M24" i="4"/>
  <c r="J30" i="4"/>
  <c r="J26" i="4"/>
  <c r="J32" i="4"/>
  <c r="J28" i="4"/>
  <c r="J24" i="4"/>
  <c r="M31" i="4"/>
  <c r="M27" i="4"/>
  <c r="M23" i="4"/>
  <c r="J22" i="4"/>
  <c r="J29" i="4"/>
  <c r="J25" i="4"/>
  <c r="J31" i="4"/>
  <c r="J27" i="4"/>
  <c r="M30" i="4"/>
  <c r="M26" i="4"/>
  <c r="C96" i="4"/>
  <c r="D96" i="4"/>
  <c r="E96" i="4"/>
  <c r="F96" i="4"/>
  <c r="C97" i="4"/>
  <c r="D97" i="4"/>
  <c r="E97" i="4"/>
  <c r="F97" i="4"/>
  <c r="B97" i="4"/>
  <c r="B96" i="4"/>
  <c r="B31" i="1"/>
  <c r="B30" i="1"/>
  <c r="C64" i="4"/>
  <c r="D64" i="4"/>
  <c r="E64" i="4"/>
  <c r="D81" i="4" s="1"/>
  <c r="F64" i="4"/>
  <c r="E81" i="4" s="1"/>
  <c r="B64" i="4"/>
  <c r="A46" i="1"/>
  <c r="A45" i="1"/>
  <c r="A44" i="1"/>
  <c r="A43" i="1"/>
  <c r="F36" i="4"/>
  <c r="E36" i="4"/>
  <c r="D36" i="4"/>
  <c r="C36" i="4"/>
  <c r="K32" i="4"/>
  <c r="H32" i="4"/>
  <c r="K31" i="4"/>
  <c r="H31" i="4"/>
  <c r="K30" i="4"/>
  <c r="H30" i="4"/>
  <c r="K29" i="4"/>
  <c r="B33" i="1" s="1"/>
  <c r="H29" i="4"/>
  <c r="B32" i="1" s="1"/>
  <c r="K28" i="4"/>
  <c r="H28" i="4"/>
  <c r="K27" i="4"/>
  <c r="H27" i="4"/>
  <c r="K26" i="4"/>
  <c r="H26" i="4"/>
  <c r="K25" i="4"/>
  <c r="H25" i="4"/>
  <c r="K24" i="4"/>
  <c r="H24" i="4"/>
  <c r="K23" i="4"/>
  <c r="H23" i="4"/>
  <c r="K22" i="4"/>
  <c r="H22" i="4"/>
  <c r="K21" i="4"/>
  <c r="H21" i="4"/>
  <c r="G24" i="1"/>
  <c r="C32" i="1"/>
  <c r="C81" i="4" l="1"/>
  <c r="B81" i="4"/>
  <c r="D53" i="4"/>
  <c r="E53" i="4"/>
  <c r="B86" i="4"/>
  <c r="B53" i="4"/>
  <c r="F53" i="4"/>
  <c r="C86" i="4"/>
  <c r="I101" i="2"/>
  <c r="I45" i="2"/>
  <c r="D100" i="2"/>
  <c r="D44" i="2"/>
  <c r="I102" i="2"/>
  <c r="I46" i="2"/>
  <c r="D107" i="2"/>
  <c r="D51" i="2"/>
  <c r="I107" i="2"/>
  <c r="I51" i="2"/>
  <c r="I104" i="2"/>
  <c r="I48" i="2"/>
  <c r="C53" i="4"/>
  <c r="D86" i="4"/>
  <c r="I105" i="2"/>
  <c r="I49" i="2"/>
  <c r="G18" i="2"/>
  <c r="D104" i="2"/>
  <c r="D48" i="2"/>
  <c r="I106" i="2"/>
  <c r="I50" i="2"/>
  <c r="D101" i="2"/>
  <c r="D45" i="2"/>
  <c r="I100" i="2"/>
  <c r="I44" i="2"/>
  <c r="E86" i="4"/>
  <c r="D102" i="2"/>
  <c r="D46" i="2"/>
  <c r="D97" i="2"/>
  <c r="D41" i="2"/>
  <c r="D99" i="2"/>
  <c r="D43" i="2"/>
  <c r="D105" i="2"/>
  <c r="D49" i="2"/>
  <c r="I96" i="2"/>
  <c r="I40" i="2"/>
  <c r="F86" i="4"/>
  <c r="D106" i="2"/>
  <c r="D50" i="2"/>
  <c r="I98" i="2"/>
  <c r="I42" i="2"/>
  <c r="D103" i="2"/>
  <c r="D47" i="2"/>
  <c r="I99" i="2"/>
  <c r="I43" i="2"/>
  <c r="I103" i="2"/>
  <c r="I47" i="2"/>
  <c r="D98" i="2"/>
  <c r="D42" i="2"/>
  <c r="G16" i="2"/>
  <c r="G20" i="2"/>
  <c r="G19" i="2"/>
  <c r="G21" i="2"/>
  <c r="G17" i="2"/>
  <c r="E29" i="1" l="1"/>
  <c r="H96" i="1"/>
  <c r="D34" i="3"/>
  <c r="D35" i="3"/>
  <c r="D36" i="3"/>
  <c r="D37" i="3"/>
  <c r="D38" i="3"/>
  <c r="D39" i="3"/>
  <c r="D40" i="3"/>
  <c r="D41" i="3"/>
  <c r="D42" i="3"/>
  <c r="D43" i="3"/>
  <c r="D44" i="3"/>
  <c r="D45" i="3"/>
  <c r="D46" i="3"/>
  <c r="D47" i="3"/>
  <c r="D48" i="3"/>
  <c r="D49" i="3"/>
  <c r="D50" i="3"/>
  <c r="D51" i="3"/>
  <c r="D52" i="3"/>
  <c r="D53" i="3"/>
  <c r="D33" i="3"/>
  <c r="D7" i="3"/>
  <c r="D8" i="3"/>
  <c r="D9" i="3"/>
  <c r="D10" i="3"/>
  <c r="D11" i="3"/>
  <c r="D12" i="3"/>
  <c r="D13" i="3"/>
  <c r="D14" i="3"/>
  <c r="D15" i="3"/>
  <c r="D16" i="3"/>
  <c r="D17" i="3"/>
  <c r="D18" i="3"/>
  <c r="D19" i="3"/>
  <c r="D20" i="3"/>
  <c r="D21" i="3"/>
  <c r="D22" i="3"/>
  <c r="D6" i="3"/>
  <c r="F2" i="3"/>
  <c r="G3" i="3"/>
  <c r="C126" i="1"/>
  <c r="C125" i="1"/>
  <c r="C121" i="1"/>
  <c r="C123" i="1" s="1"/>
  <c r="C100" i="1"/>
  <c r="C110" i="1" s="1"/>
  <c r="O23" i="2"/>
  <c r="C37" i="1"/>
  <c r="C106" i="1"/>
  <c r="C104" i="1"/>
  <c r="C105" i="1" s="1"/>
  <c r="D96" i="1"/>
  <c r="H3" i="3" s="1"/>
  <c r="A86" i="1"/>
  <c r="E86" i="1"/>
  <c r="B83" i="1"/>
  <c r="G84" i="1"/>
  <c r="G80" i="1"/>
  <c r="H80" i="1" s="1"/>
  <c r="D83" i="1"/>
  <c r="D97" i="1"/>
  <c r="C97" i="1"/>
  <c r="F70" i="1"/>
  <c r="E70" i="1"/>
  <c r="C70" i="1"/>
  <c r="B70" i="1"/>
  <c r="C30" i="1"/>
  <c r="G11" i="2"/>
  <c r="G13" i="2"/>
  <c r="G14" i="2"/>
  <c r="G10" i="2"/>
  <c r="D23" i="2"/>
  <c r="C107" i="1"/>
  <c r="E97" i="1"/>
  <c r="K7" i="2"/>
  <c r="D31" i="2"/>
  <c r="G12" i="2"/>
  <c r="F6" i="3" l="1"/>
  <c r="F10" i="3"/>
  <c r="F14" i="3"/>
  <c r="F18" i="3"/>
  <c r="F22" i="3"/>
  <c r="F26" i="3"/>
  <c r="F20" i="3"/>
  <c r="F13" i="3"/>
  <c r="F25" i="3"/>
  <c r="F7" i="3"/>
  <c r="F11" i="3"/>
  <c r="F15" i="3"/>
  <c r="F19" i="3"/>
  <c r="F23" i="3"/>
  <c r="F5" i="3"/>
  <c r="F24" i="3"/>
  <c r="F17" i="3"/>
  <c r="F8" i="3"/>
  <c r="F12" i="3"/>
  <c r="F16" i="3"/>
  <c r="F9" i="3"/>
  <c r="F21" i="3"/>
  <c r="E87" i="1"/>
  <c r="E88" i="1"/>
  <c r="E89" i="1"/>
  <c r="A89" i="1"/>
  <c r="A88" i="1"/>
  <c r="A87" i="1"/>
  <c r="P32" i="2"/>
  <c r="D14" i="2" s="1"/>
  <c r="P28" i="2"/>
  <c r="D10" i="2" s="1"/>
  <c r="G15" i="2"/>
  <c r="C128" i="1"/>
  <c r="E134" i="1" s="1"/>
  <c r="B23" i="2"/>
  <c r="C122" i="1"/>
  <c r="C132" i="1"/>
  <c r="C133" i="1"/>
  <c r="D80" i="1"/>
  <c r="C134" i="1" l="1"/>
  <c r="D82" i="1"/>
  <c r="J20" i="2"/>
  <c r="J16" i="2"/>
  <c r="J19" i="2"/>
  <c r="J17" i="2"/>
  <c r="J21" i="2"/>
  <c r="J18" i="2"/>
  <c r="J15" i="2"/>
  <c r="J13" i="2"/>
  <c r="J14" i="2"/>
  <c r="J10" i="2"/>
  <c r="J11" i="2"/>
  <c r="J12" i="2"/>
  <c r="P33" i="2"/>
  <c r="D15" i="2" s="1"/>
  <c r="P38" i="2"/>
  <c r="D20" i="2" s="1"/>
  <c r="P39" i="2"/>
  <c r="P37" i="2"/>
  <c r="P36" i="2"/>
  <c r="Q38" i="2"/>
  <c r="I12" i="2"/>
  <c r="I16" i="2"/>
  <c r="I17" i="2"/>
  <c r="I19" i="2"/>
  <c r="I20" i="2"/>
  <c r="I18" i="2"/>
  <c r="I21" i="2"/>
  <c r="P35" i="2"/>
  <c r="P34" i="2"/>
  <c r="I11" i="2"/>
  <c r="I10" i="2"/>
  <c r="B31" i="2"/>
  <c r="I13" i="2"/>
  <c r="B92" i="1"/>
  <c r="C99" i="1" s="1"/>
  <c r="C101" i="1" s="1"/>
  <c r="C103" i="1"/>
  <c r="C108" i="1" s="1"/>
  <c r="C111" i="1" s="1"/>
  <c r="H95" i="1"/>
  <c r="E132" i="1"/>
  <c r="D132" i="1" s="1"/>
  <c r="E133" i="1"/>
  <c r="D133" i="1" s="1"/>
  <c r="D134" i="1"/>
  <c r="I15" i="2"/>
  <c r="I14" i="2"/>
  <c r="P29" i="2"/>
  <c r="P31" i="2"/>
  <c r="Q31" i="2" s="1"/>
  <c r="P30" i="2"/>
  <c r="Q30" i="2" s="1"/>
  <c r="D17" i="2" l="1"/>
  <c r="Q35" i="2"/>
  <c r="Q33" i="2"/>
  <c r="G42" i="4" s="1"/>
  <c r="B34" i="2"/>
  <c r="C34" i="2"/>
  <c r="J41" i="2"/>
  <c r="E96" i="2"/>
  <c r="J48" i="2"/>
  <c r="E102" i="2"/>
  <c r="E104" i="2"/>
  <c r="E97" i="2"/>
  <c r="E98" i="2"/>
  <c r="E107" i="2"/>
  <c r="E103" i="2"/>
  <c r="J51" i="2"/>
  <c r="J43" i="2"/>
  <c r="J44" i="2"/>
  <c r="J40" i="2"/>
  <c r="J47" i="2"/>
  <c r="E100" i="2"/>
  <c r="E106" i="2"/>
  <c r="J46" i="2"/>
  <c r="J42" i="2"/>
  <c r="J50" i="2"/>
  <c r="J49" i="2"/>
  <c r="E99" i="2"/>
  <c r="E101" i="2"/>
  <c r="J45" i="2"/>
  <c r="E105" i="2"/>
  <c r="D18" i="2"/>
  <c r="Q36" i="2"/>
  <c r="D11" i="2"/>
  <c r="Q29" i="2"/>
  <c r="G38" i="4" s="1"/>
  <c r="E131" i="2"/>
  <c r="E135" i="2"/>
  <c r="E139" i="2"/>
  <c r="E132" i="2"/>
  <c r="E136" i="2"/>
  <c r="E140" i="2"/>
  <c r="E134" i="2"/>
  <c r="E133" i="2"/>
  <c r="E137" i="2"/>
  <c r="E130" i="2"/>
  <c r="E138" i="2"/>
  <c r="E129" i="2"/>
  <c r="J57" i="2"/>
  <c r="J61" i="2"/>
  <c r="J65" i="2"/>
  <c r="E57" i="2"/>
  <c r="E61" i="2"/>
  <c r="E65" i="2"/>
  <c r="E41" i="2"/>
  <c r="E45" i="2"/>
  <c r="E49" i="2"/>
  <c r="E47" i="2"/>
  <c r="J64" i="2"/>
  <c r="E60" i="2"/>
  <c r="E64" i="2"/>
  <c r="E40" i="2"/>
  <c r="J58" i="2"/>
  <c r="J62" i="2"/>
  <c r="J66" i="2"/>
  <c r="E58" i="2"/>
  <c r="E62" i="2"/>
  <c r="E66" i="2"/>
  <c r="E42" i="2"/>
  <c r="E46" i="2"/>
  <c r="E50" i="2"/>
  <c r="E51" i="2"/>
  <c r="J60" i="2"/>
  <c r="J56" i="2"/>
  <c r="E56" i="2"/>
  <c r="E44" i="2"/>
  <c r="E48" i="2"/>
  <c r="J59" i="2"/>
  <c r="J63" i="2"/>
  <c r="J67" i="2"/>
  <c r="E59" i="2"/>
  <c r="E63" i="2"/>
  <c r="E67" i="2"/>
  <c r="E43" i="2"/>
  <c r="Q39" i="2"/>
  <c r="E21" i="2" s="1"/>
  <c r="D21" i="2"/>
  <c r="G39" i="4"/>
  <c r="D12" i="2"/>
  <c r="Q34" i="2"/>
  <c r="E16" i="2" s="1"/>
  <c r="D16" i="2"/>
  <c r="G40" i="4"/>
  <c r="D13" i="2"/>
  <c r="Q37" i="2"/>
  <c r="G46" i="4" s="1"/>
  <c r="D19" i="2"/>
  <c r="Q32" i="2"/>
  <c r="G41" i="4" s="1"/>
  <c r="E20" i="2"/>
  <c r="G47" i="4"/>
  <c r="Q28" i="2"/>
  <c r="G37" i="4" s="1"/>
  <c r="B35" i="2"/>
  <c r="C35" i="2"/>
  <c r="E12" i="2"/>
  <c r="C92" i="1"/>
  <c r="D92" i="1"/>
  <c r="C114" i="1"/>
  <c r="D114" i="1" s="1"/>
  <c r="E135" i="1"/>
  <c r="E13" i="2"/>
  <c r="F88" i="4"/>
  <c r="C88" i="4"/>
  <c r="D88" i="4"/>
  <c r="B88" i="4"/>
  <c r="E88" i="4"/>
  <c r="F42" i="2" l="1"/>
  <c r="E15" i="2"/>
  <c r="S15" i="2" s="1"/>
  <c r="F42" i="4" s="1"/>
  <c r="G44" i="4"/>
  <c r="E17" i="2"/>
  <c r="E11" i="2"/>
  <c r="P11" i="2" s="1"/>
  <c r="C38" i="4" s="1"/>
  <c r="Q13" i="2"/>
  <c r="D40" i="4" s="1"/>
  <c r="R13" i="2"/>
  <c r="E40" i="4" s="1"/>
  <c r="P13" i="2"/>
  <c r="C40" i="4" s="1"/>
  <c r="O13" i="2"/>
  <c r="B40" i="4" s="1"/>
  <c r="S13" i="2"/>
  <c r="F40" i="4" s="1"/>
  <c r="R12" i="2"/>
  <c r="E39" i="4" s="1"/>
  <c r="O12" i="2"/>
  <c r="B39" i="4" s="1"/>
  <c r="S12" i="2"/>
  <c r="F39" i="4" s="1"/>
  <c r="Q12" i="2"/>
  <c r="D39" i="4" s="1"/>
  <c r="P12" i="2"/>
  <c r="C39" i="4" s="1"/>
  <c r="E18" i="2"/>
  <c r="G45" i="4"/>
  <c r="P15" i="2"/>
  <c r="C42" i="4" s="1"/>
  <c r="R15" i="2"/>
  <c r="E42" i="4" s="1"/>
  <c r="Q15" i="2"/>
  <c r="D42" i="4" s="1"/>
  <c r="R20" i="2"/>
  <c r="E47" i="4" s="1"/>
  <c r="O20" i="2"/>
  <c r="B47" i="4" s="1"/>
  <c r="S20" i="2"/>
  <c r="F47" i="4" s="1"/>
  <c r="Q20" i="2"/>
  <c r="D47" i="4" s="1"/>
  <c r="P20" i="2"/>
  <c r="C47" i="4" s="1"/>
  <c r="R16" i="2"/>
  <c r="E43" i="4" s="1"/>
  <c r="O16" i="2"/>
  <c r="B43" i="4" s="1"/>
  <c r="S16" i="2"/>
  <c r="F43" i="4" s="1"/>
  <c r="P16" i="2"/>
  <c r="C43" i="4" s="1"/>
  <c r="Q16" i="2"/>
  <c r="D43" i="4" s="1"/>
  <c r="Q21" i="2"/>
  <c r="D48" i="4" s="1"/>
  <c r="P21" i="2"/>
  <c r="C48" i="4" s="1"/>
  <c r="R21" i="2"/>
  <c r="E48" i="4" s="1"/>
  <c r="O21" i="2"/>
  <c r="B48" i="4" s="1"/>
  <c r="S21" i="2"/>
  <c r="F48" i="4" s="1"/>
  <c r="E19" i="2"/>
  <c r="L19" i="2" s="1"/>
  <c r="F58" i="2"/>
  <c r="F60" i="2"/>
  <c r="F45" i="2"/>
  <c r="L20" i="2"/>
  <c r="G48" i="4"/>
  <c r="G43" i="4"/>
  <c r="E14" i="2"/>
  <c r="E10" i="2"/>
  <c r="L21" i="2"/>
  <c r="F139" i="2"/>
  <c r="I155" i="2" s="1"/>
  <c r="D171" i="2" s="1"/>
  <c r="F105" i="2"/>
  <c r="G122" i="2" s="1"/>
  <c r="B170" i="2" s="1"/>
  <c r="F104" i="2"/>
  <c r="G121" i="2" s="1"/>
  <c r="B169" i="2" s="1"/>
  <c r="F107" i="2"/>
  <c r="G124" i="2" s="1"/>
  <c r="B172" i="2" s="1"/>
  <c r="F103" i="2"/>
  <c r="G120" i="2" s="1"/>
  <c r="B168" i="2" s="1"/>
  <c r="F106" i="2"/>
  <c r="G123" i="2" s="1"/>
  <c r="B171" i="2" s="1"/>
  <c r="F102" i="2"/>
  <c r="G119" i="2" s="1"/>
  <c r="B167" i="2" s="1"/>
  <c r="F140" i="2"/>
  <c r="I156" i="2" s="1"/>
  <c r="D172" i="2" s="1"/>
  <c r="F136" i="2"/>
  <c r="I152" i="2" s="1"/>
  <c r="D168" i="2" s="1"/>
  <c r="F135" i="2"/>
  <c r="I151" i="2" s="1"/>
  <c r="D167" i="2" s="1"/>
  <c r="F137" i="2"/>
  <c r="I153" i="2" s="1"/>
  <c r="D169" i="2" s="1"/>
  <c r="F138" i="2"/>
  <c r="I154" i="2" s="1"/>
  <c r="D170" i="2" s="1"/>
  <c r="L16" i="2"/>
  <c r="F131" i="2"/>
  <c r="I147" i="2" s="1"/>
  <c r="D163" i="2" s="1"/>
  <c r="F132" i="2"/>
  <c r="I148" i="2" s="1"/>
  <c r="D164" i="2" s="1"/>
  <c r="F61" i="2"/>
  <c r="K47" i="2"/>
  <c r="K49" i="2"/>
  <c r="K50" i="2"/>
  <c r="F100" i="2"/>
  <c r="G117" i="2" s="1"/>
  <c r="B165" i="2" s="1"/>
  <c r="F44" i="2"/>
  <c r="K46" i="2"/>
  <c r="K51" i="2"/>
  <c r="F48" i="2"/>
  <c r="K63" i="2"/>
  <c r="K62" i="2"/>
  <c r="K65" i="2"/>
  <c r="K64" i="2"/>
  <c r="F98" i="2"/>
  <c r="G115" i="2" s="1"/>
  <c r="B163" i="2" s="1"/>
  <c r="F51" i="2"/>
  <c r="F50" i="2"/>
  <c r="F49" i="2"/>
  <c r="K67" i="2"/>
  <c r="F99" i="2"/>
  <c r="G116" i="2" s="1"/>
  <c r="B164" i="2" s="1"/>
  <c r="K66" i="2"/>
  <c r="F56" i="2"/>
  <c r="F63" i="2"/>
  <c r="F66" i="2"/>
  <c r="F62" i="2"/>
  <c r="F67" i="2"/>
  <c r="F47" i="2"/>
  <c r="K48" i="2"/>
  <c r="F46" i="2"/>
  <c r="F65" i="2"/>
  <c r="F64" i="2"/>
  <c r="F129" i="2"/>
  <c r="F59" i="2"/>
  <c r="K57" i="2"/>
  <c r="F133" i="2"/>
  <c r="I149" i="2" s="1"/>
  <c r="D165" i="2" s="1"/>
  <c r="F134" i="2"/>
  <c r="I150" i="2" s="1"/>
  <c r="D166" i="2" s="1"/>
  <c r="F130" i="2"/>
  <c r="I146" i="2" s="1"/>
  <c r="D162" i="2" s="1"/>
  <c r="F57" i="2"/>
  <c r="K61" i="2"/>
  <c r="K56" i="2"/>
  <c r="F43" i="2"/>
  <c r="F101" i="2"/>
  <c r="G118" i="2" s="1"/>
  <c r="B166" i="2" s="1"/>
  <c r="K58" i="2"/>
  <c r="F41" i="2"/>
  <c r="K60" i="2"/>
  <c r="K59" i="2"/>
  <c r="F96" i="2"/>
  <c r="G113" i="2" s="1"/>
  <c r="B161" i="2" s="1"/>
  <c r="F97" i="2"/>
  <c r="G114" i="2" s="1"/>
  <c r="B162" i="2" s="1"/>
  <c r="F40" i="2"/>
  <c r="K45" i="2"/>
  <c r="L12" i="2"/>
  <c r="K43" i="2"/>
  <c r="K42" i="2"/>
  <c r="K41" i="2"/>
  <c r="K44" i="2"/>
  <c r="K40" i="2"/>
  <c r="L13" i="2"/>
  <c r="F58" i="4"/>
  <c r="E75" i="4" s="1"/>
  <c r="B58" i="4"/>
  <c r="E58" i="4"/>
  <c r="D75" i="4" s="1"/>
  <c r="C58" i="4"/>
  <c r="D58" i="4"/>
  <c r="F55" i="4"/>
  <c r="E72" i="4" s="1"/>
  <c r="E55" i="4"/>
  <c r="D72" i="4" s="1"/>
  <c r="C55" i="4"/>
  <c r="B55" i="4"/>
  <c r="S11" i="2" l="1"/>
  <c r="F38" i="4" s="1"/>
  <c r="L42" i="2"/>
  <c r="B75" i="2" s="1"/>
  <c r="O15" i="2"/>
  <c r="B42" i="4" s="1"/>
  <c r="Q11" i="2"/>
  <c r="D38" i="4" s="1"/>
  <c r="R11" i="2"/>
  <c r="E38" i="4" s="1"/>
  <c r="S164" i="2"/>
  <c r="F90" i="4" s="1"/>
  <c r="P164" i="2"/>
  <c r="C90" i="4" s="1"/>
  <c r="R164" i="2"/>
  <c r="E90" i="4" s="1"/>
  <c r="Q164" i="2"/>
  <c r="D90" i="4" s="1"/>
  <c r="O164" i="2"/>
  <c r="B90" i="4" s="1"/>
  <c r="S168" i="2"/>
  <c r="F94" i="4" s="1"/>
  <c r="R168" i="2"/>
  <c r="E94" i="4" s="1"/>
  <c r="Q168" i="2"/>
  <c r="D94" i="4" s="1"/>
  <c r="P168" i="2"/>
  <c r="C94" i="4" s="1"/>
  <c r="O168" i="2"/>
  <c r="B94" i="4" s="1"/>
  <c r="S163" i="2"/>
  <c r="F89" i="4" s="1"/>
  <c r="O163" i="2"/>
  <c r="B89" i="4" s="1"/>
  <c r="P163" i="2"/>
  <c r="C89" i="4" s="1"/>
  <c r="Q163" i="2"/>
  <c r="D89" i="4" s="1"/>
  <c r="R163" i="2"/>
  <c r="E89" i="4" s="1"/>
  <c r="R75" i="2"/>
  <c r="E56" i="4" s="1"/>
  <c r="S75" i="2"/>
  <c r="F56" i="4" s="1"/>
  <c r="O75" i="2"/>
  <c r="B56" i="4" s="1"/>
  <c r="P75" i="2"/>
  <c r="C56" i="4" s="1"/>
  <c r="Q75" i="2"/>
  <c r="D56" i="4" s="1"/>
  <c r="O11" i="2"/>
  <c r="B38" i="4" s="1"/>
  <c r="C75" i="4"/>
  <c r="B72" i="4"/>
  <c r="B75" i="4"/>
  <c r="C72" i="4"/>
  <c r="L11" i="2"/>
  <c r="L15" i="2"/>
  <c r="L60" i="2"/>
  <c r="E77" i="2" s="1"/>
  <c r="O17" i="2"/>
  <c r="B44" i="4" s="1"/>
  <c r="Q17" i="2"/>
  <c r="D44" i="4" s="1"/>
  <c r="R17" i="2"/>
  <c r="E44" i="4" s="1"/>
  <c r="P17" i="2"/>
  <c r="C44" i="4" s="1"/>
  <c r="S17" i="2"/>
  <c r="F44" i="4" s="1"/>
  <c r="L17" i="2"/>
  <c r="O165" i="2"/>
  <c r="B91" i="4" s="1"/>
  <c r="R165" i="2"/>
  <c r="E91" i="4" s="1"/>
  <c r="Q165" i="2"/>
  <c r="D91" i="4" s="1"/>
  <c r="S165" i="2"/>
  <c r="F91" i="4" s="1"/>
  <c r="P165" i="2"/>
  <c r="C91" i="4" s="1"/>
  <c r="L58" i="2"/>
  <c r="E75" i="2" s="1"/>
  <c r="R169" i="2"/>
  <c r="E95" i="4" s="1"/>
  <c r="S169" i="2"/>
  <c r="F95" i="4" s="1"/>
  <c r="O169" i="2"/>
  <c r="B95" i="4" s="1"/>
  <c r="P169" i="2"/>
  <c r="C95" i="4" s="1"/>
  <c r="Q169" i="2"/>
  <c r="D95" i="4" s="1"/>
  <c r="I145" i="2"/>
  <c r="D161" i="2" s="1"/>
  <c r="E161" i="2" s="1"/>
  <c r="O19" i="2"/>
  <c r="B46" i="4" s="1"/>
  <c r="S19" i="2"/>
  <c r="F46" i="4" s="1"/>
  <c r="P19" i="2"/>
  <c r="C46" i="4" s="1"/>
  <c r="Q19" i="2"/>
  <c r="D46" i="4" s="1"/>
  <c r="R19" i="2"/>
  <c r="E46" i="4" s="1"/>
  <c r="Q10" i="2"/>
  <c r="D37" i="4" s="1"/>
  <c r="O10" i="2"/>
  <c r="B37" i="4" s="1"/>
  <c r="R10" i="2"/>
  <c r="E37" i="4" s="1"/>
  <c r="P10" i="2"/>
  <c r="C37" i="4" s="1"/>
  <c r="S10" i="2"/>
  <c r="F37" i="4" s="1"/>
  <c r="P18" i="2"/>
  <c r="C45" i="4" s="1"/>
  <c r="S18" i="2"/>
  <c r="F45" i="4" s="1"/>
  <c r="Q18" i="2"/>
  <c r="D45" i="4" s="1"/>
  <c r="O18" i="2"/>
  <c r="B45" i="4" s="1"/>
  <c r="R18" i="2"/>
  <c r="E45" i="4" s="1"/>
  <c r="L18" i="2"/>
  <c r="P14" i="2"/>
  <c r="C41" i="4" s="1"/>
  <c r="S14" i="2"/>
  <c r="F41" i="4" s="1"/>
  <c r="Q14" i="2"/>
  <c r="D41" i="4" s="1"/>
  <c r="R14" i="2"/>
  <c r="E41" i="4" s="1"/>
  <c r="O14" i="2"/>
  <c r="B41" i="4" s="1"/>
  <c r="L45" i="2"/>
  <c r="B78" i="2" s="1"/>
  <c r="E163" i="2"/>
  <c r="D98" i="4"/>
  <c r="B98" i="4"/>
  <c r="E98" i="4"/>
  <c r="F98" i="4"/>
  <c r="C98" i="4"/>
  <c r="E172" i="2"/>
  <c r="E171" i="2"/>
  <c r="L62" i="2"/>
  <c r="E79" i="2" s="1"/>
  <c r="L56" i="2"/>
  <c r="E73" i="2" s="1"/>
  <c r="L49" i="2"/>
  <c r="B82" i="2" s="1"/>
  <c r="L14" i="2"/>
  <c r="C92" i="4"/>
  <c r="E92" i="4"/>
  <c r="D92" i="4"/>
  <c r="B92" i="4"/>
  <c r="F92" i="4"/>
  <c r="L10" i="2"/>
  <c r="C93" i="4"/>
  <c r="B93" i="4"/>
  <c r="D93" i="4"/>
  <c r="E93" i="4"/>
  <c r="F93" i="4"/>
  <c r="E167" i="2"/>
  <c r="E169" i="2"/>
  <c r="E168" i="2"/>
  <c r="E170" i="2"/>
  <c r="E164" i="2"/>
  <c r="L67" i="2"/>
  <c r="E84" i="2" s="1"/>
  <c r="L61" i="2"/>
  <c r="E78" i="2" s="1"/>
  <c r="L47" i="2"/>
  <c r="B80" i="2" s="1"/>
  <c r="L50" i="2"/>
  <c r="B83" i="2" s="1"/>
  <c r="L51" i="2"/>
  <c r="B84" i="2" s="1"/>
  <c r="L46" i="2"/>
  <c r="B79" i="2" s="1"/>
  <c r="L66" i="2"/>
  <c r="E83" i="2" s="1"/>
  <c r="L64" i="2"/>
  <c r="E81" i="2" s="1"/>
  <c r="L63" i="2"/>
  <c r="E80" i="2" s="1"/>
  <c r="L48" i="2"/>
  <c r="B81" i="2" s="1"/>
  <c r="L44" i="2"/>
  <c r="B77" i="2" s="1"/>
  <c r="L65" i="2"/>
  <c r="E82" i="2" s="1"/>
  <c r="L59" i="2"/>
  <c r="E76" i="2" s="1"/>
  <c r="E165" i="2"/>
  <c r="L57" i="2"/>
  <c r="E74" i="2" s="1"/>
  <c r="L43" i="2"/>
  <c r="B76" i="2" s="1"/>
  <c r="E162" i="2"/>
  <c r="E166" i="2"/>
  <c r="L40" i="2"/>
  <c r="B73" i="2" s="1"/>
  <c r="L41" i="2"/>
  <c r="B74" i="2" s="1"/>
  <c r="D55" i="4" s="1"/>
  <c r="F75" i="2" l="1"/>
  <c r="F77" i="2"/>
  <c r="P76" i="2"/>
  <c r="C57" i="4" s="1"/>
  <c r="S76" i="2"/>
  <c r="F57" i="4" s="1"/>
  <c r="E74" i="4" s="1"/>
  <c r="Q76" i="2"/>
  <c r="D57" i="4" s="1"/>
  <c r="O76" i="2"/>
  <c r="B57" i="4" s="1"/>
  <c r="R76" i="2"/>
  <c r="E57" i="4" s="1"/>
  <c r="D74" i="4" s="1"/>
  <c r="P80" i="2"/>
  <c r="C61" i="4" s="1"/>
  <c r="S80" i="2"/>
  <c r="F61" i="4" s="1"/>
  <c r="Q80" i="2"/>
  <c r="D61" i="4" s="1"/>
  <c r="O80" i="2"/>
  <c r="B61" i="4" s="1"/>
  <c r="R80" i="2"/>
  <c r="E61" i="4" s="1"/>
  <c r="E73" i="4"/>
  <c r="C73" i="4"/>
  <c r="D73" i="4"/>
  <c r="B73" i="4"/>
  <c r="R161" i="2"/>
  <c r="E87" i="4" s="1"/>
  <c r="E45" i="1" s="1"/>
  <c r="S73" i="2"/>
  <c r="F54" i="4" s="1"/>
  <c r="E71" i="4" s="1"/>
  <c r="P73" i="2"/>
  <c r="C54" i="4" s="1"/>
  <c r="R73" i="2"/>
  <c r="E54" i="4" s="1"/>
  <c r="D71" i="4" s="1"/>
  <c r="Q73" i="2"/>
  <c r="D54" i="4" s="1"/>
  <c r="O73" i="2"/>
  <c r="B54" i="4" s="1"/>
  <c r="Q161" i="2"/>
  <c r="D87" i="4" s="1"/>
  <c r="E44" i="1" s="1"/>
  <c r="S161" i="2"/>
  <c r="F87" i="4" s="1"/>
  <c r="E46" i="1" s="1"/>
  <c r="O161" i="2"/>
  <c r="B87" i="4" s="1"/>
  <c r="E42" i="1" s="1"/>
  <c r="E51" i="1" s="1"/>
  <c r="P161" i="2"/>
  <c r="C87" i="4" s="1"/>
  <c r="E43" i="1" s="1"/>
  <c r="F78" i="2"/>
  <c r="B43" i="1"/>
  <c r="Q81" i="2"/>
  <c r="D62" i="4" s="1"/>
  <c r="S81" i="2"/>
  <c r="F62" i="4" s="1"/>
  <c r="E79" i="4" s="1"/>
  <c r="P81" i="2"/>
  <c r="C62" i="4" s="1"/>
  <c r="R81" i="2"/>
  <c r="E62" i="4" s="1"/>
  <c r="D79" i="4" s="1"/>
  <c r="O81" i="2"/>
  <c r="B62" i="4" s="1"/>
  <c r="B46" i="1"/>
  <c r="B42" i="1"/>
  <c r="B51" i="1" s="1"/>
  <c r="E65" i="4"/>
  <c r="D82" i="4" s="1"/>
  <c r="F65" i="4"/>
  <c r="E82" i="4" s="1"/>
  <c r="D65" i="4"/>
  <c r="C65" i="4"/>
  <c r="B65" i="4"/>
  <c r="B45" i="1"/>
  <c r="C59" i="4"/>
  <c r="F82" i="2"/>
  <c r="F73" i="2"/>
  <c r="D59" i="4"/>
  <c r="E59" i="4"/>
  <c r="D76" i="4" s="1"/>
  <c r="F59" i="4"/>
  <c r="E76" i="4" s="1"/>
  <c r="B59" i="4"/>
  <c r="B44" i="1"/>
  <c r="F84" i="2"/>
  <c r="F80" i="2"/>
  <c r="F83" i="2"/>
  <c r="E63" i="4"/>
  <c r="D80" i="4" s="1"/>
  <c r="D63" i="4"/>
  <c r="C63" i="4"/>
  <c r="B63" i="4"/>
  <c r="F63" i="4"/>
  <c r="E80" i="4" s="1"/>
  <c r="F81" i="2"/>
  <c r="F76" i="2"/>
  <c r="F60" i="4"/>
  <c r="E77" i="4" s="1"/>
  <c r="B60" i="4"/>
  <c r="E60" i="4"/>
  <c r="D77" i="4" s="1"/>
  <c r="C60" i="4"/>
  <c r="D60" i="4"/>
  <c r="F79" i="2"/>
  <c r="F74" i="2"/>
  <c r="C74" i="4" l="1"/>
  <c r="B74" i="4"/>
  <c r="E78" i="4"/>
  <c r="C78" i="4"/>
  <c r="D78" i="4"/>
  <c r="B78" i="4"/>
  <c r="B82" i="4"/>
  <c r="B79" i="4"/>
  <c r="B71" i="4"/>
  <c r="B77" i="4"/>
  <c r="C76" i="4"/>
  <c r="C80" i="4"/>
  <c r="B80" i="4"/>
  <c r="C79" i="4"/>
  <c r="C71" i="4"/>
  <c r="B76" i="4"/>
  <c r="C77" i="4"/>
  <c r="C82" i="4"/>
  <c r="B55" i="1"/>
  <c r="B53" i="1"/>
  <c r="B54" i="1"/>
  <c r="B52" i="1"/>
  <c r="C43" i="1"/>
  <c r="C42" i="1"/>
  <c r="C51" i="1" s="1"/>
  <c r="F51" i="1" s="1"/>
  <c r="G51" i="1" s="1"/>
  <c r="C45" i="1"/>
  <c r="C44" i="1"/>
  <c r="C46" i="1"/>
  <c r="E53" i="1"/>
  <c r="E54" i="1"/>
  <c r="E55" i="1"/>
  <c r="E52" i="1"/>
  <c r="D45" i="1" l="1"/>
  <c r="D46" i="1"/>
  <c r="D55" i="1" s="1"/>
  <c r="F55" i="1" s="1"/>
  <c r="G55" i="1" s="1"/>
  <c r="C52" i="1"/>
  <c r="F52" i="1" s="1"/>
  <c r="G52" i="1" s="1"/>
  <c r="C54" i="1"/>
  <c r="F54" i="1" s="1"/>
  <c r="G54" i="1" s="1"/>
  <c r="C53" i="1"/>
  <c r="F53" i="1" s="1"/>
  <c r="G53" i="1" s="1"/>
  <c r="F56" i="1" l="1"/>
</calcChain>
</file>

<file path=xl/comments1.xml><?xml version="1.0" encoding="utf-8"?>
<comments xmlns="http://schemas.openxmlformats.org/spreadsheetml/2006/main">
  <authors>
    <author>Torsten Langejürgen</author>
  </authors>
  <commentList>
    <comment ref="B19" authorId="0">
      <text>
        <r>
          <rPr>
            <b/>
            <sz val="9"/>
            <color indexed="81"/>
            <rFont val="Tahoma"/>
            <family val="2"/>
          </rPr>
          <t>Zugkraft immer positiv eingeben !
z.B. F1,d = 5 kN</t>
        </r>
        <r>
          <rPr>
            <sz val="9"/>
            <color indexed="81"/>
            <rFont val="Tahoma"/>
            <family val="2"/>
          </rPr>
          <t xml:space="preserve">
</t>
        </r>
      </text>
    </comment>
    <comment ref="C19" authorId="0">
      <text>
        <r>
          <rPr>
            <b/>
            <sz val="9"/>
            <color indexed="81"/>
            <rFont val="Tahoma"/>
            <family val="2"/>
          </rPr>
          <t xml:space="preserve">Es muss immer eine F2,d Last angegeben sein, nie Zug F1 oder eine Last F45,d rechtwinklig zur Einschubrichtung  ! 
Bemessunglast aus ständiger Last (Eigengewicht):
F2,d = 1,35 x F2,g,k
</t>
        </r>
        <r>
          <rPr>
            <sz val="9"/>
            <color indexed="81"/>
            <rFont val="Tahoma"/>
            <family val="2"/>
          </rPr>
          <t xml:space="preserve">
</t>
        </r>
      </text>
    </comment>
    <comment ref="C20" authorId="0">
      <text>
        <r>
          <rPr>
            <b/>
            <sz val="9"/>
            <color indexed="81"/>
            <rFont val="Tahoma"/>
            <family val="2"/>
          </rPr>
          <t xml:space="preserve">Berechnung der Bessungswerte der Eigen- und Schneelasten:
F2,d = 1,35 F2,g,k + 1,5 x F2,s,k </t>
        </r>
        <r>
          <rPr>
            <sz val="9"/>
            <color indexed="81"/>
            <rFont val="Tahoma"/>
            <family val="2"/>
          </rPr>
          <t xml:space="preserve">
</t>
        </r>
      </text>
    </comment>
    <comment ref="F20" authorId="0">
      <text>
        <r>
          <rPr>
            <b/>
            <sz val="9"/>
            <color indexed="81"/>
            <rFont val="Tahoma"/>
            <family val="2"/>
          </rPr>
          <t>Klasse der Einwirkungs-dauer auswählen:</t>
        </r>
      </text>
    </comment>
    <comment ref="C21" authorId="0">
      <text>
        <r>
          <rPr>
            <b/>
            <sz val="9"/>
            <color indexed="81"/>
            <rFont val="Tahoma"/>
            <family val="2"/>
          </rPr>
          <t xml:space="preserve">Berechnung der Bessungswerte der Eigen- und Verkehrslasten:
F2,d = 1,35 F2,g,k + 1,5 x F2,n,k </t>
        </r>
        <r>
          <rPr>
            <sz val="9"/>
            <color indexed="81"/>
            <rFont val="Tahoma"/>
            <family val="2"/>
          </rPr>
          <t xml:space="preserve">
</t>
        </r>
      </text>
    </comment>
    <comment ref="C22" authorId="0">
      <text>
        <r>
          <rPr>
            <b/>
            <sz val="9"/>
            <color indexed="81"/>
            <rFont val="Tahoma"/>
            <family val="2"/>
          </rPr>
          <t>Berechnung der Bessungswerte der Eigen-, Schnee und Winddrucklasten:
F2,d = 1,35 F2,g,k + 1,5 x F2,s,k + 1,5 x 0,6 x F2,w,k
or
F2,d = 1,35 F2,g,k + 1,5 x 0,5 x F2,s,k + 1,5 x F2,w,k</t>
        </r>
        <r>
          <rPr>
            <sz val="9"/>
            <color indexed="81"/>
            <rFont val="Tahoma"/>
            <family val="2"/>
          </rPr>
          <t xml:space="preserve">
</t>
        </r>
      </text>
    </comment>
    <comment ref="D23" authorId="0">
      <text>
        <r>
          <rPr>
            <sz val="9"/>
            <color indexed="81"/>
            <rFont val="Tahoma"/>
            <family val="2"/>
          </rPr>
          <t xml:space="preserve">Abhebende F3,d-Last immer negativ eingeben !
z.B. F3,d = -12 kN
</t>
        </r>
      </text>
    </comment>
    <comment ref="F24" authorId="0">
      <text>
        <r>
          <rPr>
            <b/>
            <sz val="9"/>
            <color indexed="81"/>
            <rFont val="Tahoma"/>
            <family val="2"/>
          </rPr>
          <t>Nutzungsklasse auswählen:
1 Innenbereich
2 Außenbereich überdacht
3 Außenbereich</t>
        </r>
        <r>
          <rPr>
            <sz val="9"/>
            <color indexed="81"/>
            <rFont val="Tahoma"/>
            <family val="2"/>
          </rPr>
          <t xml:space="preserve">
</t>
        </r>
      </text>
    </comment>
    <comment ref="C29" authorId="0">
      <text>
        <r>
          <rPr>
            <b/>
            <sz val="9"/>
            <color indexed="81"/>
            <rFont val="Tahoma"/>
            <family val="2"/>
          </rPr>
          <t>Auswahl:
0 Sperrbügel
1 Sperrbügel
2 Sperrbügel 
für abhebende Lasten</t>
        </r>
        <r>
          <rPr>
            <sz val="9"/>
            <color indexed="81"/>
            <rFont val="Tahoma"/>
            <family val="2"/>
          </rPr>
          <t xml:space="preserve">
</t>
        </r>
      </text>
    </comment>
    <comment ref="E32" authorId="0">
      <text>
        <r>
          <rPr>
            <b/>
            <sz val="9"/>
            <color indexed="81"/>
            <rFont val="Tahoma"/>
            <family val="2"/>
          </rPr>
          <t>Schraubenlänge für den Nebenträger auswählen !
SK 8x80 Standard
SK 8x50 für z.B. Schräganschlüsse</t>
        </r>
        <r>
          <rPr>
            <sz val="9"/>
            <color indexed="81"/>
            <rFont val="Tahoma"/>
            <family val="2"/>
          </rPr>
          <t xml:space="preserve">
</t>
        </r>
      </text>
    </comment>
    <comment ref="B34" authorId="0">
      <text>
        <r>
          <rPr>
            <b/>
            <sz val="9"/>
            <color indexed="81"/>
            <rFont val="Tahoma"/>
            <family val="2"/>
          </rPr>
          <t xml:space="preserve">Anschlusswinkel </t>
        </r>
        <r>
          <rPr>
            <b/>
            <sz val="9"/>
            <color indexed="81"/>
            <rFont val="Symbol"/>
            <family val="1"/>
            <charset val="2"/>
          </rPr>
          <t>a</t>
        </r>
        <r>
          <rPr>
            <b/>
            <sz val="9"/>
            <color indexed="81"/>
            <rFont val="Tahoma"/>
            <family val="2"/>
          </rPr>
          <t xml:space="preserve"> (siehe skizze rechts)</t>
        </r>
        <r>
          <rPr>
            <sz val="9"/>
            <color indexed="81"/>
            <rFont val="Tahoma"/>
            <family val="2"/>
          </rPr>
          <t xml:space="preserve">
</t>
        </r>
      </text>
    </comment>
    <comment ref="B35" authorId="0">
      <text>
        <r>
          <rPr>
            <b/>
            <sz val="9"/>
            <color indexed="81"/>
            <rFont val="Tahoma"/>
            <family val="2"/>
          </rPr>
          <t>Auswahl zwischen
1 RICON Verbinder/Anschluss
2 RICON Verbinder nebeneinander / Anschluss</t>
        </r>
        <r>
          <rPr>
            <sz val="9"/>
            <color indexed="81"/>
            <rFont val="Tahoma"/>
            <family val="2"/>
          </rPr>
          <t xml:space="preserve">
</t>
        </r>
      </text>
    </comment>
    <comment ref="B92" authorId="0">
      <text>
        <r>
          <rPr>
            <b/>
            <sz val="9"/>
            <color indexed="81"/>
            <rFont val="Tahoma"/>
            <family val="2"/>
          </rPr>
          <t>Wenn das a/HN-Verhältnis &gt;0,7 ist, braucht kein weiterer Querzugnachweis und auch keine Querzugverstärkung erfolgen !</t>
        </r>
      </text>
    </comment>
    <comment ref="C95" authorId="0">
      <text>
        <r>
          <rPr>
            <b/>
            <sz val="9"/>
            <color indexed="81"/>
            <rFont val="Tahoma"/>
            <family val="2"/>
          </rPr>
          <t>Wenn Querzugverstärkung erforderlich, dann Schraubenstückzahl eintragen !
Ansonsten nichts eintragen !</t>
        </r>
      </text>
    </comment>
    <comment ref="F95" authorId="0">
      <text>
        <r>
          <rPr>
            <b/>
            <sz val="9"/>
            <color indexed="81"/>
            <rFont val="Tahoma"/>
            <family val="2"/>
          </rPr>
          <t>Schraubendurchmesser auswählen:
d= 8 mm
d= 10 mm</t>
        </r>
        <r>
          <rPr>
            <sz val="9"/>
            <color indexed="81"/>
            <rFont val="Tahoma"/>
            <family val="2"/>
          </rPr>
          <t xml:space="preserve">
</t>
        </r>
      </text>
    </comment>
    <comment ref="G95" authorId="0">
      <text>
        <r>
          <rPr>
            <b/>
            <sz val="9"/>
            <color indexed="81"/>
            <rFont val="Tahoma"/>
            <family val="2"/>
          </rPr>
          <t>Schraubenlänge auswählen !</t>
        </r>
        <r>
          <rPr>
            <sz val="9"/>
            <color indexed="81"/>
            <rFont val="Tahoma"/>
            <family val="2"/>
          </rPr>
          <t xml:space="preserve">
</t>
        </r>
      </text>
    </comment>
    <comment ref="C96" authorId="0">
      <text>
        <r>
          <rPr>
            <b/>
            <sz val="9"/>
            <color indexed="81"/>
            <rFont val="Tahoma"/>
            <family val="2"/>
          </rPr>
          <t xml:space="preserve">Bitte Schraubentyp 1-3 eingeben !
</t>
        </r>
      </text>
    </comment>
    <comment ref="C124" authorId="0">
      <text>
        <r>
          <rPr>
            <b/>
            <sz val="9"/>
            <color indexed="81"/>
            <rFont val="Tahoma"/>
            <family val="2"/>
          </rPr>
          <t>Wenn t=0 min eingegeben ist, dann ist kein Brandschutz gefordert !</t>
        </r>
        <r>
          <rPr>
            <sz val="9"/>
            <color indexed="81"/>
            <rFont val="Tahoma"/>
            <family val="2"/>
          </rPr>
          <t xml:space="preserve">
</t>
        </r>
      </text>
    </comment>
  </commentList>
</comments>
</file>

<file path=xl/comments2.xml><?xml version="1.0" encoding="utf-8"?>
<comments xmlns="http://schemas.openxmlformats.org/spreadsheetml/2006/main">
  <authors>
    <author>Torsten Langejürgen</author>
  </authors>
  <commentList>
    <comment ref="J21" authorId="0">
      <text>
        <r>
          <rPr>
            <b/>
            <sz val="9"/>
            <color indexed="81"/>
            <rFont val="Tahoma"/>
            <family val="2"/>
          </rPr>
          <t>Schraubenlängen:
Standard: 80 mm
Schräganschlüsse:
50 mm oder 40 mm</t>
        </r>
        <r>
          <rPr>
            <sz val="9"/>
            <color indexed="81"/>
            <rFont val="Tahoma"/>
            <family val="2"/>
          </rPr>
          <t xml:space="preserve">
</t>
        </r>
      </text>
    </comment>
    <comment ref="J27" authorId="0">
      <text>
        <r>
          <rPr>
            <b/>
            <sz val="9"/>
            <color indexed="81"/>
            <rFont val="Tahoma"/>
            <family val="2"/>
          </rPr>
          <t>Schraubenlängen:
Standard: 80 mm
Schräganschlüsse:
50 mm oder 40 mm</t>
        </r>
        <r>
          <rPr>
            <sz val="9"/>
            <color indexed="81"/>
            <rFont val="Tahoma"/>
            <family val="2"/>
          </rPr>
          <t xml:space="preserve">
</t>
        </r>
      </text>
    </comment>
  </commentList>
</comments>
</file>

<file path=xl/comments3.xml><?xml version="1.0" encoding="utf-8"?>
<comments xmlns="http://schemas.openxmlformats.org/spreadsheetml/2006/main">
  <authors>
    <author>Blaß &amp; Eberhart</author>
  </authors>
  <commentList>
    <comment ref="D8" authorId="0">
      <text>
        <r>
          <rPr>
            <b/>
            <sz val="9"/>
            <color indexed="81"/>
            <rFont val="Tahoma"/>
            <family val="2"/>
          </rPr>
          <t>Blaß &amp; Eberhart:</t>
        </r>
        <r>
          <rPr>
            <sz val="9"/>
            <color indexed="81"/>
            <rFont val="Tahoma"/>
            <family val="2"/>
          </rPr>
          <t xml:space="preserve">
Gilt nur, wenn die Zugkraft mittig zwischen den beiden äußeren Zugschrauben angeordnet ist. Damit müssten die Zeichnungen angepasst werden. Der Hinweis sollte in das Statik-Flyer aufgenommen werden.</t>
        </r>
      </text>
    </comment>
    <comment ref="C32" authorId="0">
      <text>
        <r>
          <rPr>
            <b/>
            <sz val="9"/>
            <color indexed="81"/>
            <rFont val="Tahoma"/>
            <family val="2"/>
          </rPr>
          <t>Blaß &amp; Eberhart:</t>
        </r>
        <r>
          <rPr>
            <sz val="9"/>
            <color indexed="81"/>
            <rFont val="Tahoma"/>
            <family val="2"/>
          </rPr>
          <t xml:space="preserve">
My aus der Schmid Zulassung Z-9.1-435. Hier war der Wert mit 4900 jedoch nicht gemäß der Zulassung.</t>
        </r>
      </text>
    </comment>
    <comment ref="E40" authorId="0">
      <text>
        <r>
          <rPr>
            <b/>
            <sz val="9"/>
            <color indexed="81"/>
            <rFont val="Tahoma"/>
            <family val="2"/>
          </rPr>
          <t>Blaß &amp; Eberhart:</t>
        </r>
        <r>
          <rPr>
            <sz val="9"/>
            <color indexed="81"/>
            <rFont val="Tahoma"/>
            <family val="2"/>
          </rPr>
          <t xml:space="preserve">
Tatsächliche Gewindelänge der TG-Schraube ansetzen</t>
        </r>
      </text>
    </comment>
    <comment ref="J40" authorId="0">
      <text>
        <r>
          <rPr>
            <b/>
            <sz val="9"/>
            <color indexed="81"/>
            <rFont val="Tahoma"/>
            <family val="2"/>
          </rPr>
          <t>Blaß &amp; Eberhart:</t>
        </r>
        <r>
          <rPr>
            <sz val="9"/>
            <color indexed="81"/>
            <rFont val="Tahoma"/>
            <family val="2"/>
          </rPr>
          <t xml:space="preserve">
Gewindelänge der TG-Schraube ansetzen.</t>
        </r>
      </text>
    </comment>
    <comment ref="E46" authorId="0">
      <text>
        <r>
          <rPr>
            <b/>
            <sz val="9"/>
            <color indexed="81"/>
            <rFont val="Tahoma"/>
            <family val="2"/>
          </rPr>
          <t>Blaß &amp; Eberhart:</t>
        </r>
        <r>
          <rPr>
            <sz val="9"/>
            <color indexed="81"/>
            <rFont val="Tahoma"/>
            <family val="2"/>
          </rPr>
          <t xml:space="preserve">
Tatsächliche Gewindelänge der TG-Schraube ansetzen</t>
        </r>
      </text>
    </comment>
    <comment ref="J46" authorId="0">
      <text>
        <r>
          <rPr>
            <b/>
            <sz val="9"/>
            <color indexed="81"/>
            <rFont val="Tahoma"/>
            <family val="2"/>
          </rPr>
          <t>Blaß &amp; Eberhart:</t>
        </r>
        <r>
          <rPr>
            <sz val="9"/>
            <color indexed="81"/>
            <rFont val="Tahoma"/>
            <family val="2"/>
          </rPr>
          <t xml:space="preserve">
Gewindelänge der TG-Schraube ansetzen.</t>
        </r>
      </text>
    </comment>
    <comment ref="E56" authorId="0">
      <text>
        <r>
          <rPr>
            <b/>
            <sz val="9"/>
            <color indexed="81"/>
            <rFont val="Tahoma"/>
            <family val="2"/>
          </rPr>
          <t>Blaß &amp; Eberhart:</t>
        </r>
        <r>
          <rPr>
            <sz val="9"/>
            <color indexed="81"/>
            <rFont val="Tahoma"/>
            <family val="2"/>
          </rPr>
          <t xml:space="preserve">
Tatsächliche Gewindelänge der TG-Schraube ansetzen</t>
        </r>
      </text>
    </comment>
    <comment ref="J56" authorId="0">
      <text>
        <r>
          <rPr>
            <b/>
            <sz val="9"/>
            <color indexed="81"/>
            <rFont val="Tahoma"/>
            <family val="2"/>
          </rPr>
          <t>Blaß &amp; Eberhart:</t>
        </r>
        <r>
          <rPr>
            <sz val="9"/>
            <color indexed="81"/>
            <rFont val="Tahoma"/>
            <family val="2"/>
          </rPr>
          <t xml:space="preserve">
Gewindelänge der TG-Schraube ansetzen.</t>
        </r>
      </text>
    </comment>
    <comment ref="E62" authorId="0">
      <text>
        <r>
          <rPr>
            <b/>
            <sz val="9"/>
            <color indexed="81"/>
            <rFont val="Tahoma"/>
            <family val="2"/>
          </rPr>
          <t>Blaß &amp; Eberhart:</t>
        </r>
        <r>
          <rPr>
            <sz val="9"/>
            <color indexed="81"/>
            <rFont val="Tahoma"/>
            <family val="2"/>
          </rPr>
          <t xml:space="preserve">
Tatsächliche Gewindelänge der TG-Schraube ansetzen</t>
        </r>
      </text>
    </comment>
    <comment ref="J62" authorId="0">
      <text>
        <r>
          <rPr>
            <b/>
            <sz val="9"/>
            <color indexed="81"/>
            <rFont val="Tahoma"/>
            <family val="2"/>
          </rPr>
          <t>Blaß &amp; Eberhart:</t>
        </r>
        <r>
          <rPr>
            <sz val="9"/>
            <color indexed="81"/>
            <rFont val="Tahoma"/>
            <family val="2"/>
          </rPr>
          <t xml:space="preserve">
Gewindelänge der TG-Schraube ansetzen.</t>
        </r>
      </text>
    </comment>
    <comment ref="E73" authorId="0">
      <text>
        <r>
          <rPr>
            <b/>
            <sz val="9"/>
            <color indexed="81"/>
            <rFont val="Tahoma"/>
            <family val="2"/>
          </rPr>
          <t>Blaß &amp; Eberhart:</t>
        </r>
        <r>
          <rPr>
            <sz val="9"/>
            <color indexed="81"/>
            <rFont val="Tahoma"/>
            <family val="2"/>
          </rPr>
          <t xml:space="preserve">
Falsche Zugtragfähigkeit angesetzt.</t>
        </r>
      </text>
    </comment>
    <comment ref="E79" authorId="0">
      <text>
        <r>
          <rPr>
            <b/>
            <sz val="9"/>
            <color indexed="81"/>
            <rFont val="Tahoma"/>
            <family val="2"/>
          </rPr>
          <t>Blaß &amp; Eberhart:</t>
        </r>
        <r>
          <rPr>
            <sz val="9"/>
            <color indexed="81"/>
            <rFont val="Tahoma"/>
            <family val="2"/>
          </rPr>
          <t xml:space="preserve">
Falsche Zugtragfähigkeit angesetzt.</t>
        </r>
      </text>
    </comment>
    <comment ref="E96" authorId="0">
      <text>
        <r>
          <rPr>
            <b/>
            <sz val="9"/>
            <color indexed="81"/>
            <rFont val="Tahoma"/>
            <family val="2"/>
          </rPr>
          <t>Blaß &amp; Eberhart:</t>
        </r>
        <r>
          <rPr>
            <sz val="9"/>
            <color indexed="81"/>
            <rFont val="Tahoma"/>
            <family val="2"/>
          </rPr>
          <t xml:space="preserve">
Tatsächliche Gewindelänge der TG-Schraube ansetzen</t>
        </r>
      </text>
    </comment>
    <comment ref="G113" authorId="0">
      <text>
        <r>
          <rPr>
            <b/>
            <sz val="9"/>
            <color indexed="81"/>
            <rFont val="Tahoma"/>
            <family val="2"/>
          </rPr>
          <t>Blaß &amp; Eberhart:</t>
        </r>
        <r>
          <rPr>
            <sz val="9"/>
            <color indexed="81"/>
            <rFont val="Tahoma"/>
            <family val="2"/>
          </rPr>
          <t xml:space="preserve">
Fv nur für die 8 mm Schraube maßgebend</t>
        </r>
      </text>
    </comment>
    <comment ref="E129" authorId="0">
      <text>
        <r>
          <rPr>
            <b/>
            <sz val="9"/>
            <color indexed="81"/>
            <rFont val="Tahoma"/>
            <family val="2"/>
          </rPr>
          <t>Blaß &amp; Eberhart:</t>
        </r>
        <r>
          <rPr>
            <sz val="9"/>
            <color indexed="81"/>
            <rFont val="Tahoma"/>
            <family val="2"/>
          </rPr>
          <t xml:space="preserve">
Tatsächliche Gewindelänge der TG-Schraube ansetzen</t>
        </r>
      </text>
    </comment>
    <comment ref="E135" authorId="0">
      <text>
        <r>
          <rPr>
            <b/>
            <sz val="9"/>
            <color indexed="81"/>
            <rFont val="Tahoma"/>
            <family val="2"/>
          </rPr>
          <t>Blaß &amp; Eberhart:</t>
        </r>
        <r>
          <rPr>
            <sz val="9"/>
            <color indexed="81"/>
            <rFont val="Tahoma"/>
            <family val="2"/>
          </rPr>
          <t xml:space="preserve">
Tatsächliche Gewindelänge der TG-Schraube ansetzen</t>
        </r>
      </text>
    </comment>
    <comment ref="I145" authorId="0">
      <text>
        <r>
          <rPr>
            <b/>
            <sz val="9"/>
            <color indexed="81"/>
            <rFont val="Tahoma"/>
            <family val="2"/>
          </rPr>
          <t>Blaß &amp; Eberhart:</t>
        </r>
        <r>
          <rPr>
            <sz val="9"/>
            <color indexed="81"/>
            <rFont val="Tahoma"/>
            <family val="2"/>
          </rPr>
          <t xml:space="preserve">
wird nur mit der 8 mm Schraube berechnet</t>
        </r>
      </text>
    </comment>
    <comment ref="I151" authorId="0">
      <text>
        <r>
          <rPr>
            <b/>
            <sz val="9"/>
            <color indexed="81"/>
            <rFont val="Tahoma"/>
            <family val="2"/>
          </rPr>
          <t>Blaß &amp; Eberhart:</t>
        </r>
        <r>
          <rPr>
            <sz val="9"/>
            <color indexed="81"/>
            <rFont val="Tahoma"/>
            <family val="2"/>
          </rPr>
          <t xml:space="preserve">
wird nur mit der 8 mm Schraube berechnet</t>
        </r>
      </text>
    </comment>
  </commentList>
</comments>
</file>

<file path=xl/sharedStrings.xml><?xml version="1.0" encoding="utf-8"?>
<sst xmlns="http://schemas.openxmlformats.org/spreadsheetml/2006/main" count="713" uniqueCount="281">
  <si>
    <t>KLED</t>
  </si>
  <si>
    <t>kmod</t>
  </si>
  <si>
    <t>ständig</t>
  </si>
  <si>
    <t>kurz</t>
  </si>
  <si>
    <t>Vollgewindeschrauben</t>
  </si>
  <si>
    <t>Bemessung:</t>
  </si>
  <si>
    <t>Nebenträgerabmessung:</t>
  </si>
  <si>
    <t>beanspruchter</t>
  </si>
  <si>
    <t>Rand</t>
  </si>
  <si>
    <t>spruchter Rand</t>
  </si>
  <si>
    <t>unbean-</t>
  </si>
  <si>
    <t>Verhältnis a/h =</t>
  </si>
  <si>
    <r>
      <t>Zugkraft F</t>
    </r>
    <r>
      <rPr>
        <vertAlign val="subscript"/>
        <sz val="12"/>
        <rFont val="Myriad Pro"/>
        <family val="2"/>
      </rPr>
      <t>t,90,d</t>
    </r>
    <r>
      <rPr>
        <sz val="12"/>
        <rFont val="Myriad Pro"/>
        <family val="2"/>
      </rPr>
      <t xml:space="preserve"> =</t>
    </r>
  </si>
  <si>
    <r>
      <t>l</t>
    </r>
    <r>
      <rPr>
        <vertAlign val="subscript"/>
        <sz val="12"/>
        <rFont val="Myriad Pro"/>
        <family val="2"/>
      </rPr>
      <t>ef</t>
    </r>
    <r>
      <rPr>
        <sz val="12"/>
        <rFont val="Myriad Pro"/>
        <family val="2"/>
      </rPr>
      <t xml:space="preserve"> = l</t>
    </r>
    <r>
      <rPr>
        <vertAlign val="subscript"/>
        <sz val="12"/>
        <rFont val="Myriad Pro"/>
        <family val="2"/>
      </rPr>
      <t xml:space="preserve">Scr </t>
    </r>
    <r>
      <rPr>
        <sz val="12"/>
        <rFont val="Myriad Pro"/>
        <family val="2"/>
      </rPr>
      <t>- a =</t>
    </r>
  </si>
  <si>
    <t>Nachweis:</t>
  </si>
  <si>
    <t>Die Berechnung hat im Einzelfall der Kunde auf eigene Verantwortung vorzunehmen. Die Vorgabe der KNAPP GmbH stellt lediglich eine Möglichkeit dar. Eine Haftung der KNAPP GmbH für die Berechnung und das Ergebnis ist ausgeschlossen.</t>
  </si>
  <si>
    <t>[mm]</t>
  </si>
  <si>
    <t>[-]</t>
  </si>
  <si>
    <t>N/mm²</t>
  </si>
  <si>
    <t>Firma:</t>
  </si>
  <si>
    <t>Bauvorhaben:</t>
  </si>
  <si>
    <t>Datum:</t>
  </si>
  <si>
    <t>Bearbeiter:</t>
  </si>
  <si>
    <t>Verkäufer:</t>
  </si>
  <si>
    <r>
      <t>F</t>
    </r>
    <r>
      <rPr>
        <vertAlign val="subscript"/>
        <sz val="12"/>
        <rFont val="Myriad Pro"/>
        <family val="2"/>
      </rPr>
      <t>2,Rd</t>
    </r>
  </si>
  <si>
    <t>Überprüfung des Querzugverhalten im Nebenträger nach EN 1995</t>
  </si>
  <si>
    <r>
      <t>F</t>
    </r>
    <r>
      <rPr>
        <vertAlign val="subscript"/>
        <sz val="12"/>
        <rFont val="Myriad Pro"/>
        <family val="2"/>
      </rPr>
      <t>ax,Rd</t>
    </r>
    <r>
      <rPr>
        <sz val="12"/>
        <rFont val="Myriad Pro"/>
        <family val="2"/>
      </rPr>
      <t xml:space="preserve"> = R</t>
    </r>
    <r>
      <rPr>
        <vertAlign val="subscript"/>
        <sz val="12"/>
        <rFont val="Myriad Pro"/>
        <family val="2"/>
      </rPr>
      <t>ax,k</t>
    </r>
    <r>
      <rPr>
        <sz val="12"/>
        <rFont val="Myriad Pro"/>
        <family val="2"/>
      </rPr>
      <t xml:space="preserve"> x k</t>
    </r>
    <r>
      <rPr>
        <vertAlign val="subscript"/>
        <sz val="12"/>
        <rFont val="Myriad Pro"/>
        <family val="2"/>
      </rPr>
      <t>mod</t>
    </r>
    <r>
      <rPr>
        <sz val="12"/>
        <rFont val="Myriad Pro"/>
        <family val="2"/>
      </rPr>
      <t>/ 1,3 =</t>
    </r>
  </si>
  <si>
    <r>
      <t>Load direction F</t>
    </r>
    <r>
      <rPr>
        <b/>
        <vertAlign val="subscript"/>
        <sz val="18"/>
        <color indexed="8"/>
        <rFont val="Calibri"/>
        <family val="2"/>
      </rPr>
      <t>1</t>
    </r>
    <r>
      <rPr>
        <b/>
        <sz val="18"/>
        <color indexed="8"/>
        <rFont val="Calibri"/>
        <family val="2"/>
      </rPr>
      <t xml:space="preserve"> perpendicular to the connector plate</t>
    </r>
  </si>
  <si>
    <t>Knapp Connector</t>
  </si>
  <si>
    <r>
      <t>F</t>
    </r>
    <r>
      <rPr>
        <vertAlign val="subscript"/>
        <sz val="11"/>
        <color indexed="8"/>
        <rFont val="Calibri"/>
        <family val="2"/>
      </rPr>
      <t>1,KCC,RK</t>
    </r>
  </si>
  <si>
    <r>
      <t>a</t>
    </r>
    <r>
      <rPr>
        <vertAlign val="subscript"/>
        <sz val="11"/>
        <color indexed="8"/>
        <rFont val="Calibri"/>
        <family val="2"/>
      </rPr>
      <t>c</t>
    </r>
  </si>
  <si>
    <r>
      <t>e</t>
    </r>
    <r>
      <rPr>
        <vertAlign val="subscript"/>
        <sz val="11"/>
        <color indexed="8"/>
        <rFont val="Calibri"/>
        <family val="2"/>
      </rPr>
      <t>1</t>
    </r>
  </si>
  <si>
    <r>
      <t>n</t>
    </r>
    <r>
      <rPr>
        <vertAlign val="subscript"/>
        <sz val="11"/>
        <color indexed="8"/>
        <rFont val="Calibri"/>
        <family val="2"/>
      </rPr>
      <t>ef</t>
    </r>
  </si>
  <si>
    <r>
      <t>l</t>
    </r>
    <r>
      <rPr>
        <vertAlign val="subscript"/>
        <sz val="11"/>
        <color indexed="8"/>
        <rFont val="Calibri"/>
        <family val="2"/>
      </rPr>
      <t>ef (H)</t>
    </r>
  </si>
  <si>
    <r>
      <t>l</t>
    </r>
    <r>
      <rPr>
        <vertAlign val="subscript"/>
        <sz val="11"/>
        <color indexed="8"/>
        <rFont val="Calibri"/>
        <family val="2"/>
      </rPr>
      <t>ef (J)</t>
    </r>
  </si>
  <si>
    <t>d</t>
  </si>
  <si>
    <r>
      <t>F</t>
    </r>
    <r>
      <rPr>
        <vertAlign val="subscript"/>
        <sz val="11"/>
        <color indexed="8"/>
        <rFont val="Calibri"/>
        <family val="2"/>
      </rPr>
      <t>ax,Rk (H)</t>
    </r>
  </si>
  <si>
    <r>
      <t>F</t>
    </r>
    <r>
      <rPr>
        <vertAlign val="subscript"/>
        <sz val="11"/>
        <color indexed="8"/>
        <rFont val="Calibri"/>
        <family val="2"/>
      </rPr>
      <t>ax,Rk (J)</t>
    </r>
  </si>
  <si>
    <r>
      <t>F</t>
    </r>
    <r>
      <rPr>
        <b/>
        <vertAlign val="subscript"/>
        <sz val="11"/>
        <color indexed="8"/>
        <rFont val="Calibri"/>
        <family val="2"/>
      </rPr>
      <t>1,Rk</t>
    </r>
  </si>
  <si>
    <t>[kN]</t>
  </si>
  <si>
    <t>[pcs]</t>
  </si>
  <si>
    <r>
      <t>characteristic density</t>
    </r>
    <r>
      <rPr>
        <sz val="11"/>
        <color indexed="8"/>
        <rFont val="Symbol"/>
        <family val="1"/>
        <charset val="2"/>
      </rPr>
      <t xml:space="preserve"> r</t>
    </r>
    <r>
      <rPr>
        <vertAlign val="subscript"/>
        <sz val="11"/>
        <color indexed="8"/>
        <rFont val="Calibri"/>
        <family val="2"/>
      </rPr>
      <t>k</t>
    </r>
    <r>
      <rPr>
        <sz val="12"/>
        <rFont val="Myriad Pro Light"/>
        <family val="2"/>
      </rPr>
      <t xml:space="preserve"> =</t>
    </r>
  </si>
  <si>
    <t>kg/m³</t>
  </si>
  <si>
    <r>
      <t>Load direction F</t>
    </r>
    <r>
      <rPr>
        <b/>
        <vertAlign val="subscript"/>
        <sz val="18"/>
        <color indexed="8"/>
        <rFont val="Calibri"/>
        <family val="2"/>
      </rPr>
      <t>2</t>
    </r>
    <r>
      <rPr>
        <b/>
        <sz val="18"/>
        <color indexed="8"/>
        <rFont val="Calibri"/>
        <family val="2"/>
      </rPr>
      <t xml:space="preserve"> in the direction of insertion</t>
    </r>
  </si>
  <si>
    <t>Nmm</t>
  </si>
  <si>
    <t>outer thread diameter d =</t>
  </si>
  <si>
    <t>mm</t>
  </si>
  <si>
    <t>n</t>
  </si>
  <si>
    <r>
      <t>l</t>
    </r>
    <r>
      <rPr>
        <vertAlign val="subscript"/>
        <sz val="11"/>
        <color indexed="8"/>
        <rFont val="Calibri"/>
        <family val="2"/>
      </rPr>
      <t xml:space="preserve">ef </t>
    </r>
  </si>
  <si>
    <r>
      <t>F</t>
    </r>
    <r>
      <rPr>
        <vertAlign val="subscript"/>
        <sz val="11"/>
        <color indexed="8"/>
        <rFont val="Calibri"/>
        <family val="2"/>
      </rPr>
      <t>ax,J,RK</t>
    </r>
  </si>
  <si>
    <r>
      <t>F</t>
    </r>
    <r>
      <rPr>
        <vertAlign val="subscript"/>
        <sz val="11"/>
        <color indexed="8"/>
        <rFont val="Calibri"/>
        <family val="2"/>
      </rPr>
      <t>v,J,Rk</t>
    </r>
    <r>
      <rPr>
        <sz val="12"/>
        <rFont val="Myriad Pro Light"/>
        <family val="2"/>
      </rPr>
      <t xml:space="preserve"> </t>
    </r>
  </si>
  <si>
    <r>
      <rPr>
        <sz val="11"/>
        <color indexed="8"/>
        <rFont val="Symbol"/>
        <family val="1"/>
        <charset val="2"/>
      </rPr>
      <t>S</t>
    </r>
    <r>
      <rPr>
        <sz val="12"/>
        <rFont val="Myriad Pro Light"/>
        <family val="2"/>
      </rPr>
      <t xml:space="preserve"> F</t>
    </r>
    <r>
      <rPr>
        <vertAlign val="subscript"/>
        <sz val="11"/>
        <color indexed="8"/>
        <rFont val="Calibri"/>
        <family val="2"/>
      </rPr>
      <t>v,J,Rk</t>
    </r>
  </si>
  <si>
    <r>
      <t>F</t>
    </r>
    <r>
      <rPr>
        <vertAlign val="subscript"/>
        <sz val="11"/>
        <color indexed="8"/>
        <rFont val="Calibri"/>
        <family val="2"/>
      </rPr>
      <t>ax,H,RK</t>
    </r>
  </si>
  <si>
    <r>
      <t>F</t>
    </r>
    <r>
      <rPr>
        <vertAlign val="subscript"/>
        <sz val="11"/>
        <color indexed="8"/>
        <rFont val="Calibri"/>
        <family val="2"/>
      </rPr>
      <t>v,H,Rk</t>
    </r>
    <r>
      <rPr>
        <sz val="12"/>
        <rFont val="Myriad Pro Light"/>
        <family val="2"/>
      </rPr>
      <t xml:space="preserve"> </t>
    </r>
  </si>
  <si>
    <r>
      <rPr>
        <sz val="11"/>
        <color indexed="8"/>
        <rFont val="Symbol"/>
        <family val="1"/>
        <charset val="2"/>
      </rPr>
      <t>S</t>
    </r>
    <r>
      <rPr>
        <sz val="12"/>
        <rFont val="Myriad Pro Light"/>
        <family val="2"/>
      </rPr>
      <t xml:space="preserve"> F</t>
    </r>
    <r>
      <rPr>
        <vertAlign val="subscript"/>
        <sz val="11"/>
        <color indexed="8"/>
        <rFont val="Calibri"/>
        <family val="2"/>
      </rPr>
      <t>v,H,Rk</t>
    </r>
  </si>
  <si>
    <t>EC 5</t>
  </si>
  <si>
    <t>F2,Rd [kN]</t>
  </si>
  <si>
    <r>
      <t>F</t>
    </r>
    <r>
      <rPr>
        <vertAlign val="subscript"/>
        <sz val="11"/>
        <color indexed="8"/>
        <rFont val="Calibri"/>
        <family val="2"/>
      </rPr>
      <t>2,KCC,RK</t>
    </r>
  </si>
  <si>
    <r>
      <t>k</t>
    </r>
    <r>
      <rPr>
        <vertAlign val="subscript"/>
        <sz val="11"/>
        <color indexed="8"/>
        <rFont val="Calibri"/>
        <family val="2"/>
      </rPr>
      <t>H,2</t>
    </r>
  </si>
  <si>
    <r>
      <t>F</t>
    </r>
    <r>
      <rPr>
        <vertAlign val="subscript"/>
        <sz val="11"/>
        <color indexed="8"/>
        <rFont val="Calibri"/>
        <family val="2"/>
      </rPr>
      <t>2,H,Rk</t>
    </r>
  </si>
  <si>
    <r>
      <t>F</t>
    </r>
    <r>
      <rPr>
        <b/>
        <vertAlign val="subscript"/>
        <sz val="11"/>
        <color indexed="8"/>
        <rFont val="Calibri"/>
        <family val="2"/>
      </rPr>
      <t>2,R,k</t>
    </r>
  </si>
  <si>
    <r>
      <t>Centric and eccentric load F</t>
    </r>
    <r>
      <rPr>
        <b/>
        <vertAlign val="subscript"/>
        <sz val="18"/>
        <color indexed="8"/>
        <rFont val="Myriad Pro"/>
        <family val="2"/>
      </rPr>
      <t>45</t>
    </r>
    <r>
      <rPr>
        <b/>
        <sz val="18"/>
        <color indexed="8"/>
        <rFont val="Myriad Pro"/>
        <family val="2"/>
      </rPr>
      <t xml:space="preserve"> - perpendicular to the direction of insertion</t>
    </r>
  </si>
  <si>
    <r>
      <t>F</t>
    </r>
    <r>
      <rPr>
        <vertAlign val="subscript"/>
        <sz val="11"/>
        <color indexed="8"/>
        <rFont val="Calibri"/>
        <family val="2"/>
      </rPr>
      <t>v,mittel,J,Rk</t>
    </r>
  </si>
  <si>
    <r>
      <t>F</t>
    </r>
    <r>
      <rPr>
        <vertAlign val="subscript"/>
        <sz val="11"/>
        <color indexed="8"/>
        <rFont val="Calibri"/>
        <family val="2"/>
      </rPr>
      <t>v,J,mittel,Rk</t>
    </r>
  </si>
  <si>
    <r>
      <t>n</t>
    </r>
    <r>
      <rPr>
        <vertAlign val="subscript"/>
        <sz val="11"/>
        <color indexed="8"/>
        <rFont val="Calibri"/>
        <family val="2"/>
      </rPr>
      <t>45</t>
    </r>
  </si>
  <si>
    <r>
      <t>a</t>
    </r>
    <r>
      <rPr>
        <vertAlign val="subscript"/>
        <sz val="11"/>
        <color indexed="8"/>
        <rFont val="Calibri"/>
        <family val="2"/>
      </rPr>
      <t xml:space="preserve">1 </t>
    </r>
  </si>
  <si>
    <r>
      <t>a</t>
    </r>
    <r>
      <rPr>
        <vertAlign val="subscript"/>
        <sz val="11"/>
        <color indexed="8"/>
        <rFont val="Calibri"/>
        <family val="2"/>
      </rPr>
      <t>2</t>
    </r>
    <r>
      <rPr>
        <sz val="11"/>
        <color indexed="8"/>
        <rFont val="Calibri"/>
        <family val="2"/>
      </rPr>
      <t/>
    </r>
  </si>
  <si>
    <r>
      <t>e</t>
    </r>
    <r>
      <rPr>
        <vertAlign val="subscript"/>
        <sz val="11"/>
        <color indexed="8"/>
        <rFont val="Calibri"/>
        <family val="2"/>
      </rPr>
      <t>J,45</t>
    </r>
  </si>
  <si>
    <r>
      <t>F</t>
    </r>
    <r>
      <rPr>
        <vertAlign val="subscript"/>
        <sz val="11"/>
        <color indexed="8"/>
        <rFont val="Calibri"/>
        <family val="2"/>
      </rPr>
      <t>45,J,Rk</t>
    </r>
    <r>
      <rPr>
        <sz val="12"/>
        <rFont val="Myriad Pro Light"/>
        <family val="2"/>
      </rPr>
      <t xml:space="preserve"> </t>
    </r>
  </si>
  <si>
    <r>
      <t>F</t>
    </r>
    <r>
      <rPr>
        <vertAlign val="subscript"/>
        <sz val="11"/>
        <color indexed="8"/>
        <rFont val="Calibri"/>
        <family val="2"/>
      </rPr>
      <t>v,mittel,H,Rk</t>
    </r>
  </si>
  <si>
    <r>
      <t>F</t>
    </r>
    <r>
      <rPr>
        <vertAlign val="subscript"/>
        <sz val="11"/>
        <color indexed="8"/>
        <rFont val="Calibri"/>
        <family val="2"/>
      </rPr>
      <t>v,H,mittel,Rk</t>
    </r>
  </si>
  <si>
    <r>
      <t>F</t>
    </r>
    <r>
      <rPr>
        <vertAlign val="subscript"/>
        <sz val="11"/>
        <color indexed="8"/>
        <rFont val="Calibri"/>
        <family val="2"/>
      </rPr>
      <t>ax</t>
    </r>
    <r>
      <rPr>
        <vertAlign val="subscript"/>
        <sz val="11"/>
        <color indexed="8"/>
        <rFont val="Calibri"/>
        <family val="2"/>
      </rPr>
      <t>,H,mittel,Rk</t>
    </r>
  </si>
  <si>
    <r>
      <t>k</t>
    </r>
    <r>
      <rPr>
        <vertAlign val="subscript"/>
        <sz val="11"/>
        <color indexed="8"/>
        <rFont val="Calibri"/>
        <family val="2"/>
      </rPr>
      <t>H,45</t>
    </r>
    <r>
      <rPr>
        <sz val="11"/>
        <color indexed="8"/>
        <rFont val="Calibri"/>
        <family val="2"/>
      </rPr>
      <t/>
    </r>
  </si>
  <si>
    <r>
      <t>e</t>
    </r>
    <r>
      <rPr>
        <vertAlign val="subscript"/>
        <sz val="11"/>
        <color indexed="8"/>
        <rFont val="Calibri"/>
        <family val="2"/>
      </rPr>
      <t>H,45</t>
    </r>
  </si>
  <si>
    <r>
      <t>F</t>
    </r>
    <r>
      <rPr>
        <vertAlign val="subscript"/>
        <sz val="11"/>
        <color indexed="8"/>
        <rFont val="Calibri"/>
        <family val="2"/>
      </rPr>
      <t>45,H,Rk</t>
    </r>
    <r>
      <rPr>
        <sz val="12"/>
        <rFont val="Myriad Pro Light"/>
        <family val="2"/>
      </rPr>
      <t xml:space="preserve"> </t>
    </r>
  </si>
  <si>
    <r>
      <t xml:space="preserve"> F</t>
    </r>
    <r>
      <rPr>
        <vertAlign val="subscript"/>
        <sz val="11"/>
        <color indexed="8"/>
        <rFont val="Calibri"/>
        <family val="2"/>
      </rPr>
      <t>45,J,Rk</t>
    </r>
  </si>
  <si>
    <r>
      <t>F</t>
    </r>
    <r>
      <rPr>
        <vertAlign val="subscript"/>
        <sz val="11"/>
        <color indexed="8"/>
        <rFont val="Calibri"/>
        <family val="2"/>
      </rPr>
      <t>45,KCC,RK</t>
    </r>
  </si>
  <si>
    <r>
      <t>F</t>
    </r>
    <r>
      <rPr>
        <vertAlign val="subscript"/>
        <sz val="11"/>
        <color indexed="8"/>
        <rFont val="Calibri"/>
        <family val="2"/>
      </rPr>
      <t>45</t>
    </r>
    <r>
      <rPr>
        <vertAlign val="subscript"/>
        <sz val="11"/>
        <color indexed="8"/>
        <rFont val="Calibri"/>
        <family val="2"/>
      </rPr>
      <t>,H,Rk</t>
    </r>
  </si>
  <si>
    <r>
      <t>F</t>
    </r>
    <r>
      <rPr>
        <b/>
        <vertAlign val="subscript"/>
        <sz val="11"/>
        <color indexed="8"/>
        <rFont val="Calibri"/>
        <family val="2"/>
      </rPr>
      <t>45,R,k</t>
    </r>
  </si>
  <si>
    <r>
      <t>Rohdichte</t>
    </r>
    <r>
      <rPr>
        <sz val="12"/>
        <rFont val="Symbol"/>
        <family val="1"/>
        <charset val="2"/>
      </rPr>
      <t xml:space="preserve"> r</t>
    </r>
    <r>
      <rPr>
        <vertAlign val="subscript"/>
        <sz val="12"/>
        <rFont val="Myriad Pro"/>
        <family val="2"/>
      </rPr>
      <t>k</t>
    </r>
    <r>
      <rPr>
        <sz val="12"/>
        <rFont val="Myriad Pro"/>
        <family val="2"/>
      </rPr>
      <t xml:space="preserve"> =</t>
    </r>
  </si>
  <si>
    <r>
      <t>F</t>
    </r>
    <r>
      <rPr>
        <vertAlign val="subscript"/>
        <sz val="12"/>
        <rFont val="Myriad Pro"/>
        <family val="2"/>
      </rPr>
      <t>1,Rd</t>
    </r>
  </si>
  <si>
    <r>
      <t>F</t>
    </r>
    <r>
      <rPr>
        <vertAlign val="subscript"/>
        <sz val="12"/>
        <rFont val="Myriad Pro"/>
        <family val="2"/>
      </rPr>
      <t>45,Rd</t>
    </r>
  </si>
  <si>
    <t>Bemessungswerte der Tragfähigkeit</t>
  </si>
  <si>
    <t>Verbinderauswahl:</t>
  </si>
  <si>
    <t>Eingabe</t>
  </si>
  <si>
    <t>Verknüpfte Eingabe</t>
  </si>
  <si>
    <r>
      <t>f</t>
    </r>
    <r>
      <rPr>
        <vertAlign val="subscript"/>
        <sz val="11"/>
        <color indexed="8"/>
        <rFont val="Calibri"/>
        <family val="2"/>
      </rPr>
      <t>tens,k</t>
    </r>
  </si>
  <si>
    <r>
      <t>In Einschubrichtung F</t>
    </r>
    <r>
      <rPr>
        <vertAlign val="subscript"/>
        <sz val="12"/>
        <rFont val="Myriad Pro Light"/>
        <family val="2"/>
      </rPr>
      <t>2,Rd</t>
    </r>
    <r>
      <rPr>
        <sz val="12"/>
        <rFont val="Myriad Pro Light"/>
        <family val="2"/>
      </rPr>
      <t xml:space="preserve"> [kN]</t>
    </r>
  </si>
  <si>
    <r>
      <t>F</t>
    </r>
    <r>
      <rPr>
        <vertAlign val="subscript"/>
        <sz val="12"/>
        <rFont val="Myriad Pro Light"/>
        <family val="2"/>
      </rPr>
      <t xml:space="preserve">45,Rd </t>
    </r>
    <r>
      <rPr>
        <sz val="12"/>
        <rFont val="Myriad Pro Light"/>
        <family val="2"/>
      </rPr>
      <t>[kN]</t>
    </r>
  </si>
  <si>
    <r>
      <t>Tensile Force F</t>
    </r>
    <r>
      <rPr>
        <vertAlign val="subscript"/>
        <sz val="12"/>
        <rFont val="Myriad Pro Light"/>
        <family val="2"/>
      </rPr>
      <t xml:space="preserve">1,Rd </t>
    </r>
    <r>
      <rPr>
        <sz val="12"/>
        <rFont val="Myriad Pro Light"/>
        <family val="2"/>
      </rPr>
      <t>[kN]</t>
    </r>
  </si>
  <si>
    <r>
      <t>characteristic density</t>
    </r>
    <r>
      <rPr>
        <sz val="11"/>
        <color indexed="8"/>
        <rFont val="Symbol"/>
        <family val="1"/>
        <charset val="2"/>
      </rPr>
      <t xml:space="preserve"> r</t>
    </r>
    <r>
      <rPr>
        <vertAlign val="subscript"/>
        <sz val="11"/>
        <color indexed="8"/>
        <rFont val="Calibri"/>
        <family val="2"/>
      </rPr>
      <t>k</t>
    </r>
    <r>
      <rPr>
        <sz val="11"/>
        <rFont val="Myriad Pro Light"/>
        <family val="2"/>
      </rPr>
      <t xml:space="preserve"> =</t>
    </r>
  </si>
  <si>
    <r>
      <t>char. yield moment M</t>
    </r>
    <r>
      <rPr>
        <vertAlign val="subscript"/>
        <sz val="11"/>
        <color indexed="8"/>
        <rFont val="Calibri"/>
        <family val="2"/>
      </rPr>
      <t>y,Rk</t>
    </r>
    <r>
      <rPr>
        <sz val="11"/>
        <rFont val="Myriad Pro Light"/>
        <family val="2"/>
      </rPr>
      <t xml:space="preserve"> =</t>
    </r>
  </si>
  <si>
    <r>
      <t>Embedding strength f</t>
    </r>
    <r>
      <rPr>
        <vertAlign val="subscript"/>
        <sz val="11"/>
        <color indexed="8"/>
        <rFont val="Calibri"/>
        <family val="2"/>
      </rPr>
      <t xml:space="preserve">h,J,k </t>
    </r>
    <r>
      <rPr>
        <sz val="11"/>
        <rFont val="Myriad Pro Light"/>
        <family val="2"/>
      </rPr>
      <t>=</t>
    </r>
  </si>
  <si>
    <r>
      <t>Embedding strength f</t>
    </r>
    <r>
      <rPr>
        <vertAlign val="subscript"/>
        <sz val="11"/>
        <color indexed="8"/>
        <rFont val="Calibri"/>
        <family val="2"/>
      </rPr>
      <t xml:space="preserve">h,H,k </t>
    </r>
    <r>
      <rPr>
        <sz val="11"/>
        <rFont val="Myriad Pro Light"/>
        <family val="2"/>
      </rPr>
      <t>=</t>
    </r>
  </si>
  <si>
    <t>Knapp Verbinder</t>
  </si>
  <si>
    <r>
      <t>Rechtwinklig zur Einschubrichtung F</t>
    </r>
    <r>
      <rPr>
        <vertAlign val="subscript"/>
        <sz val="12"/>
        <rFont val="Myriad Pro Light"/>
        <family val="2"/>
      </rPr>
      <t>45,Rd</t>
    </r>
    <r>
      <rPr>
        <sz val="12"/>
        <rFont val="Myriad Pro Light"/>
        <family val="2"/>
      </rPr>
      <t xml:space="preserve"> [kN]</t>
    </r>
  </si>
  <si>
    <t>Lastfall:</t>
  </si>
  <si>
    <t>LFK1: g</t>
  </si>
  <si>
    <r>
      <t>F</t>
    </r>
    <r>
      <rPr>
        <vertAlign val="subscript"/>
        <sz val="12"/>
        <rFont val="Myriad Pro"/>
        <family val="2"/>
      </rPr>
      <t>3,Rd</t>
    </r>
  </si>
  <si>
    <r>
      <t>(F</t>
    </r>
    <r>
      <rPr>
        <vertAlign val="subscript"/>
        <sz val="12"/>
        <rFont val="Myriad Pro"/>
        <family val="2"/>
      </rPr>
      <t>1,d</t>
    </r>
    <r>
      <rPr>
        <sz val="12"/>
        <rFont val="Myriad Pro"/>
        <family val="2"/>
      </rPr>
      <t>/F</t>
    </r>
    <r>
      <rPr>
        <vertAlign val="subscript"/>
        <sz val="12"/>
        <rFont val="Myriad Pro"/>
        <family val="2"/>
      </rPr>
      <t>1,Rd</t>
    </r>
    <r>
      <rPr>
        <sz val="12"/>
        <rFont val="Myriad Pro"/>
        <family val="2"/>
      </rPr>
      <t>)²</t>
    </r>
  </si>
  <si>
    <r>
      <t>(F</t>
    </r>
    <r>
      <rPr>
        <vertAlign val="subscript"/>
        <sz val="12"/>
        <rFont val="Myriad Pro"/>
        <family val="2"/>
      </rPr>
      <t>45,d</t>
    </r>
    <r>
      <rPr>
        <sz val="12"/>
        <rFont val="Myriad Pro"/>
        <family val="2"/>
      </rPr>
      <t>/F</t>
    </r>
    <r>
      <rPr>
        <vertAlign val="subscript"/>
        <sz val="12"/>
        <rFont val="Myriad Pro"/>
        <family val="2"/>
      </rPr>
      <t>45,Rd</t>
    </r>
    <r>
      <rPr>
        <sz val="12"/>
        <rFont val="Myriad Pro"/>
        <family val="2"/>
      </rPr>
      <t>)²</t>
    </r>
  </si>
  <si>
    <r>
      <rPr>
        <sz val="12"/>
        <rFont val="Symbol"/>
        <family val="1"/>
        <charset val="2"/>
      </rPr>
      <t>S</t>
    </r>
    <r>
      <rPr>
        <sz val="12"/>
        <rFont val="Myriad Pro"/>
        <family val="2"/>
      </rPr>
      <t xml:space="preserve"> Nachweise</t>
    </r>
  </si>
  <si>
    <r>
      <t>F</t>
    </r>
    <r>
      <rPr>
        <vertAlign val="subscript"/>
        <sz val="12"/>
        <rFont val="Myriad Pro"/>
        <family val="2"/>
      </rPr>
      <t>2,d</t>
    </r>
    <r>
      <rPr>
        <sz val="12"/>
        <rFont val="Myriad Pro"/>
        <family val="2"/>
      </rPr>
      <t>/F</t>
    </r>
    <r>
      <rPr>
        <vertAlign val="subscript"/>
        <sz val="12"/>
        <rFont val="Myriad Pro"/>
        <family val="2"/>
      </rPr>
      <t xml:space="preserve">2,Rd </t>
    </r>
    <r>
      <rPr>
        <sz val="12"/>
        <rFont val="Myriad Pro"/>
        <family val="2"/>
      </rPr>
      <t>oder (F</t>
    </r>
    <r>
      <rPr>
        <vertAlign val="subscript"/>
        <sz val="12"/>
        <rFont val="Myriad Pro"/>
        <family val="2"/>
      </rPr>
      <t>2,d</t>
    </r>
    <r>
      <rPr>
        <sz val="12"/>
        <rFont val="Myriad Pro"/>
        <family val="2"/>
      </rPr>
      <t>/F</t>
    </r>
    <r>
      <rPr>
        <vertAlign val="subscript"/>
        <sz val="12"/>
        <rFont val="Myriad Pro"/>
        <family val="2"/>
      </rPr>
      <t>2,Rd</t>
    </r>
    <r>
      <rPr>
        <sz val="12"/>
        <rFont val="Myriad Pro"/>
        <family val="2"/>
      </rPr>
      <t>)²</t>
    </r>
  </si>
  <si>
    <r>
      <t>F</t>
    </r>
    <r>
      <rPr>
        <vertAlign val="subscript"/>
        <sz val="12"/>
        <rFont val="Myriad Pro"/>
        <family val="2"/>
      </rPr>
      <t>3,d</t>
    </r>
    <r>
      <rPr>
        <sz val="12"/>
        <rFont val="Myriad Pro"/>
        <family val="2"/>
      </rPr>
      <t>/F</t>
    </r>
    <r>
      <rPr>
        <vertAlign val="subscript"/>
        <sz val="12"/>
        <rFont val="Myriad Pro"/>
        <family val="2"/>
      </rPr>
      <t xml:space="preserve">3,Rd </t>
    </r>
    <r>
      <rPr>
        <sz val="12"/>
        <rFont val="Myriad Pro"/>
        <family val="2"/>
      </rPr>
      <t>oder (F</t>
    </r>
    <r>
      <rPr>
        <vertAlign val="subscript"/>
        <sz val="12"/>
        <rFont val="Myriad Pro"/>
        <family val="2"/>
      </rPr>
      <t>3,d</t>
    </r>
    <r>
      <rPr>
        <sz val="12"/>
        <rFont val="Myriad Pro"/>
        <family val="2"/>
      </rPr>
      <t>/F</t>
    </r>
    <r>
      <rPr>
        <vertAlign val="subscript"/>
        <sz val="12"/>
        <rFont val="Myriad Pro"/>
        <family val="2"/>
      </rPr>
      <t>3,Rd</t>
    </r>
    <r>
      <rPr>
        <sz val="12"/>
        <rFont val="Myriad Pro"/>
        <family val="2"/>
      </rPr>
      <t>)²</t>
    </r>
  </si>
  <si>
    <t>LFK2: g+s</t>
  </si>
  <si>
    <t>LFK3: g+n</t>
  </si>
  <si>
    <t>LFK4: g+s+wd</t>
  </si>
  <si>
    <t>LFK5: g+ws</t>
  </si>
  <si>
    <t>mittel</t>
  </si>
  <si>
    <t>lang</t>
  </si>
  <si>
    <r>
      <t>Rechtwinklig zur Einschubrichtung F</t>
    </r>
    <r>
      <rPr>
        <vertAlign val="subscript"/>
        <sz val="12"/>
        <rFont val="Myriad Pro"/>
        <family val="2"/>
      </rPr>
      <t>45,d</t>
    </r>
  </si>
  <si>
    <r>
      <t>In Einschub-
richtung 
F</t>
    </r>
    <r>
      <rPr>
        <vertAlign val="subscript"/>
        <sz val="12"/>
        <rFont val="Myriad Pro"/>
        <family val="2"/>
      </rPr>
      <t>2,d</t>
    </r>
  </si>
  <si>
    <t>Belastung:</t>
  </si>
  <si>
    <t>Verbinder-höhe</t>
  </si>
  <si>
    <t>Verbinder-breite</t>
  </si>
  <si>
    <r>
      <t>Entgegen Einschubricht.
F</t>
    </r>
    <r>
      <rPr>
        <vertAlign val="subscript"/>
        <sz val="12"/>
        <rFont val="Myriad Pro"/>
        <family val="2"/>
      </rPr>
      <t>3,d</t>
    </r>
  </si>
  <si>
    <t>(ständige Lasten: Eigengewicht)</t>
  </si>
  <si>
    <t>(veränderliche Lasten: Schnee, Wind, Nutzlast)</t>
  </si>
  <si>
    <r>
      <t>Sofern a/H</t>
    </r>
    <r>
      <rPr>
        <vertAlign val="subscript"/>
        <sz val="12"/>
        <rFont val="Myriad Pro"/>
        <family val="2"/>
      </rPr>
      <t>N</t>
    </r>
    <r>
      <rPr>
        <sz val="12"/>
        <rFont val="Myriad Pro"/>
        <family val="2"/>
      </rPr>
      <t xml:space="preserve"> &gt;0,7 ist oder ein Aufspalten des Nebenträgers durch eine Querzugverstärkung mit selbstbohrende Vollgewindeschrauben nach allgemeiner Zulassung verhindert wird, darf ein genauerer Querzugnachweis im Nebenträger entfallen !</t>
    </r>
  </si>
  <si>
    <r>
      <t>max F</t>
    </r>
    <r>
      <rPr>
        <vertAlign val="subscript"/>
        <sz val="12"/>
        <rFont val="Myriad Pro"/>
        <family val="2"/>
      </rPr>
      <t>2,d</t>
    </r>
    <r>
      <rPr>
        <sz val="12"/>
        <rFont val="Myriad Pro"/>
        <family val="2"/>
      </rPr>
      <t xml:space="preserve"> =</t>
    </r>
  </si>
  <si>
    <r>
      <t>f</t>
    </r>
    <r>
      <rPr>
        <vertAlign val="subscript"/>
        <sz val="12"/>
        <rFont val="Myriad Pro"/>
        <family val="2"/>
      </rPr>
      <t>ax,k</t>
    </r>
    <r>
      <rPr>
        <sz val="12"/>
        <rFont val="Myriad Pro"/>
        <family val="2"/>
      </rPr>
      <t xml:space="preserve"> =</t>
    </r>
  </si>
  <si>
    <r>
      <t>F</t>
    </r>
    <r>
      <rPr>
        <vertAlign val="subscript"/>
        <sz val="12"/>
        <rFont val="Myriad Pro"/>
        <family val="2"/>
      </rPr>
      <t>ax,Rk</t>
    </r>
    <r>
      <rPr>
        <sz val="12"/>
        <rFont val="Myriad Pro"/>
        <family val="2"/>
      </rPr>
      <t xml:space="preserve"> =</t>
    </r>
  </si>
  <si>
    <r>
      <t>k</t>
    </r>
    <r>
      <rPr>
        <vertAlign val="subscript"/>
        <sz val="12"/>
        <rFont val="Myriad Pro"/>
        <family val="2"/>
      </rPr>
      <t>mod</t>
    </r>
    <r>
      <rPr>
        <sz val="12"/>
        <rFont val="Myriad Pro"/>
        <family val="2"/>
      </rPr>
      <t xml:space="preserve"> =</t>
    </r>
  </si>
  <si>
    <t>d [mm]</t>
  </si>
  <si>
    <r>
      <t>f</t>
    </r>
    <r>
      <rPr>
        <vertAlign val="subscript"/>
        <sz val="12"/>
        <rFont val="Myriad Pro"/>
        <family val="2"/>
      </rPr>
      <t xml:space="preserve">tens,k </t>
    </r>
    <r>
      <rPr>
        <sz val="12"/>
        <rFont val="Myriad Pro"/>
        <family val="2"/>
      </rPr>
      <t>[kN]</t>
    </r>
  </si>
  <si>
    <r>
      <t>f</t>
    </r>
    <r>
      <rPr>
        <vertAlign val="subscript"/>
        <sz val="12"/>
        <rFont val="Myriad Pro"/>
        <family val="2"/>
      </rPr>
      <t>ax,k</t>
    </r>
    <r>
      <rPr>
        <sz val="12"/>
        <rFont val="Myriad Pro"/>
        <family val="2"/>
      </rPr>
      <t xml:space="preserve"> [Nmm²]</t>
    </r>
  </si>
  <si>
    <r>
      <t>f</t>
    </r>
    <r>
      <rPr>
        <vertAlign val="subscript"/>
        <sz val="12"/>
        <rFont val="Myriad Pro"/>
        <family val="2"/>
      </rPr>
      <t xml:space="preserve">tens,Rd </t>
    </r>
    <r>
      <rPr>
        <sz val="12"/>
        <rFont val="Myriad Pro"/>
        <family val="2"/>
      </rPr>
      <t>=</t>
    </r>
  </si>
  <si>
    <r>
      <t>f</t>
    </r>
    <r>
      <rPr>
        <vertAlign val="subscript"/>
        <sz val="12"/>
        <rFont val="Myriad Pro"/>
        <family val="2"/>
      </rPr>
      <t xml:space="preserve">tens,Rk </t>
    </r>
    <r>
      <rPr>
        <sz val="12"/>
        <rFont val="Myriad Pro"/>
        <family val="2"/>
      </rPr>
      <t>=</t>
    </r>
  </si>
  <si>
    <r>
      <rPr>
        <sz val="12"/>
        <rFont val="Symbol"/>
        <family val="1"/>
        <charset val="2"/>
      </rPr>
      <t>g</t>
    </r>
    <r>
      <rPr>
        <vertAlign val="subscript"/>
        <sz val="12"/>
        <rFont val="Myriad Pro"/>
        <family val="2"/>
      </rPr>
      <t>g</t>
    </r>
    <r>
      <rPr>
        <sz val="12"/>
        <rFont val="Myriad Pro"/>
        <family val="2"/>
      </rPr>
      <t xml:space="preserve"> =</t>
    </r>
  </si>
  <si>
    <r>
      <rPr>
        <sz val="12"/>
        <rFont val="Symbol"/>
        <family val="1"/>
        <charset val="2"/>
      </rPr>
      <t xml:space="preserve"> g</t>
    </r>
    <r>
      <rPr>
        <vertAlign val="subscript"/>
        <sz val="12"/>
        <rFont val="Myriad Pro"/>
        <family val="2"/>
      </rPr>
      <t>Q</t>
    </r>
    <r>
      <rPr>
        <sz val="12"/>
        <rFont val="Myriad Pro"/>
        <family val="2"/>
      </rPr>
      <t xml:space="preserve"> =</t>
    </r>
  </si>
  <si>
    <t>Teilsicherheitsbeiwerte</t>
  </si>
  <si>
    <t>Kombinationsbeiwerte</t>
  </si>
  <si>
    <t>(Windlasten)</t>
  </si>
  <si>
    <r>
      <rPr>
        <sz val="12"/>
        <rFont val="Symbol"/>
        <family val="1"/>
        <charset val="2"/>
      </rPr>
      <t>y</t>
    </r>
    <r>
      <rPr>
        <vertAlign val="subscript"/>
        <sz val="12"/>
        <rFont val="Myriad Pro"/>
        <family val="2"/>
      </rPr>
      <t xml:space="preserve">0 </t>
    </r>
    <r>
      <rPr>
        <sz val="12"/>
        <rFont val="Myriad Pro"/>
        <family val="2"/>
      </rPr>
      <t>=</t>
    </r>
  </si>
  <si>
    <t>(Schneelasten Orte über NN +1000)</t>
  </si>
  <si>
    <t>(Schneelasten Orte bis zu NN +1000)</t>
  </si>
  <si>
    <t>(Verkehrslasten / Nutzlasten)</t>
  </si>
  <si>
    <t>Überprüfung des Querzugverhalten im Nebenträger:</t>
  </si>
  <si>
    <t>Schraubentyp:</t>
  </si>
  <si>
    <t>RAPID STARDRIVE [ETA-12/0373]</t>
  </si>
  <si>
    <r>
      <t>a/H</t>
    </r>
    <r>
      <rPr>
        <b/>
        <vertAlign val="subscript"/>
        <sz val="12"/>
        <rFont val="Myriad Pro Light"/>
        <family val="2"/>
      </rPr>
      <t>N</t>
    </r>
    <r>
      <rPr>
        <b/>
        <sz val="12"/>
        <rFont val="Myriad Pro Light"/>
        <family val="2"/>
      </rPr>
      <t xml:space="preserve"> =</t>
    </r>
  </si>
  <si>
    <r>
      <t>k</t>
    </r>
    <r>
      <rPr>
        <vertAlign val="subscript"/>
        <sz val="12"/>
        <rFont val="Myriad Pro"/>
        <family val="2"/>
      </rPr>
      <t>ax</t>
    </r>
    <r>
      <rPr>
        <sz val="12"/>
        <rFont val="Myriad Pro"/>
        <family val="2"/>
      </rPr>
      <t xml:space="preserve"> =</t>
    </r>
  </si>
  <si>
    <r>
      <t>(</t>
    </r>
    <r>
      <rPr>
        <sz val="12"/>
        <rFont val="Symbol"/>
        <family val="1"/>
        <charset val="2"/>
      </rPr>
      <t>a</t>
    </r>
    <r>
      <rPr>
        <sz val="12"/>
        <rFont val="Myriad Pro"/>
        <family val="2"/>
      </rPr>
      <t>=90°)</t>
    </r>
  </si>
  <si>
    <r>
      <t>Mittige Zugkraft 
F</t>
    </r>
    <r>
      <rPr>
        <vertAlign val="subscript"/>
        <sz val="12"/>
        <rFont val="Myriad Pro"/>
        <family val="2"/>
      </rPr>
      <t xml:space="preserve">1,d </t>
    </r>
  </si>
  <si>
    <t>Nachweisführungen:</t>
  </si>
  <si>
    <t>Holzqualiät:</t>
  </si>
  <si>
    <t>Geringere Holzqualität von Haupt-/Nebenträger</t>
  </si>
  <si>
    <t xml:space="preserve">Querzugverstärkung mit </t>
  </si>
  <si>
    <t>KNAPP®</t>
  </si>
  <si>
    <t>GL24h</t>
  </si>
  <si>
    <t>Werte sind nicht erforderlich</t>
  </si>
  <si>
    <t>Sperrbügel</t>
  </si>
  <si>
    <t>2 Sperrbügel</t>
  </si>
  <si>
    <t>1 Sperrbügel</t>
  </si>
  <si>
    <t>Hauptträger:</t>
  </si>
  <si>
    <t>Nebenträger:</t>
  </si>
  <si>
    <r>
      <t>d</t>
    </r>
    <r>
      <rPr>
        <vertAlign val="subscript"/>
        <sz val="12"/>
        <rFont val="Myriad Pro"/>
        <family val="2"/>
      </rPr>
      <t>8,HT</t>
    </r>
  </si>
  <si>
    <r>
      <t>L</t>
    </r>
    <r>
      <rPr>
        <vertAlign val="subscript"/>
        <sz val="12"/>
        <rFont val="Myriad Pro"/>
        <family val="2"/>
      </rPr>
      <t>8,HT</t>
    </r>
  </si>
  <si>
    <r>
      <t>Anzahl n</t>
    </r>
    <r>
      <rPr>
        <vertAlign val="subscript"/>
        <sz val="12"/>
        <rFont val="Myriad Pro"/>
        <family val="2"/>
      </rPr>
      <t>5,HT</t>
    </r>
  </si>
  <si>
    <r>
      <t>d</t>
    </r>
    <r>
      <rPr>
        <vertAlign val="subscript"/>
        <sz val="12"/>
        <rFont val="Myriad Pro"/>
        <family val="2"/>
      </rPr>
      <t>5,HT</t>
    </r>
  </si>
  <si>
    <r>
      <t>L</t>
    </r>
    <r>
      <rPr>
        <vertAlign val="subscript"/>
        <sz val="12"/>
        <rFont val="Myriad Pro"/>
        <family val="2"/>
      </rPr>
      <t>5,HT</t>
    </r>
  </si>
  <si>
    <r>
      <t>Anzahl n</t>
    </r>
    <r>
      <rPr>
        <vertAlign val="subscript"/>
        <sz val="12"/>
        <rFont val="Myriad Pro"/>
        <family val="2"/>
      </rPr>
      <t>8,NT</t>
    </r>
  </si>
  <si>
    <r>
      <t>d</t>
    </r>
    <r>
      <rPr>
        <vertAlign val="subscript"/>
        <sz val="12"/>
        <rFont val="Myriad Pro"/>
        <family val="2"/>
      </rPr>
      <t>8,NT</t>
    </r>
  </si>
  <si>
    <r>
      <t>L</t>
    </r>
    <r>
      <rPr>
        <vertAlign val="subscript"/>
        <sz val="12"/>
        <rFont val="Myriad Pro"/>
        <family val="2"/>
      </rPr>
      <t>8,NT</t>
    </r>
  </si>
  <si>
    <r>
      <t>Anzahl n</t>
    </r>
    <r>
      <rPr>
        <vertAlign val="subscript"/>
        <sz val="12"/>
        <rFont val="Myriad Pro"/>
        <family val="2"/>
      </rPr>
      <t>5,NT</t>
    </r>
  </si>
  <si>
    <r>
      <t>d</t>
    </r>
    <r>
      <rPr>
        <vertAlign val="subscript"/>
        <sz val="12"/>
        <rFont val="Myriad Pro"/>
        <family val="2"/>
      </rPr>
      <t>5,NT</t>
    </r>
  </si>
  <si>
    <r>
      <t>L</t>
    </r>
    <r>
      <rPr>
        <vertAlign val="subscript"/>
        <sz val="12"/>
        <rFont val="Myriad Pro"/>
        <family val="2"/>
      </rPr>
      <t>5,NT</t>
    </r>
  </si>
  <si>
    <t>Schrauben im Hauptträger (HT)</t>
  </si>
  <si>
    <t>Schrauben im Nebenträger (NT)</t>
  </si>
  <si>
    <t>Mindestholzquerschnitt</t>
  </si>
  <si>
    <t>Breite B [mm]</t>
  </si>
  <si>
    <t>Höhe H [mm]</t>
  </si>
  <si>
    <r>
      <t>Anzahl n</t>
    </r>
    <r>
      <rPr>
        <vertAlign val="subscript"/>
        <sz val="12"/>
        <rFont val="Myriad Pro"/>
        <family val="2"/>
      </rPr>
      <t>8,HT</t>
    </r>
  </si>
  <si>
    <r>
      <t>Abstand a</t>
    </r>
    <r>
      <rPr>
        <vertAlign val="subscript"/>
        <sz val="12"/>
        <rFont val="Myriad Pro Light"/>
        <family val="2"/>
      </rPr>
      <t>c</t>
    </r>
  </si>
  <si>
    <r>
      <t>Abstand e</t>
    </r>
    <r>
      <rPr>
        <vertAlign val="subscript"/>
        <sz val="12"/>
        <rFont val="Myriad Pro Light"/>
        <family val="2"/>
      </rPr>
      <t>1</t>
    </r>
  </si>
  <si>
    <r>
      <t>n</t>
    </r>
    <r>
      <rPr>
        <vertAlign val="subscript"/>
        <sz val="12"/>
        <rFont val="Myriad Pro Light"/>
        <family val="2"/>
      </rPr>
      <t>ef</t>
    </r>
  </si>
  <si>
    <r>
      <t>Height joist H</t>
    </r>
    <r>
      <rPr>
        <vertAlign val="subscript"/>
        <sz val="12"/>
        <rFont val="Myriad Pro Light"/>
        <family val="2"/>
      </rPr>
      <t>N</t>
    </r>
    <r>
      <rPr>
        <sz val="12"/>
        <rFont val="Myriad Pro Light"/>
        <family val="2"/>
      </rPr>
      <t xml:space="preserve"> =</t>
    </r>
  </si>
  <si>
    <r>
      <t>Distance t</t>
    </r>
    <r>
      <rPr>
        <vertAlign val="subscript"/>
        <sz val="12"/>
        <rFont val="Myriad Pro Light"/>
        <family val="2"/>
      </rPr>
      <t>1</t>
    </r>
    <r>
      <rPr>
        <sz val="12"/>
        <rFont val="Myriad Pro Light"/>
        <family val="2"/>
      </rPr>
      <t xml:space="preserve"> =</t>
    </r>
  </si>
  <si>
    <r>
      <t>Mittige/Ausmittige Zugkraft F</t>
    </r>
    <r>
      <rPr>
        <vertAlign val="subscript"/>
        <sz val="12"/>
        <rFont val="Myriad Pro Light"/>
        <family val="2"/>
      </rPr>
      <t xml:space="preserve">1,Rd </t>
    </r>
    <r>
      <rPr>
        <sz val="12"/>
        <rFont val="Myriad Pro Light"/>
        <family val="2"/>
      </rPr>
      <t>[kN]</t>
    </r>
  </si>
  <si>
    <t>eff. Schr-Anzahl</t>
  </si>
  <si>
    <r>
      <t>Distance t</t>
    </r>
    <r>
      <rPr>
        <vertAlign val="subscript"/>
        <sz val="12"/>
        <rFont val="Myriad Pro Light"/>
        <family val="2"/>
      </rPr>
      <t>2</t>
    </r>
    <r>
      <rPr>
        <sz val="12"/>
        <rFont val="Myriad Pro Light"/>
        <family val="2"/>
      </rPr>
      <t xml:space="preserve"> =</t>
    </r>
  </si>
  <si>
    <r>
      <t>n</t>
    </r>
    <r>
      <rPr>
        <vertAlign val="subscript"/>
        <sz val="12"/>
        <rFont val="Myriad Pro"/>
        <family val="2"/>
      </rPr>
      <t xml:space="preserve">ef </t>
    </r>
    <r>
      <rPr>
        <sz val="12"/>
        <rFont val="Myriad Pro"/>
        <family val="2"/>
      </rPr>
      <t>[Stk]</t>
    </r>
  </si>
  <si>
    <t>Max. Holzquerschnitte</t>
  </si>
  <si>
    <t>2 RICON nebeneinander</t>
  </si>
  <si>
    <t>Auswahl:</t>
  </si>
  <si>
    <r>
      <t>t</t>
    </r>
    <r>
      <rPr>
        <vertAlign val="subscript"/>
        <sz val="12"/>
        <rFont val="Myriad Pro"/>
        <family val="2"/>
      </rPr>
      <t>1</t>
    </r>
    <r>
      <rPr>
        <sz val="12"/>
        <rFont val="Myriad Pro"/>
        <family val="2"/>
      </rPr>
      <t xml:space="preserve"> = t</t>
    </r>
    <r>
      <rPr>
        <sz val="12"/>
        <rFont val="Myriad Pro"/>
        <family val="2"/>
      </rPr>
      <t xml:space="preserve"> +13</t>
    </r>
  </si>
  <si>
    <t>C24</t>
  </si>
  <si>
    <t>C30</t>
  </si>
  <si>
    <t>GL24c</t>
  </si>
  <si>
    <t>GL28c</t>
  </si>
  <si>
    <t>LH D30</t>
  </si>
  <si>
    <t>LH D35</t>
  </si>
  <si>
    <t>LH D40</t>
  </si>
  <si>
    <t>LH D50</t>
  </si>
  <si>
    <t>Holzart</t>
  </si>
  <si>
    <r>
      <rPr>
        <sz val="12"/>
        <rFont val="Symbol"/>
        <family val="1"/>
        <charset val="2"/>
      </rPr>
      <t>r</t>
    </r>
    <r>
      <rPr>
        <vertAlign val="subscript"/>
        <sz val="12"/>
        <rFont val="Myriad Pro"/>
        <family val="2"/>
      </rPr>
      <t xml:space="preserve">k </t>
    </r>
    <r>
      <rPr>
        <sz val="12"/>
        <rFont val="Myriad Pro"/>
        <family val="2"/>
      </rPr>
      <t>[kg/m³]</t>
    </r>
  </si>
  <si>
    <t>t=</t>
  </si>
  <si>
    <t>Spax [ETA-12/0114]</t>
  </si>
  <si>
    <r>
      <t>Eingabe der Anschlusskräfte als Bemessungswert (Design-Wert) F</t>
    </r>
    <r>
      <rPr>
        <b/>
        <vertAlign val="subscript"/>
        <sz val="12"/>
        <rFont val="Myriad Pro"/>
        <family val="2"/>
      </rPr>
      <t>d</t>
    </r>
    <r>
      <rPr>
        <b/>
        <sz val="12"/>
        <rFont val="Myriad Pro"/>
        <family val="2"/>
      </rPr>
      <t>:</t>
    </r>
  </si>
  <si>
    <t>Lastfall
Kombination</t>
  </si>
  <si>
    <t>(Unverbindliche Musterbemessung)</t>
  </si>
  <si>
    <t>Brandschutz nach EN 1995-1-2:</t>
  </si>
  <si>
    <t>geg.:</t>
  </si>
  <si>
    <t>Holzart:</t>
  </si>
  <si>
    <t>Branddauer t =</t>
  </si>
  <si>
    <t>(Schichttiefe mit der Festigkeits- und Steifigkeitseigenschaft gleich Null)</t>
  </si>
  <si>
    <r>
      <t xml:space="preserve">(t </t>
    </r>
    <r>
      <rPr>
        <sz val="12"/>
        <rFont val="Calibri"/>
        <family val="2"/>
      </rPr>
      <t>≥</t>
    </r>
    <r>
      <rPr>
        <sz val="12"/>
        <rFont val="Myriad Pro"/>
        <family val="2"/>
      </rPr>
      <t xml:space="preserve"> 20 min)</t>
    </r>
  </si>
  <si>
    <r>
      <t xml:space="preserve">Abbrandrate </t>
    </r>
    <r>
      <rPr>
        <sz val="12"/>
        <rFont val="Calibri"/>
        <family val="2"/>
      </rPr>
      <t>β</t>
    </r>
    <r>
      <rPr>
        <vertAlign val="subscript"/>
        <sz val="12"/>
        <rFont val="Myriad Pro"/>
        <family val="2"/>
      </rPr>
      <t>N</t>
    </r>
    <r>
      <rPr>
        <sz val="12"/>
        <rFont val="Myriad Pro"/>
        <family val="2"/>
      </rPr>
      <t xml:space="preserve"> =</t>
    </r>
  </si>
  <si>
    <r>
      <t>Zeitfaktor k</t>
    </r>
    <r>
      <rPr>
        <vertAlign val="subscript"/>
        <sz val="12"/>
        <rFont val="Myriad Pro"/>
        <family val="2"/>
      </rPr>
      <t>0</t>
    </r>
    <r>
      <rPr>
        <sz val="12"/>
        <rFont val="Myriad Pro"/>
        <family val="2"/>
      </rPr>
      <t xml:space="preserve"> =</t>
    </r>
  </si>
  <si>
    <r>
      <t>Schichttiefe t</t>
    </r>
    <r>
      <rPr>
        <vertAlign val="subscript"/>
        <sz val="12"/>
        <rFont val="Myriad Pro"/>
        <family val="2"/>
      </rPr>
      <t>0</t>
    </r>
    <r>
      <rPr>
        <sz val="12"/>
        <rFont val="Myriad Pro"/>
        <family val="2"/>
      </rPr>
      <t xml:space="preserve"> =</t>
    </r>
  </si>
  <si>
    <r>
      <t>Brandüberdeckung d</t>
    </r>
    <r>
      <rPr>
        <vertAlign val="subscript"/>
        <sz val="12"/>
        <rFont val="Myriad Pro"/>
        <family val="2"/>
      </rPr>
      <t>ef</t>
    </r>
    <r>
      <rPr>
        <sz val="12"/>
        <rFont val="Myriad Pro"/>
        <family val="2"/>
      </rPr>
      <t xml:space="preserve"> =</t>
    </r>
  </si>
  <si>
    <r>
      <rPr>
        <sz val="12"/>
        <rFont val="Calibri"/>
        <family val="2"/>
      </rPr>
      <t>β</t>
    </r>
    <r>
      <rPr>
        <vertAlign val="subscript"/>
        <sz val="12"/>
        <rFont val="Myriad Pro"/>
        <family val="2"/>
      </rPr>
      <t>n</t>
    </r>
    <r>
      <rPr>
        <sz val="12"/>
        <rFont val="Myriad Pro"/>
        <family val="2"/>
      </rPr>
      <t xml:space="preserve"> [mm/min]</t>
    </r>
  </si>
  <si>
    <t>Überprüfung der dreiseitigen Brandüberdeckung:</t>
  </si>
  <si>
    <r>
      <t>Überdeckung d</t>
    </r>
    <r>
      <rPr>
        <vertAlign val="subscript"/>
        <sz val="12"/>
        <rFont val="Myriad Pro"/>
        <family val="2"/>
      </rPr>
      <t>links</t>
    </r>
    <r>
      <rPr>
        <sz val="12"/>
        <rFont val="Myriad Pro"/>
        <family val="2"/>
      </rPr>
      <t xml:space="preserve"> =</t>
    </r>
  </si>
  <si>
    <r>
      <t>Überdeckung d</t>
    </r>
    <r>
      <rPr>
        <vertAlign val="subscript"/>
        <sz val="12"/>
        <rFont val="Myriad Pro"/>
        <family val="2"/>
      </rPr>
      <t xml:space="preserve">rechts </t>
    </r>
    <r>
      <rPr>
        <sz val="12"/>
        <rFont val="Myriad Pro"/>
        <family val="2"/>
      </rPr>
      <t>=</t>
    </r>
  </si>
  <si>
    <r>
      <t>Überdeckung d</t>
    </r>
    <r>
      <rPr>
        <vertAlign val="subscript"/>
        <sz val="12"/>
        <rFont val="Myriad Pro"/>
        <family val="2"/>
      </rPr>
      <t>unten</t>
    </r>
    <r>
      <rPr>
        <sz val="12"/>
        <rFont val="Myriad Pro"/>
        <family val="2"/>
      </rPr>
      <t>=</t>
    </r>
  </si>
  <si>
    <t>Schraubenlängen für Querzugverstärkung der Nebenträger mit</t>
  </si>
  <si>
    <t>Schrauben</t>
  </si>
  <si>
    <t>Typ1</t>
  </si>
  <si>
    <t>Typ 2</t>
  </si>
  <si>
    <t>Typ 3</t>
  </si>
  <si>
    <t>Auswahl</t>
  </si>
  <si>
    <t>Endauswahl:</t>
  </si>
  <si>
    <t>Längen L [mm]</t>
  </si>
  <si>
    <t>k./ s. kurz</t>
  </si>
  <si>
    <t>GL30c</t>
  </si>
  <si>
    <t>mit KNAPP® A2 Edelstahlschrauben nach ETA-10/0189</t>
  </si>
  <si>
    <t>A2 Senkschrauben</t>
  </si>
  <si>
    <t>Nutzungsklasse</t>
  </si>
  <si>
    <t>Nutzungsklasse:</t>
  </si>
  <si>
    <t>Innenräume</t>
  </si>
  <si>
    <t>Außenbereich</t>
  </si>
  <si>
    <t>Außen überdacht</t>
  </si>
  <si>
    <t>Einbauort</t>
  </si>
  <si>
    <t>RICON 60/40 EA A2</t>
  </si>
  <si>
    <t>RICON 80/40 EA A2</t>
  </si>
  <si>
    <t>RICON 100/40 EA A2</t>
  </si>
  <si>
    <t>RICON 120/40 EA A2</t>
  </si>
  <si>
    <t>RICON 140/40 EA A2</t>
  </si>
  <si>
    <t>RICON 160/40 EA A2</t>
  </si>
  <si>
    <t>RICON 60/30 EA A2</t>
  </si>
  <si>
    <t>RICON 80/30 EA A2</t>
  </si>
  <si>
    <t>RICON 100/30 EA A2</t>
  </si>
  <si>
    <t>RICON 120/30 EA A2</t>
  </si>
  <si>
    <t>RICON 140/30 EA A2</t>
  </si>
  <si>
    <t>RICON 160/30 EA A2</t>
  </si>
  <si>
    <r>
      <t>Entgegen der Einschubrichtung F</t>
    </r>
    <r>
      <rPr>
        <vertAlign val="subscript"/>
        <sz val="12"/>
        <rFont val="Myriad Pro Light"/>
        <family val="2"/>
      </rPr>
      <t>3,Rd</t>
    </r>
  </si>
  <si>
    <t>Distance t =</t>
  </si>
  <si>
    <t>Abstand a1</t>
  </si>
  <si>
    <t>Abstand a2</t>
  </si>
  <si>
    <t>Abstand ac</t>
  </si>
  <si>
    <r>
      <rPr>
        <sz val="11"/>
        <rFont val="Symbol"/>
        <family val="1"/>
        <charset val="2"/>
      </rPr>
      <t>g</t>
    </r>
    <r>
      <rPr>
        <sz val="11"/>
        <rFont val="Calibri"/>
        <family val="2"/>
        <scheme val="minor"/>
      </rPr>
      <t>M =</t>
    </r>
  </si>
  <si>
    <t>Draufsicht:</t>
  </si>
  <si>
    <t>Nebenträger (NT)</t>
  </si>
  <si>
    <t>Hauptträger (HT)</t>
  </si>
  <si>
    <r>
      <rPr>
        <sz val="12"/>
        <rFont val="Symbol"/>
        <family val="1"/>
        <charset val="2"/>
      </rPr>
      <t>a</t>
    </r>
    <r>
      <rPr>
        <sz val="12"/>
        <rFont val="Myriad Pro"/>
        <family val="2"/>
      </rPr>
      <t>= 90 °</t>
    </r>
  </si>
  <si>
    <t xml:space="preserve">
Nebenträger</t>
  </si>
  <si>
    <t>a</t>
  </si>
  <si>
    <r>
      <t>Anschlusswinkel</t>
    </r>
    <r>
      <rPr>
        <sz val="12"/>
        <rFont val="Symbol"/>
        <family val="1"/>
        <charset val="2"/>
      </rPr>
      <t xml:space="preserve"> a</t>
    </r>
    <r>
      <rPr>
        <sz val="12"/>
        <rFont val="Myriad Pro"/>
        <family val="2"/>
      </rPr>
      <t xml:space="preserve"> =</t>
    </r>
  </si>
  <si>
    <t>kax =</t>
  </si>
  <si>
    <r>
      <rPr>
        <sz val="11"/>
        <rFont val="Symbol"/>
        <family val="1"/>
        <charset val="2"/>
      </rPr>
      <t>a</t>
    </r>
    <r>
      <rPr>
        <sz val="11"/>
        <rFont val="Calibri"/>
        <family val="2"/>
        <scheme val="minor"/>
      </rPr>
      <t>=</t>
    </r>
  </si>
  <si>
    <t>kmod - Werte</t>
  </si>
  <si>
    <t xml:space="preserve">Lastfall Beschreibung: </t>
  </si>
  <si>
    <r>
      <rPr>
        <b/>
        <sz val="12"/>
        <rFont val="Myriad Pro"/>
        <family val="2"/>
      </rPr>
      <t>g</t>
    </r>
    <r>
      <rPr>
        <sz val="12"/>
        <rFont val="Myriad Pro"/>
        <family val="2"/>
      </rPr>
      <t xml:space="preserve"> : Eigengewicht Konstruktion  </t>
    </r>
    <r>
      <rPr>
        <b/>
        <sz val="12"/>
        <rFont val="Myriad Pro"/>
        <family val="2"/>
      </rPr>
      <t>s</t>
    </r>
    <r>
      <rPr>
        <sz val="12"/>
        <rFont val="Myriad Pro"/>
        <family val="2"/>
      </rPr>
      <t xml:space="preserve">: Schnee </t>
    </r>
    <r>
      <rPr>
        <b/>
        <sz val="12"/>
        <rFont val="Myriad Pro"/>
        <family val="2"/>
      </rPr>
      <t>n</t>
    </r>
    <r>
      <rPr>
        <sz val="12"/>
        <rFont val="Myriad Pro"/>
        <family val="2"/>
      </rPr>
      <t xml:space="preserve">: Nutzlast (Verkehrslast in Gebäuden)  </t>
    </r>
    <r>
      <rPr>
        <b/>
        <sz val="12"/>
        <rFont val="Myriad Pro"/>
        <family val="2"/>
      </rPr>
      <t>wd</t>
    </r>
    <r>
      <rPr>
        <sz val="12"/>
        <rFont val="Myriad Pro"/>
        <family val="2"/>
      </rPr>
      <t xml:space="preserve">: Winddruck  </t>
    </r>
    <r>
      <rPr>
        <b/>
        <sz val="12"/>
        <rFont val="Myriad Pro"/>
        <family val="2"/>
      </rPr>
      <t>ws</t>
    </r>
    <r>
      <rPr>
        <sz val="12"/>
        <rFont val="Myriad Pro"/>
        <family val="2"/>
      </rPr>
      <t>: Windsog (Abhebende Dachlasten)</t>
    </r>
  </si>
  <si>
    <t>Eingabefelder</t>
  </si>
  <si>
    <t>Ergebnisse OK</t>
  </si>
  <si>
    <t>Ergebnisse nicht OK</t>
  </si>
  <si>
    <t>C35</t>
  </si>
  <si>
    <t>GL28h</t>
  </si>
  <si>
    <t>GL30h</t>
  </si>
  <si>
    <t>GL32c</t>
  </si>
  <si>
    <t>GL32h</t>
  </si>
  <si>
    <t>BauBuche</t>
  </si>
  <si>
    <t>SWG [ ETA-12/0197]</t>
  </si>
  <si>
    <t>Typ 1</t>
  </si>
  <si>
    <t xml:space="preserve">RICON® A2 Edelstahl Bemessungstool für Haupt-Nebenträger-Anschlüsse </t>
  </si>
  <si>
    <t>Ausgewählter KNAPP® RICON® A2 Edelstahlverbinder:</t>
  </si>
  <si>
    <r>
      <t xml:space="preserve">Anschlussdimensionierung </t>
    </r>
    <r>
      <rPr>
        <b/>
        <sz val="18"/>
        <rFont val="Myriad Pro Black"/>
        <family val="2"/>
      </rPr>
      <t>RICON® A2</t>
    </r>
    <r>
      <rPr>
        <sz val="18"/>
        <rFont val="Myriad Pro Black"/>
        <family val="2"/>
      </rPr>
      <t xml:space="preserve"> nach ETA-10/0189 (Ausgabe 11.10.2019)</t>
    </r>
  </si>
  <si>
    <t>Version 2.0</t>
  </si>
  <si>
    <t>RICON A2 Connector</t>
  </si>
  <si>
    <t>RICON A2  Connector</t>
  </si>
</sst>
</file>

<file path=xl/styles.xml><?xml version="1.0" encoding="utf-8"?>
<styleSheet xmlns="http://schemas.openxmlformats.org/spreadsheetml/2006/main" xmlns:mc="http://schemas.openxmlformats.org/markup-compatibility/2006" xmlns:x14ac="http://schemas.microsoft.com/office/spreadsheetml/2009/9/ac" mc:Ignorable="x14ac">
  <numFmts count="26">
    <numFmt numFmtId="43" formatCode="_-* #,##0.00\ _€_-;\-* #,##0.00\ _€_-;_-* &quot;-&quot;??\ _€_-;_-@_-"/>
    <numFmt numFmtId="164" formatCode="_-* #,##0.00_-;\-* #,##0.00_-;_-* &quot;-&quot;??_-;_-@_-"/>
    <numFmt numFmtId="165" formatCode="0.00\ &quot;kN&quot;"/>
    <numFmt numFmtId="166" formatCode="0\ &quot;x&quot;"/>
    <numFmt numFmtId="167" formatCode="_-* #,##0.0_-;\-* #,##0.0_-;_-* &quot;-&quot;??_-;_-@_-"/>
    <numFmt numFmtId="168" formatCode="_-* #,##0_-;\-* #,##0_-;_-* &quot;-&quot;??_-;_-@_-"/>
    <numFmt numFmtId="169" formatCode="&quot;a= &quot;0"/>
    <numFmt numFmtId="170" formatCode="0\ &quot;mm&quot;"/>
    <numFmt numFmtId="171" formatCode="0.0"/>
    <numFmt numFmtId="172" formatCode="_-* #,##0.0_-;\-* #,##0.0_-;_-* &quot;-&quot;?_-;_-@_-"/>
    <numFmt numFmtId="173" formatCode="&quot;kmod = &quot;0.0"/>
    <numFmt numFmtId="174" formatCode="0\ &quot;kg/m³&quot;"/>
    <numFmt numFmtId="175" formatCode="0\ &quot;-&quot;"/>
    <numFmt numFmtId="176" formatCode="&quot;HN= &quot;0"/>
    <numFmt numFmtId="177" formatCode="&quot;Typ&quot;\ 0"/>
    <numFmt numFmtId="178" formatCode="&quot;+&quot;\ 0"/>
    <numFmt numFmtId="179" formatCode="&quot;t1=&quot;0"/>
    <numFmt numFmtId="180" formatCode="&quot;t =&quot;0"/>
    <numFmt numFmtId="181" formatCode="&quot;t1 =&quot;0"/>
    <numFmt numFmtId="182" formatCode="0\ &quot;min&quot;"/>
    <numFmt numFmtId="183" formatCode="0.00\ &quot;mm/min&quot;"/>
    <numFmt numFmtId="184" formatCode="&quot;d=&quot;\ 0\ &quot;mm&quot;"/>
    <numFmt numFmtId="185" formatCode="&quot;kmod = &quot;0.00"/>
    <numFmt numFmtId="186" formatCode="0\ &quot;°&quot;"/>
    <numFmt numFmtId="187" formatCode="0.0&quot;°&quot;"/>
    <numFmt numFmtId="188" formatCode="&quot;NKL =&quot;0"/>
  </numFmts>
  <fonts count="61">
    <font>
      <sz val="12"/>
      <name val="Myriad Pro Light"/>
    </font>
    <font>
      <sz val="12"/>
      <name val="Myriad Pro Light"/>
      <family val="2"/>
    </font>
    <font>
      <sz val="12"/>
      <name val="Myriad Pro"/>
      <family val="2"/>
    </font>
    <font>
      <vertAlign val="subscript"/>
      <sz val="12"/>
      <name val="Myriad Pro"/>
      <family val="2"/>
    </font>
    <font>
      <sz val="12"/>
      <name val="Symbol"/>
      <family val="1"/>
      <charset val="2"/>
    </font>
    <font>
      <sz val="8"/>
      <name val="Myriad Pro Light"/>
      <family val="2"/>
    </font>
    <font>
      <sz val="12"/>
      <name val="Myriad Pro Black"/>
      <family val="2"/>
    </font>
    <font>
      <sz val="14"/>
      <name val="Myriad Pro"/>
      <family val="2"/>
    </font>
    <font>
      <sz val="18"/>
      <name val="Myriad Pro Black"/>
      <family val="2"/>
    </font>
    <font>
      <sz val="12"/>
      <name val="Myriad Pro Light"/>
      <family val="2"/>
    </font>
    <font>
      <sz val="12"/>
      <name val="Myriad Pro Light"/>
      <family val="2"/>
    </font>
    <font>
      <b/>
      <u/>
      <sz val="20"/>
      <name val="Arial"/>
      <family val="2"/>
    </font>
    <font>
      <b/>
      <sz val="12"/>
      <name val="Myriad Pro Light"/>
      <family val="2"/>
    </font>
    <font>
      <sz val="11"/>
      <color indexed="8"/>
      <name val="Calibri"/>
      <family val="2"/>
    </font>
    <font>
      <b/>
      <sz val="11"/>
      <color indexed="8"/>
      <name val="Calibri"/>
      <family val="2"/>
    </font>
    <font>
      <sz val="11"/>
      <name val="Calibri"/>
      <family val="2"/>
    </font>
    <font>
      <b/>
      <sz val="11"/>
      <name val="Calibri"/>
      <family val="2"/>
    </font>
    <font>
      <b/>
      <sz val="18"/>
      <color indexed="8"/>
      <name val="Calibri"/>
      <family val="2"/>
    </font>
    <font>
      <b/>
      <vertAlign val="subscript"/>
      <sz val="18"/>
      <color indexed="8"/>
      <name val="Calibri"/>
      <family val="2"/>
    </font>
    <font>
      <b/>
      <sz val="14"/>
      <color indexed="8"/>
      <name val="Calibri"/>
      <family val="2"/>
    </font>
    <font>
      <vertAlign val="subscript"/>
      <sz val="11"/>
      <color indexed="8"/>
      <name val="Calibri"/>
      <family val="2"/>
    </font>
    <font>
      <b/>
      <vertAlign val="subscript"/>
      <sz val="11"/>
      <color indexed="8"/>
      <name val="Calibri"/>
      <family val="2"/>
    </font>
    <font>
      <sz val="11"/>
      <color indexed="8"/>
      <name val="Symbol"/>
      <family val="1"/>
      <charset val="2"/>
    </font>
    <font>
      <b/>
      <sz val="18"/>
      <color indexed="8"/>
      <name val="Myriad Pro"/>
      <family val="2"/>
    </font>
    <font>
      <sz val="11"/>
      <name val="Myriad Web"/>
      <family val="2"/>
    </font>
    <font>
      <sz val="11"/>
      <name val="Myriad Pro"/>
      <family val="2"/>
    </font>
    <font>
      <b/>
      <vertAlign val="subscript"/>
      <sz val="18"/>
      <color indexed="8"/>
      <name val="Myriad Pro"/>
      <family val="2"/>
    </font>
    <font>
      <b/>
      <sz val="9"/>
      <color indexed="81"/>
      <name val="Tahoma"/>
      <family val="2"/>
    </font>
    <font>
      <sz val="9"/>
      <color indexed="81"/>
      <name val="Tahoma"/>
      <family val="2"/>
    </font>
    <font>
      <b/>
      <sz val="12"/>
      <name val="Myriad Pro"/>
      <family val="2"/>
    </font>
    <font>
      <vertAlign val="subscript"/>
      <sz val="12"/>
      <name val="Myriad Pro Light"/>
      <family val="2"/>
    </font>
    <font>
      <sz val="11"/>
      <name val="Myriad Pro Light"/>
      <family val="2"/>
    </font>
    <font>
      <b/>
      <vertAlign val="subscript"/>
      <sz val="12"/>
      <name val="Myriad Pro"/>
      <family val="2"/>
    </font>
    <font>
      <b/>
      <vertAlign val="subscript"/>
      <sz val="12"/>
      <name val="Myriad Pro Light"/>
      <family val="2"/>
    </font>
    <font>
      <sz val="18"/>
      <name val="Myriad Pro"/>
      <family val="2"/>
    </font>
    <font>
      <b/>
      <sz val="18"/>
      <name val="Myriad Pro"/>
      <family val="2"/>
    </font>
    <font>
      <sz val="18"/>
      <name val="Myriad Pro Light"/>
      <family val="2"/>
    </font>
    <font>
      <b/>
      <sz val="14"/>
      <name val="Myriad Pro"/>
      <family val="2"/>
    </font>
    <font>
      <sz val="12"/>
      <name val="Calibri"/>
      <family val="2"/>
    </font>
    <font>
      <sz val="11"/>
      <color theme="1"/>
      <name val="Calibri"/>
      <family val="2"/>
      <scheme val="minor"/>
    </font>
    <font>
      <sz val="11"/>
      <color rgb="FFFF0000"/>
      <name val="Calibri"/>
      <family val="2"/>
      <scheme val="minor"/>
    </font>
    <font>
      <sz val="11"/>
      <name val="Calibri"/>
      <family val="2"/>
      <scheme val="minor"/>
    </font>
    <font>
      <sz val="11"/>
      <color theme="1"/>
      <name val="Myriad Pro"/>
      <family val="2"/>
    </font>
    <font>
      <sz val="11"/>
      <color theme="0"/>
      <name val="Myriad Pro"/>
      <family val="2"/>
    </font>
    <font>
      <b/>
      <sz val="11"/>
      <name val="Calibri"/>
      <family val="2"/>
      <scheme val="minor"/>
    </font>
    <font>
      <sz val="11"/>
      <color rgb="FFFF0000"/>
      <name val="Calibri"/>
      <family val="2"/>
    </font>
    <font>
      <sz val="11"/>
      <color rgb="FF000000"/>
      <name val="Calibri"/>
      <family val="2"/>
    </font>
    <font>
      <sz val="11"/>
      <name val="Symbol"/>
      <family val="1"/>
      <charset val="2"/>
    </font>
    <font>
      <sz val="11"/>
      <name val="Calibri"/>
      <family val="1"/>
      <charset val="2"/>
      <scheme val="minor"/>
    </font>
    <font>
      <b/>
      <sz val="9"/>
      <color indexed="81"/>
      <name val="Symbol"/>
      <family val="1"/>
      <charset val="2"/>
    </font>
    <font>
      <sz val="10"/>
      <color rgb="FFFF0000"/>
      <name val="Myriad Pro"/>
      <family val="2"/>
    </font>
    <font>
      <sz val="12"/>
      <name val="Calibri"/>
      <family val="2"/>
      <scheme val="minor"/>
    </font>
    <font>
      <b/>
      <sz val="18"/>
      <name val="Myriad Pro Black"/>
      <family val="2"/>
    </font>
    <font>
      <sz val="12"/>
      <color rgb="FFC00000"/>
      <name val="Myriad Pro"/>
      <family val="2"/>
    </font>
    <font>
      <b/>
      <sz val="12"/>
      <color rgb="FFFF0000"/>
      <name val="Myriad Pro"/>
      <family val="2"/>
    </font>
    <font>
      <sz val="11"/>
      <color rgb="FF006100"/>
      <name val="Calibri"/>
      <family val="2"/>
      <scheme val="minor"/>
    </font>
    <font>
      <sz val="11"/>
      <color rgb="FF9C0006"/>
      <name val="Calibri"/>
      <family val="2"/>
      <scheme val="minor"/>
    </font>
    <font>
      <sz val="10"/>
      <name val="Myriad Pro"/>
      <family val="2"/>
    </font>
    <font>
      <b/>
      <sz val="12"/>
      <color rgb="FFFF0000"/>
      <name val="Myriad Pro"/>
      <family val="2"/>
    </font>
    <font>
      <sz val="17"/>
      <name val="Myriad Pro"/>
      <family val="2"/>
    </font>
    <font>
      <b/>
      <sz val="17"/>
      <name val="Myriad Pro"/>
      <family val="2"/>
    </font>
  </fonts>
  <fills count="9">
    <fill>
      <patternFill patternType="none"/>
    </fill>
    <fill>
      <patternFill patternType="gray125"/>
    </fill>
    <fill>
      <patternFill patternType="solid">
        <fgColor theme="6" tint="0.79998168889431442"/>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C7CE"/>
        <bgColor indexed="64"/>
      </patternFill>
    </fill>
  </fills>
  <borders count="53">
    <border>
      <left/>
      <right/>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Up="1" diagonalDown="1">
      <left style="thin">
        <color indexed="64"/>
      </left>
      <right style="thin">
        <color indexed="64"/>
      </right>
      <top style="thin">
        <color indexed="64"/>
      </top>
      <bottom style="medium">
        <color indexed="64"/>
      </bottom>
      <diagonal style="thin">
        <color indexed="64"/>
      </diagonal>
    </border>
    <border>
      <left style="thin">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s>
  <cellStyleXfs count="6">
    <xf numFmtId="0" fontId="0" fillId="0" borderId="0"/>
    <xf numFmtId="164" fontId="1" fillId="0" borderId="0" applyFont="0" applyFill="0" applyBorder="0" applyAlignment="0" applyProtection="0"/>
    <xf numFmtId="43" fontId="39" fillId="0" borderId="0" applyFont="0" applyFill="0" applyBorder="0" applyAlignment="0" applyProtection="0"/>
    <xf numFmtId="164" fontId="13" fillId="0" borderId="0" applyFont="0" applyFill="0" applyBorder="0" applyAlignment="0" applyProtection="0"/>
    <xf numFmtId="0" fontId="55" fillId="6" borderId="0" applyNumberFormat="0" applyBorder="0" applyAlignment="0" applyProtection="0"/>
    <xf numFmtId="0" fontId="56" fillId="7" borderId="0" applyNumberFormat="0" applyBorder="0" applyAlignment="0" applyProtection="0"/>
  </cellStyleXfs>
  <cellXfs count="447">
    <xf numFmtId="0" fontId="0" fillId="0" borderId="0" xfId="0"/>
    <xf numFmtId="0" fontId="2" fillId="0" borderId="0" xfId="0" applyFont="1"/>
    <xf numFmtId="0" fontId="2" fillId="0" borderId="0" xfId="0" applyFont="1" applyAlignment="1">
      <alignment horizontal="right"/>
    </xf>
    <xf numFmtId="165" fontId="2" fillId="0" borderId="0" xfId="0" applyNumberFormat="1" applyFont="1"/>
    <xf numFmtId="165" fontId="2" fillId="0" borderId="0" xfId="0" applyNumberFormat="1" applyFont="1" applyAlignment="1">
      <alignment horizontal="center"/>
    </xf>
    <xf numFmtId="0" fontId="2" fillId="0" borderId="0" xfId="0" applyFont="1" applyAlignment="1">
      <alignment horizontal="center"/>
    </xf>
    <xf numFmtId="0" fontId="2" fillId="0" borderId="1" xfId="0" applyFont="1" applyBorder="1"/>
    <xf numFmtId="0" fontId="2" fillId="0" borderId="0" xfId="0" applyFont="1" applyBorder="1"/>
    <xf numFmtId="0" fontId="2" fillId="0" borderId="2" xfId="0" applyFont="1" applyBorder="1"/>
    <xf numFmtId="0" fontId="2" fillId="0" borderId="3" xfId="0" applyFont="1" applyBorder="1"/>
    <xf numFmtId="0" fontId="2" fillId="0" borderId="4" xfId="0" applyFont="1" applyBorder="1" applyAlignment="1">
      <alignment horizontal="center" vertical="center"/>
    </xf>
    <xf numFmtId="0" fontId="2" fillId="0" borderId="4" xfId="0" applyFont="1" applyBorder="1"/>
    <xf numFmtId="0" fontId="2" fillId="0" borderId="4" xfId="0" applyFont="1" applyBorder="1" applyAlignment="1">
      <alignment horizontal="center"/>
    </xf>
    <xf numFmtId="0" fontId="2" fillId="0" borderId="5" xfId="0" applyFont="1" applyBorder="1"/>
    <xf numFmtId="170" fontId="2" fillId="0" borderId="0" xfId="1" applyNumberFormat="1" applyFont="1"/>
    <xf numFmtId="165" fontId="2" fillId="0" borderId="0" xfId="1" applyNumberFormat="1" applyFont="1"/>
    <xf numFmtId="0" fontId="2" fillId="0" borderId="0" xfId="0" applyFont="1" applyBorder="1" applyAlignment="1">
      <alignment horizontal="right"/>
    </xf>
    <xf numFmtId="0" fontId="6" fillId="0" borderId="6" xfId="0" applyFont="1" applyBorder="1"/>
    <xf numFmtId="0" fontId="8" fillId="0" borderId="0" xfId="0" applyFont="1"/>
    <xf numFmtId="0" fontId="11" fillId="0" borderId="0" xfId="0" applyFont="1"/>
    <xf numFmtId="0" fontId="12" fillId="0" borderId="0" xfId="0" applyFont="1" applyFill="1" applyBorder="1" applyAlignment="1">
      <alignment horizontal="right"/>
    </xf>
    <xf numFmtId="0" fontId="12" fillId="0" borderId="0" xfId="0" applyFont="1" applyAlignment="1">
      <alignment horizontal="right"/>
    </xf>
    <xf numFmtId="1" fontId="2" fillId="0" borderId="0" xfId="0" applyNumberFormat="1" applyFont="1" applyAlignment="1">
      <alignment horizontal="right"/>
    </xf>
    <xf numFmtId="0" fontId="2" fillId="0" borderId="0" xfId="0" applyFont="1" applyAlignment="1">
      <alignment horizontal="right" vertical="center"/>
    </xf>
    <xf numFmtId="0" fontId="0" fillId="0" borderId="7" xfId="0" applyBorder="1"/>
    <xf numFmtId="2" fontId="0" fillId="0" borderId="0" xfId="0" applyNumberFormat="1" applyFill="1" applyBorder="1" applyAlignment="1">
      <alignment horizontal="center"/>
    </xf>
    <xf numFmtId="165" fontId="2" fillId="0" borderId="4" xfId="0" applyNumberFormat="1" applyFont="1" applyBorder="1" applyAlignment="1">
      <alignment horizontal="center"/>
    </xf>
    <xf numFmtId="0" fontId="2" fillId="0" borderId="0" xfId="0" applyFont="1" applyAlignment="1">
      <alignment horizontal="center" wrapText="1"/>
    </xf>
    <xf numFmtId="0" fontId="2" fillId="0" borderId="8" xfId="0" applyFont="1" applyBorder="1"/>
    <xf numFmtId="0" fontId="2" fillId="0" borderId="0" xfId="0" applyFont="1" applyFill="1" applyBorder="1" applyAlignment="1">
      <alignment horizontal="left"/>
    </xf>
    <xf numFmtId="0" fontId="2" fillId="0" borderId="0" xfId="0" applyFont="1" applyFill="1" applyBorder="1"/>
    <xf numFmtId="166" fontId="2" fillId="0" borderId="0" xfId="0" applyNumberFormat="1" applyFont="1" applyFill="1" applyBorder="1"/>
    <xf numFmtId="0" fontId="2" fillId="0" borderId="7" xfId="0" applyFont="1" applyBorder="1"/>
    <xf numFmtId="0" fontId="41" fillId="0" borderId="0" xfId="0" applyFont="1" applyFill="1" applyBorder="1"/>
    <xf numFmtId="0" fontId="29" fillId="0" borderId="0" xfId="0" applyFont="1"/>
    <xf numFmtId="0" fontId="9" fillId="2" borderId="0" xfId="0" applyFont="1" applyFill="1"/>
    <xf numFmtId="0" fontId="9" fillId="3" borderId="0" xfId="0" applyFont="1" applyFill="1"/>
    <xf numFmtId="0" fontId="2" fillId="0" borderId="4" xfId="0" applyFont="1" applyFill="1" applyBorder="1" applyAlignment="1">
      <alignment horizontal="center"/>
    </xf>
    <xf numFmtId="0" fontId="2" fillId="0" borderId="7" xfId="0" applyFont="1" applyFill="1" applyBorder="1" applyAlignment="1">
      <alignment horizontal="center"/>
    </xf>
    <xf numFmtId="0" fontId="7" fillId="0" borderId="0" xfId="0" applyFont="1"/>
    <xf numFmtId="0" fontId="7" fillId="0" borderId="0" xfId="0" applyFont="1" applyAlignment="1">
      <alignment horizontal="center"/>
    </xf>
    <xf numFmtId="175" fontId="7" fillId="0" borderId="0" xfId="0" applyNumberFormat="1" applyFont="1" applyAlignment="1">
      <alignment horizontal="right"/>
    </xf>
    <xf numFmtId="0" fontId="9" fillId="0" borderId="9" xfId="0" applyFont="1" applyBorder="1"/>
    <xf numFmtId="0" fontId="2" fillId="0" borderId="0" xfId="0" applyFont="1" applyAlignment="1">
      <alignment vertical="center"/>
    </xf>
    <xf numFmtId="0" fontId="2" fillId="0" borderId="0" xfId="0" applyFont="1" applyBorder="1" applyAlignment="1">
      <alignment horizontal="center"/>
    </xf>
    <xf numFmtId="165" fontId="2" fillId="0" borderId="10" xfId="0" applyNumberFormat="1" applyFont="1" applyFill="1" applyBorder="1"/>
    <xf numFmtId="0" fontId="2" fillId="0" borderId="0" xfId="0" applyFont="1" applyFill="1"/>
    <xf numFmtId="164" fontId="2" fillId="0" borderId="4" xfId="1" applyNumberFormat="1" applyFont="1" applyBorder="1"/>
    <xf numFmtId="0" fontId="6" fillId="0" borderId="0" xfId="0" applyFont="1" applyFill="1"/>
    <xf numFmtId="164" fontId="2" fillId="0" borderId="0" xfId="1" applyFont="1" applyFill="1"/>
    <xf numFmtId="0" fontId="2" fillId="0" borderId="4" xfId="0" applyFont="1" applyBorder="1" applyAlignment="1">
      <alignment horizontal="left" vertical="top" wrapText="1"/>
    </xf>
    <xf numFmtId="165" fontId="2" fillId="0" borderId="4" xfId="0" applyNumberFormat="1" applyFont="1" applyBorder="1" applyAlignment="1">
      <alignment horizontal="center" wrapText="1"/>
    </xf>
    <xf numFmtId="1" fontId="2" fillId="0" borderId="0" xfId="1" applyNumberFormat="1" applyFont="1" applyAlignment="1">
      <alignment horizontal="center"/>
    </xf>
    <xf numFmtId="0" fontId="2" fillId="0" borderId="0" xfId="0" applyFont="1" applyAlignment="1">
      <alignment horizontal="left"/>
    </xf>
    <xf numFmtId="164" fontId="2" fillId="0" borderId="0" xfId="1" applyFont="1" applyAlignment="1">
      <alignment horizontal="left"/>
    </xf>
    <xf numFmtId="0" fontId="2" fillId="0" borderId="0" xfId="0" applyFont="1" applyBorder="1" applyAlignment="1">
      <alignment vertical="top"/>
    </xf>
    <xf numFmtId="2" fontId="2" fillId="0" borderId="4" xfId="0" applyNumberFormat="1" applyFont="1" applyBorder="1" applyAlignment="1">
      <alignment horizontal="center"/>
    </xf>
    <xf numFmtId="2" fontId="2" fillId="0" borderId="0" xfId="0" applyNumberFormat="1" applyFont="1" applyBorder="1" applyAlignment="1">
      <alignment horizontal="center"/>
    </xf>
    <xf numFmtId="0" fontId="2" fillId="0" borderId="0" xfId="0" applyFont="1" applyFill="1" applyAlignment="1">
      <alignment horizontal="center"/>
    </xf>
    <xf numFmtId="165" fontId="2" fillId="0" borderId="0" xfId="1" applyNumberFormat="1" applyFont="1" applyFill="1"/>
    <xf numFmtId="43" fontId="29" fillId="0" borderId="6" xfId="0" applyNumberFormat="1" applyFont="1" applyBorder="1"/>
    <xf numFmtId="0" fontId="2" fillId="3" borderId="0" xfId="0" applyFont="1" applyFill="1"/>
    <xf numFmtId="166" fontId="2" fillId="2" borderId="0" xfId="0" applyNumberFormat="1" applyFont="1" applyFill="1" applyBorder="1" applyProtection="1">
      <protection locked="0"/>
    </xf>
    <xf numFmtId="169" fontId="2" fillId="0" borderId="0" xfId="0" applyNumberFormat="1" applyFont="1" applyFill="1" applyAlignment="1">
      <alignment horizontal="left"/>
    </xf>
    <xf numFmtId="165" fontId="2" fillId="0" borderId="0" xfId="0" applyNumberFormat="1" applyFont="1" applyFill="1"/>
    <xf numFmtId="1" fontId="2" fillId="2" borderId="0" xfId="1" applyNumberFormat="1" applyFont="1" applyFill="1" applyAlignment="1" applyProtection="1">
      <alignment horizontal="center"/>
      <protection locked="0"/>
    </xf>
    <xf numFmtId="0" fontId="2" fillId="2" borderId="4" xfId="0" applyFont="1" applyFill="1" applyBorder="1" applyAlignment="1" applyProtection="1">
      <alignment horizontal="center"/>
      <protection locked="0"/>
    </xf>
    <xf numFmtId="0" fontId="2" fillId="0" borderId="11" xfId="0" applyFont="1" applyBorder="1"/>
    <xf numFmtId="0" fontId="2" fillId="0" borderId="12" xfId="0" applyFont="1" applyBorder="1"/>
    <xf numFmtId="0" fontId="2" fillId="0" borderId="13" xfId="0" applyFont="1" applyFill="1" applyBorder="1" applyAlignment="1">
      <alignment horizontal="right"/>
    </xf>
    <xf numFmtId="0" fontId="2" fillId="0" borderId="12" xfId="0" applyFont="1" applyFill="1" applyBorder="1"/>
    <xf numFmtId="0" fontId="2" fillId="0" borderId="13" xfId="0" applyFont="1" applyBorder="1" applyAlignment="1">
      <alignment horizontal="right"/>
    </xf>
    <xf numFmtId="0" fontId="29" fillId="0" borderId="13" xfId="0" applyFont="1" applyBorder="1"/>
    <xf numFmtId="0" fontId="29" fillId="0" borderId="4" xfId="0" applyFont="1" applyBorder="1" applyAlignment="1">
      <alignment horizontal="center" vertical="center"/>
    </xf>
    <xf numFmtId="2" fontId="12" fillId="0" borderId="6" xfId="1" applyNumberFormat="1" applyFont="1" applyBorder="1" applyAlignment="1">
      <alignment horizontal="left"/>
    </xf>
    <xf numFmtId="0" fontId="29" fillId="0" borderId="6" xfId="0" applyFont="1" applyBorder="1"/>
    <xf numFmtId="0" fontId="12" fillId="0" borderId="0" xfId="0" applyFont="1" applyBorder="1" applyAlignment="1">
      <alignment horizontal="right"/>
    </xf>
    <xf numFmtId="165" fontId="2" fillId="0" borderId="14" xfId="0" applyNumberFormat="1" applyFont="1" applyFill="1" applyBorder="1" applyAlignment="1">
      <alignment horizontal="center"/>
    </xf>
    <xf numFmtId="165" fontId="2" fillId="2" borderId="7" xfId="0" applyNumberFormat="1" applyFont="1" applyFill="1" applyBorder="1" applyAlignment="1" applyProtection="1">
      <alignment horizontal="center"/>
      <protection locked="0"/>
    </xf>
    <xf numFmtId="0" fontId="2" fillId="2" borderId="7" xfId="0" applyFont="1" applyFill="1" applyBorder="1" applyAlignment="1" applyProtection="1">
      <alignment horizontal="center"/>
      <protection locked="0"/>
    </xf>
    <xf numFmtId="0" fontId="2" fillId="0" borderId="15" xfId="0" applyFont="1" applyBorder="1"/>
    <xf numFmtId="0" fontId="2" fillId="0" borderId="16" xfId="0" applyFont="1" applyBorder="1"/>
    <xf numFmtId="0" fontId="29" fillId="0" borderId="0" xfId="0" applyFont="1" applyBorder="1"/>
    <xf numFmtId="0" fontId="29" fillId="2" borderId="0" xfId="0" applyFont="1" applyFill="1" applyBorder="1" applyAlignment="1" applyProtection="1">
      <alignment horizontal="center"/>
      <protection locked="0"/>
    </xf>
    <xf numFmtId="0" fontId="9" fillId="2" borderId="0" xfId="0" applyFont="1" applyFill="1" applyProtection="1"/>
    <xf numFmtId="0" fontId="0" fillId="0" borderId="0" xfId="0" applyProtection="1"/>
    <xf numFmtId="0" fontId="9" fillId="3" borderId="0" xfId="0" applyFont="1" applyFill="1" applyProtection="1"/>
    <xf numFmtId="0" fontId="17" fillId="0" borderId="0" xfId="0" applyFont="1" applyProtection="1"/>
    <xf numFmtId="0" fontId="0" fillId="0" borderId="0" xfId="0" applyAlignment="1" applyProtection="1">
      <alignment horizontal="center"/>
    </xf>
    <xf numFmtId="0" fontId="19" fillId="0" borderId="0" xfId="0" applyFont="1" applyAlignment="1" applyProtection="1">
      <alignment horizontal="left"/>
    </xf>
    <xf numFmtId="0" fontId="0" fillId="0" borderId="0" xfId="0" applyBorder="1" applyProtection="1"/>
    <xf numFmtId="0" fontId="0" fillId="0" borderId="9" xfId="0" applyBorder="1" applyProtection="1"/>
    <xf numFmtId="0" fontId="0" fillId="0" borderId="9" xfId="0" applyBorder="1" applyAlignment="1" applyProtection="1">
      <alignment horizontal="center"/>
    </xf>
    <xf numFmtId="0" fontId="9" fillId="0" borderId="9" xfId="0" applyFont="1" applyBorder="1" applyAlignment="1" applyProtection="1">
      <alignment horizontal="center"/>
    </xf>
    <xf numFmtId="0" fontId="14" fillId="0" borderId="9" xfId="0" applyFont="1" applyBorder="1" applyAlignment="1" applyProtection="1">
      <alignment horizontal="center"/>
    </xf>
    <xf numFmtId="0" fontId="0" fillId="0" borderId="7" xfId="0" applyBorder="1" applyProtection="1"/>
    <xf numFmtId="0" fontId="0" fillId="0" borderId="7" xfId="0" applyBorder="1" applyAlignment="1" applyProtection="1">
      <alignment horizontal="center"/>
    </xf>
    <xf numFmtId="0" fontId="14" fillId="0" borderId="7" xfId="0" applyFont="1" applyBorder="1" applyAlignment="1" applyProtection="1">
      <alignment horizontal="center"/>
    </xf>
    <xf numFmtId="171" fontId="41" fillId="4" borderId="4" xfId="0" applyNumberFormat="1" applyFont="1" applyFill="1" applyBorder="1" applyAlignment="1" applyProtection="1">
      <alignment horizontal="center"/>
    </xf>
    <xf numFmtId="1" fontId="41" fillId="4" borderId="4" xfId="0" applyNumberFormat="1" applyFont="1" applyFill="1" applyBorder="1" applyAlignment="1" applyProtection="1">
      <alignment horizontal="center"/>
    </xf>
    <xf numFmtId="1" fontId="41" fillId="3" borderId="4" xfId="0" applyNumberFormat="1" applyFont="1" applyFill="1" applyBorder="1" applyAlignment="1" applyProtection="1">
      <alignment horizontal="center"/>
    </xf>
    <xf numFmtId="171" fontId="41" fillId="0" borderId="4" xfId="0" applyNumberFormat="1" applyFont="1" applyFill="1" applyBorder="1" applyAlignment="1" applyProtection="1">
      <alignment horizontal="center"/>
    </xf>
    <xf numFmtId="1" fontId="41" fillId="0" borderId="4" xfId="0" applyNumberFormat="1" applyFont="1" applyFill="1" applyBorder="1" applyAlignment="1" applyProtection="1">
      <alignment horizontal="center"/>
    </xf>
    <xf numFmtId="0" fontId="0" fillId="0" borderId="0" xfId="0" applyAlignment="1" applyProtection="1">
      <alignment horizontal="right"/>
    </xf>
    <xf numFmtId="0" fontId="0" fillId="3" borderId="0" xfId="0" applyFill="1" applyProtection="1"/>
    <xf numFmtId="1" fontId="41" fillId="3" borderId="0" xfId="0" applyNumberFormat="1" applyFont="1" applyFill="1" applyBorder="1" applyAlignment="1" applyProtection="1">
      <alignment horizontal="center"/>
    </xf>
    <xf numFmtId="171" fontId="13" fillId="0" borderId="0" xfId="2" applyNumberFormat="1" applyFont="1" applyBorder="1" applyAlignment="1" applyProtection="1">
      <alignment horizontal="center"/>
    </xf>
    <xf numFmtId="0" fontId="31" fillId="0" borderId="0" xfId="0" applyFont="1" applyAlignment="1" applyProtection="1">
      <alignment horizontal="right"/>
    </xf>
    <xf numFmtId="0" fontId="31" fillId="3" borderId="0" xfId="0" applyFont="1" applyFill="1" applyProtection="1"/>
    <xf numFmtId="0" fontId="31" fillId="0" borderId="0" xfId="0" applyFont="1" applyProtection="1"/>
    <xf numFmtId="0" fontId="0" fillId="0" borderId="17" xfId="0" applyBorder="1" applyAlignment="1" applyProtection="1">
      <alignment horizontal="center"/>
    </xf>
    <xf numFmtId="0" fontId="9" fillId="0" borderId="0" xfId="0" quotePrefix="1" applyFont="1" applyProtection="1"/>
    <xf numFmtId="0" fontId="0" fillId="0" borderId="0" xfId="0" quotePrefix="1" applyProtection="1"/>
    <xf numFmtId="0" fontId="42" fillId="0" borderId="0" xfId="0" applyFont="1" applyFill="1" applyBorder="1" applyProtection="1"/>
    <xf numFmtId="0" fontId="23" fillId="0" borderId="0" xfId="0" applyFont="1" applyFill="1" applyBorder="1" applyAlignment="1" applyProtection="1"/>
    <xf numFmtId="0" fontId="0" fillId="0" borderId="0" xfId="0" applyFill="1" applyBorder="1" applyProtection="1"/>
    <xf numFmtId="0" fontId="43" fillId="0" borderId="0" xfId="0" applyFont="1" applyFill="1" applyBorder="1" applyProtection="1"/>
    <xf numFmtId="0" fontId="43" fillId="0" borderId="0" xfId="0" applyFont="1" applyFill="1" applyBorder="1" applyAlignment="1" applyProtection="1">
      <alignment horizontal="left"/>
    </xf>
    <xf numFmtId="0" fontId="43" fillId="0" borderId="0" xfId="0" applyFont="1" applyFill="1" applyBorder="1" applyAlignment="1" applyProtection="1">
      <alignment horizontal="center"/>
    </xf>
    <xf numFmtId="0" fontId="43" fillId="0" borderId="0" xfId="0" applyFont="1" applyFill="1" applyBorder="1" applyAlignment="1" applyProtection="1">
      <alignment vertical="center" wrapText="1"/>
    </xf>
    <xf numFmtId="173" fontId="43" fillId="0" borderId="0" xfId="0" applyNumberFormat="1" applyFont="1" applyFill="1" applyBorder="1" applyAlignment="1" applyProtection="1">
      <alignment horizontal="center"/>
    </xf>
    <xf numFmtId="0" fontId="42" fillId="0" borderId="0" xfId="0" applyFont="1" applyFill="1" applyBorder="1" applyAlignment="1" applyProtection="1">
      <alignment vertical="center" wrapText="1"/>
    </xf>
    <xf numFmtId="1" fontId="24" fillId="0" borderId="0" xfId="2" applyNumberFormat="1" applyFont="1" applyFill="1" applyBorder="1" applyAlignment="1" applyProtection="1">
      <alignment horizontal="center"/>
    </xf>
    <xf numFmtId="0" fontId="25" fillId="0" borderId="0" xfId="0" applyFont="1" applyFill="1" applyBorder="1" applyAlignment="1" applyProtection="1">
      <alignment vertical="center"/>
    </xf>
    <xf numFmtId="2" fontId="0" fillId="0" borderId="0" xfId="0" applyNumberFormat="1" applyFill="1" applyBorder="1" applyAlignment="1" applyProtection="1">
      <alignment horizontal="center"/>
    </xf>
    <xf numFmtId="2" fontId="42" fillId="0" borderId="0" xfId="0" applyNumberFormat="1" applyFont="1" applyFill="1" applyBorder="1" applyAlignment="1" applyProtection="1">
      <alignment horizontal="center"/>
    </xf>
    <xf numFmtId="2" fontId="39" fillId="0" borderId="0" xfId="2" applyNumberFormat="1" applyFont="1" applyFill="1" applyBorder="1" applyAlignment="1" applyProtection="1">
      <alignment horizontal="center" vertical="center"/>
    </xf>
    <xf numFmtId="2" fontId="39" fillId="0" borderId="0" xfId="2" applyNumberFormat="1" applyFont="1" applyFill="1" applyBorder="1" applyAlignment="1" applyProtection="1">
      <alignment vertical="center"/>
    </xf>
    <xf numFmtId="172" fontId="0" fillId="0" borderId="0" xfId="0" applyNumberFormat="1" applyProtection="1"/>
    <xf numFmtId="0" fontId="0" fillId="0" borderId="9" xfId="0" applyBorder="1" applyAlignment="1" applyProtection="1">
      <alignment horizontal="center" vertical="center"/>
    </xf>
    <xf numFmtId="0" fontId="14" fillId="0" borderId="9" xfId="0" applyFont="1" applyFill="1" applyBorder="1" applyAlignment="1" applyProtection="1">
      <alignment horizontal="center" vertical="center"/>
    </xf>
    <xf numFmtId="0" fontId="14" fillId="0" borderId="8" xfId="0" applyFont="1" applyFill="1" applyBorder="1" applyAlignment="1" applyProtection="1">
      <alignment horizontal="center" vertical="center"/>
    </xf>
    <xf numFmtId="0" fontId="0" fillId="0" borderId="7" xfId="0" applyBorder="1" applyAlignment="1" applyProtection="1">
      <alignment horizontal="center" vertical="center"/>
    </xf>
    <xf numFmtId="0" fontId="14" fillId="0" borderId="7" xfId="0" applyFont="1" applyBorder="1" applyAlignment="1" applyProtection="1">
      <alignment horizontal="center" vertical="center"/>
    </xf>
    <xf numFmtId="0" fontId="14" fillId="0" borderId="8" xfId="0" applyFont="1" applyBorder="1" applyAlignment="1" applyProtection="1">
      <alignment horizontal="center" vertical="center"/>
    </xf>
    <xf numFmtId="2" fontId="42" fillId="0" borderId="0" xfId="0" applyNumberFormat="1" applyFont="1" applyFill="1" applyBorder="1" applyAlignment="1" applyProtection="1">
      <alignment vertical="center"/>
    </xf>
    <xf numFmtId="171" fontId="14" fillId="0" borderId="8" xfId="2" applyNumberFormat="1" applyFont="1" applyBorder="1" applyAlignment="1" applyProtection="1">
      <alignment horizontal="center"/>
    </xf>
    <xf numFmtId="171" fontId="16" fillId="0" borderId="8" xfId="2" applyNumberFormat="1" applyFont="1" applyBorder="1" applyAlignment="1" applyProtection="1">
      <alignment horizontal="center"/>
    </xf>
    <xf numFmtId="171" fontId="0" fillId="0" borderId="0" xfId="0" applyNumberFormat="1" applyProtection="1"/>
    <xf numFmtId="0" fontId="40" fillId="0" borderId="0" xfId="0" applyFont="1" applyProtection="1"/>
    <xf numFmtId="0" fontId="23" fillId="0" borderId="0" xfId="0" applyFont="1" applyProtection="1"/>
    <xf numFmtId="0" fontId="0" fillId="0" borderId="1" xfId="0" applyBorder="1" applyAlignment="1" applyProtection="1">
      <alignment horizontal="center"/>
    </xf>
    <xf numFmtId="0" fontId="0" fillId="0" borderId="8" xfId="0" applyBorder="1" applyAlignment="1" applyProtection="1">
      <alignment horizontal="center"/>
    </xf>
    <xf numFmtId="0" fontId="0" fillId="0" borderId="0" xfId="0" applyBorder="1" applyAlignment="1" applyProtection="1">
      <alignment horizontal="center"/>
    </xf>
    <xf numFmtId="0" fontId="0" fillId="0" borderId="5" xfId="0" applyBorder="1" applyAlignment="1" applyProtection="1">
      <alignment horizontal="center"/>
    </xf>
    <xf numFmtId="1" fontId="0" fillId="0" borderId="8" xfId="0" applyNumberFormat="1" applyBorder="1" applyAlignment="1" applyProtection="1">
      <alignment horizontal="center"/>
    </xf>
    <xf numFmtId="171" fontId="0" fillId="0" borderId="0" xfId="0" applyNumberFormat="1" applyBorder="1" applyAlignment="1" applyProtection="1">
      <alignment horizontal="center"/>
    </xf>
    <xf numFmtId="1" fontId="0" fillId="0" borderId="0" xfId="0" applyNumberFormat="1" applyBorder="1" applyAlignment="1" applyProtection="1">
      <alignment horizontal="center"/>
    </xf>
    <xf numFmtId="0" fontId="14" fillId="0" borderId="0" xfId="0" applyFont="1" applyFill="1" applyBorder="1" applyAlignment="1" applyProtection="1">
      <alignment horizontal="center" vertical="center"/>
    </xf>
    <xf numFmtId="0" fontId="0" fillId="0" borderId="17" xfId="0" applyBorder="1" applyAlignment="1" applyProtection="1">
      <alignment horizontal="center" vertical="center"/>
    </xf>
    <xf numFmtId="0" fontId="14" fillId="0" borderId="0" xfId="0" applyFont="1" applyBorder="1" applyAlignment="1" applyProtection="1">
      <alignment horizontal="center" vertical="center"/>
    </xf>
    <xf numFmtId="2" fontId="41" fillId="4" borderId="4" xfId="0" applyNumberFormat="1" applyFont="1" applyFill="1" applyBorder="1" applyAlignment="1" applyProtection="1">
      <alignment horizontal="center"/>
    </xf>
    <xf numFmtId="171" fontId="14" fillId="0" borderId="0" xfId="2" applyNumberFormat="1" applyFont="1" applyBorder="1" applyAlignment="1" applyProtection="1">
      <alignment horizontal="center"/>
    </xf>
    <xf numFmtId="0" fontId="2" fillId="0" borderId="18" xfId="0" applyFont="1" applyBorder="1"/>
    <xf numFmtId="0" fontId="2" fillId="2" borderId="19" xfId="0" applyFont="1" applyFill="1" applyBorder="1" applyAlignment="1" applyProtection="1">
      <alignment horizontal="center"/>
      <protection locked="0"/>
    </xf>
    <xf numFmtId="0" fontId="2" fillId="0" borderId="19" xfId="0" applyFont="1" applyFill="1" applyBorder="1"/>
    <xf numFmtId="0" fontId="2" fillId="0" borderId="19" xfId="0" applyFont="1" applyBorder="1"/>
    <xf numFmtId="0" fontId="2" fillId="0" borderId="20" xfId="0" applyFont="1" applyBorder="1"/>
    <xf numFmtId="0" fontId="2" fillId="0" borderId="20" xfId="0" applyFont="1" applyBorder="1" applyAlignment="1">
      <alignment horizontal="right"/>
    </xf>
    <xf numFmtId="0" fontId="2" fillId="0" borderId="20" xfId="0" applyFont="1" applyFill="1" applyBorder="1" applyAlignment="1">
      <alignment horizontal="right"/>
    </xf>
    <xf numFmtId="0" fontId="2" fillId="0" borderId="21" xfId="0" applyFont="1" applyBorder="1"/>
    <xf numFmtId="0" fontId="35" fillId="2" borderId="19" xfId="0" applyFont="1" applyFill="1" applyBorder="1" applyAlignment="1" applyProtection="1">
      <alignment horizontal="right"/>
      <protection locked="0"/>
    </xf>
    <xf numFmtId="0" fontId="34" fillId="0" borderId="19" xfId="0" applyFont="1" applyBorder="1"/>
    <xf numFmtId="166" fontId="35" fillId="2" borderId="19" xfId="0" applyNumberFormat="1" applyFont="1" applyFill="1" applyBorder="1" applyProtection="1">
      <protection locked="0"/>
    </xf>
    <xf numFmtId="0" fontId="35" fillId="2" borderId="22" xfId="0" applyFont="1" applyFill="1" applyBorder="1" applyAlignment="1" applyProtection="1">
      <alignment horizontal="left"/>
      <protection locked="0"/>
    </xf>
    <xf numFmtId="0" fontId="2" fillId="0" borderId="23" xfId="0" applyFont="1" applyFill="1" applyBorder="1" applyAlignment="1">
      <alignment horizontal="left"/>
    </xf>
    <xf numFmtId="0" fontId="29" fillId="0" borderId="24" xfId="0" applyFont="1" applyBorder="1"/>
    <xf numFmtId="0" fontId="29" fillId="0" borderId="21" xfId="0" applyFont="1" applyBorder="1"/>
    <xf numFmtId="166" fontId="29" fillId="0" borderId="21" xfId="0" applyNumberFormat="1" applyFont="1" applyFill="1" applyBorder="1" applyAlignment="1">
      <alignment horizontal="right"/>
    </xf>
    <xf numFmtId="170" fontId="29" fillId="0" borderId="21" xfId="0" applyNumberFormat="1" applyFont="1" applyFill="1" applyBorder="1" applyAlignment="1">
      <alignment horizontal="left"/>
    </xf>
    <xf numFmtId="166" fontId="29" fillId="0" borderId="21" xfId="0" applyNumberFormat="1" applyFont="1" applyFill="1" applyBorder="1"/>
    <xf numFmtId="0" fontId="2" fillId="0" borderId="25" xfId="0" applyFont="1" applyBorder="1"/>
    <xf numFmtId="0" fontId="2" fillId="0" borderId="26" xfId="0" applyFont="1" applyBorder="1"/>
    <xf numFmtId="0" fontId="2" fillId="0" borderId="27" xfId="0" applyFont="1" applyBorder="1" applyAlignment="1">
      <alignment horizontal="center" vertical="center"/>
    </xf>
    <xf numFmtId="0" fontId="2" fillId="0" borderId="27" xfId="0" applyFont="1" applyBorder="1" applyAlignment="1">
      <alignment horizontal="center" vertical="center" wrapText="1"/>
    </xf>
    <xf numFmtId="0" fontId="2" fillId="0" borderId="28" xfId="0" applyFont="1" applyBorder="1" applyAlignment="1">
      <alignment vertical="center"/>
    </xf>
    <xf numFmtId="0" fontId="2" fillId="0" borderId="29" xfId="0" applyFont="1" applyBorder="1"/>
    <xf numFmtId="164" fontId="2" fillId="0" borderId="30" xfId="1" applyNumberFormat="1" applyFont="1" applyBorder="1"/>
    <xf numFmtId="0" fontId="2" fillId="0" borderId="31" xfId="0" applyFont="1" applyBorder="1"/>
    <xf numFmtId="0" fontId="2" fillId="0" borderId="32" xfId="0" applyFont="1" applyBorder="1"/>
    <xf numFmtId="164" fontId="2" fillId="0" borderId="33" xfId="1" applyNumberFormat="1" applyFont="1" applyBorder="1"/>
    <xf numFmtId="164" fontId="2" fillId="0" borderId="34" xfId="1" applyNumberFormat="1" applyFont="1" applyBorder="1"/>
    <xf numFmtId="164" fontId="2" fillId="0" borderId="35" xfId="1" applyNumberFormat="1" applyFont="1" applyBorder="1"/>
    <xf numFmtId="0" fontId="7" fillId="0" borderId="0" xfId="0" applyFont="1" applyAlignment="1">
      <alignment horizontal="right" vertical="center"/>
    </xf>
    <xf numFmtId="0" fontId="7" fillId="0" borderId="2" xfId="0" applyFont="1" applyBorder="1" applyAlignment="1">
      <alignment horizontal="right" vertical="center"/>
    </xf>
    <xf numFmtId="14" fontId="2" fillId="0" borderId="0" xfId="0" applyNumberFormat="1" applyFont="1" applyAlignment="1">
      <alignment vertical="center"/>
    </xf>
    <xf numFmtId="0" fontId="36" fillId="0" borderId="0" xfId="0" applyFont="1"/>
    <xf numFmtId="171" fontId="14" fillId="0" borderId="0" xfId="3" applyNumberFormat="1" applyFont="1" applyBorder="1" applyAlignment="1">
      <alignment horizontal="center"/>
    </xf>
    <xf numFmtId="0" fontId="14" fillId="0" borderId="0" xfId="0" applyFont="1" applyBorder="1" applyAlignment="1" applyProtection="1">
      <alignment horizontal="center"/>
    </xf>
    <xf numFmtId="2" fontId="41" fillId="0" borderId="4" xfId="0" applyNumberFormat="1" applyFont="1" applyFill="1" applyBorder="1" applyAlignment="1" applyProtection="1">
      <alignment horizontal="center"/>
    </xf>
    <xf numFmtId="0" fontId="0" fillId="0" borderId="9" xfId="0" applyBorder="1" applyAlignment="1">
      <alignment horizontal="center"/>
    </xf>
    <xf numFmtId="0" fontId="0" fillId="0" borderId="7" xfId="0" applyBorder="1" applyAlignment="1">
      <alignment horizontal="center"/>
    </xf>
    <xf numFmtId="0" fontId="0" fillId="0" borderId="17" xfId="0" applyBorder="1" applyAlignment="1">
      <alignment horizontal="center"/>
    </xf>
    <xf numFmtId="171" fontId="15" fillId="5" borderId="4" xfId="3" applyNumberFormat="1" applyFont="1" applyFill="1" applyBorder="1" applyAlignment="1">
      <alignment horizontal="center"/>
    </xf>
    <xf numFmtId="1" fontId="0" fillId="0" borderId="0" xfId="0" applyNumberFormat="1" applyProtection="1"/>
    <xf numFmtId="1" fontId="0" fillId="0" borderId="9" xfId="0" applyNumberFormat="1" applyBorder="1" applyAlignment="1" applyProtection="1">
      <alignment horizontal="center"/>
    </xf>
    <xf numFmtId="1" fontId="0" fillId="0" borderId="7" xfId="0" applyNumberFormat="1" applyBorder="1" applyAlignment="1" applyProtection="1">
      <alignment horizontal="center"/>
    </xf>
    <xf numFmtId="171" fontId="0" fillId="0" borderId="9" xfId="0" applyNumberFormat="1" applyBorder="1" applyAlignment="1" applyProtection="1">
      <alignment horizontal="center"/>
    </xf>
    <xf numFmtId="171" fontId="0" fillId="0" borderId="7" xfId="0" applyNumberFormat="1" applyBorder="1" applyAlignment="1" applyProtection="1">
      <alignment horizontal="center"/>
    </xf>
    <xf numFmtId="171" fontId="0" fillId="0" borderId="17" xfId="0" applyNumberFormat="1" applyBorder="1" applyAlignment="1" applyProtection="1">
      <alignment horizontal="center"/>
    </xf>
    <xf numFmtId="171" fontId="0" fillId="0" borderId="0" xfId="0" applyNumberFormat="1" applyAlignment="1" applyProtection="1">
      <alignment horizontal="center"/>
    </xf>
    <xf numFmtId="171" fontId="44" fillId="4" borderId="4" xfId="0" applyNumberFormat="1" applyFont="1" applyFill="1" applyBorder="1" applyAlignment="1" applyProtection="1">
      <alignment horizontal="center"/>
    </xf>
    <xf numFmtId="171" fontId="44" fillId="0" borderId="4" xfId="0" applyNumberFormat="1" applyFont="1" applyFill="1" applyBorder="1" applyAlignment="1" applyProtection="1">
      <alignment horizontal="center"/>
    </xf>
    <xf numFmtId="171" fontId="45" fillId="0" borderId="0" xfId="3" applyNumberFormat="1" applyFont="1" applyBorder="1" applyAlignment="1">
      <alignment vertical="center"/>
    </xf>
    <xf numFmtId="0" fontId="2" fillId="4" borderId="4" xfId="0" applyFont="1" applyFill="1" applyBorder="1" applyAlignment="1" applyProtection="1">
      <alignment horizontal="center"/>
    </xf>
    <xf numFmtId="0" fontId="2" fillId="4" borderId="36" xfId="0" applyFont="1" applyFill="1" applyBorder="1" applyAlignment="1" applyProtection="1">
      <alignment horizontal="center"/>
    </xf>
    <xf numFmtId="0" fontId="2" fillId="4" borderId="37" xfId="0" applyFont="1" applyFill="1" applyBorder="1" applyAlignment="1" applyProtection="1">
      <alignment horizontal="center"/>
    </xf>
    <xf numFmtId="0" fontId="2" fillId="4" borderId="11" xfId="0" applyFont="1" applyFill="1" applyBorder="1" applyAlignment="1" applyProtection="1">
      <alignment horizontal="center"/>
    </xf>
    <xf numFmtId="0" fontId="2" fillId="5" borderId="4" xfId="0" applyFont="1" applyFill="1" applyBorder="1" applyAlignment="1" applyProtection="1">
      <alignment horizontal="center"/>
    </xf>
    <xf numFmtId="0" fontId="2" fillId="5" borderId="36" xfId="0" applyFont="1" applyFill="1" applyBorder="1" applyAlignment="1" applyProtection="1">
      <alignment horizontal="center"/>
    </xf>
    <xf numFmtId="0" fontId="2" fillId="5" borderId="37" xfId="0" applyFont="1" applyFill="1" applyBorder="1" applyAlignment="1" applyProtection="1">
      <alignment horizontal="center"/>
    </xf>
    <xf numFmtId="0" fontId="2" fillId="5" borderId="11" xfId="0" applyFont="1" applyFill="1" applyBorder="1" applyAlignment="1" applyProtection="1">
      <alignment horizontal="center"/>
    </xf>
    <xf numFmtId="0" fontId="2" fillId="4" borderId="7" xfId="0" applyFont="1" applyFill="1" applyBorder="1" applyAlignment="1" applyProtection="1">
      <alignment horizontal="center"/>
    </xf>
    <xf numFmtId="0" fontId="2" fillId="4" borderId="38" xfId="0" applyFont="1" applyFill="1" applyBorder="1" applyAlignment="1" applyProtection="1">
      <alignment horizontal="center"/>
    </xf>
    <xf numFmtId="0" fontId="2" fillId="4" borderId="39" xfId="0" applyFont="1" applyFill="1" applyBorder="1" applyAlignment="1" applyProtection="1">
      <alignment horizontal="center"/>
    </xf>
    <xf numFmtId="0" fontId="2" fillId="4" borderId="3" xfId="0" applyFont="1" applyFill="1" applyBorder="1" applyAlignment="1" applyProtection="1">
      <alignment horizontal="center"/>
    </xf>
    <xf numFmtId="0" fontId="2" fillId="3" borderId="4" xfId="0" applyFont="1" applyFill="1" applyBorder="1" applyAlignment="1" applyProtection="1">
      <alignment horizontal="center"/>
    </xf>
    <xf numFmtId="0" fontId="2" fillId="3" borderId="36" xfId="0" applyFont="1" applyFill="1" applyBorder="1" applyAlignment="1" applyProtection="1">
      <alignment horizontal="center"/>
    </xf>
    <xf numFmtId="0" fontId="0" fillId="5" borderId="7" xfId="0" applyFill="1" applyBorder="1" applyAlignment="1" applyProtection="1">
      <alignment horizontal="center"/>
    </xf>
    <xf numFmtId="0" fontId="2" fillId="0" borderId="37" xfId="0" applyFont="1" applyBorder="1" applyAlignment="1">
      <alignment horizontal="center"/>
    </xf>
    <xf numFmtId="0" fontId="2" fillId="0" borderId="36" xfId="0" applyFont="1" applyBorder="1" applyAlignment="1">
      <alignment horizontal="center"/>
    </xf>
    <xf numFmtId="2" fontId="2" fillId="0" borderId="12" xfId="0" applyNumberFormat="1" applyFont="1" applyBorder="1"/>
    <xf numFmtId="2" fontId="2" fillId="0" borderId="12" xfId="0" applyNumberFormat="1" applyFont="1" applyFill="1" applyBorder="1"/>
    <xf numFmtId="165" fontId="2" fillId="0" borderId="4" xfId="0" applyNumberFormat="1" applyFont="1" applyBorder="1" applyAlignment="1">
      <alignment horizontal="center" vertical="center"/>
    </xf>
    <xf numFmtId="0" fontId="0" fillId="0" borderId="4" xfId="0" applyBorder="1" applyAlignment="1" applyProtection="1">
      <alignment horizontal="center"/>
    </xf>
    <xf numFmtId="0" fontId="9" fillId="0" borderId="0" xfId="0" applyFont="1" applyAlignment="1" applyProtection="1">
      <alignment horizontal="right"/>
    </xf>
    <xf numFmtId="0" fontId="9" fillId="0" borderId="0" xfId="0" applyFont="1" applyFill="1" applyBorder="1" applyAlignment="1" applyProtection="1">
      <alignment horizontal="right"/>
    </xf>
    <xf numFmtId="0" fontId="2" fillId="0" borderId="7" xfId="0" applyFont="1" applyBorder="1" applyAlignment="1">
      <alignment horizontal="center"/>
    </xf>
    <xf numFmtId="0" fontId="9" fillId="0" borderId="0" xfId="0" applyFont="1" applyAlignment="1" applyProtection="1">
      <alignment horizontal="center"/>
    </xf>
    <xf numFmtId="1" fontId="0" fillId="0" borderId="0" xfId="0" applyNumberFormat="1" applyAlignment="1" applyProtection="1">
      <alignment horizontal="center"/>
    </xf>
    <xf numFmtId="164" fontId="41" fillId="0" borderId="4" xfId="1" applyFont="1" applyFill="1" applyBorder="1" applyAlignment="1" applyProtection="1">
      <alignment horizontal="center"/>
    </xf>
    <xf numFmtId="164" fontId="41" fillId="4" borderId="4" xfId="1" applyFont="1" applyFill="1" applyBorder="1" applyAlignment="1" applyProtection="1">
      <alignment horizontal="center"/>
    </xf>
    <xf numFmtId="166" fontId="2" fillId="0" borderId="0" xfId="0" applyNumberFormat="1" applyFont="1"/>
    <xf numFmtId="0" fontId="9" fillId="0" borderId="7" xfId="0" applyFont="1" applyBorder="1"/>
    <xf numFmtId="0" fontId="2" fillId="0" borderId="0" xfId="0" applyFont="1" applyAlignment="1">
      <alignment horizontal="center" vertical="center"/>
    </xf>
    <xf numFmtId="0" fontId="2" fillId="2" borderId="0" xfId="0" applyFont="1" applyFill="1" applyBorder="1" applyAlignment="1" applyProtection="1">
      <alignment horizontal="center"/>
      <protection locked="0"/>
    </xf>
    <xf numFmtId="179" fontId="2" fillId="0" borderId="0" xfId="0" applyNumberFormat="1" applyFont="1"/>
    <xf numFmtId="180" fontId="2" fillId="2" borderId="0" xfId="0" applyNumberFormat="1" applyFont="1" applyFill="1" applyProtection="1">
      <protection locked="0"/>
    </xf>
    <xf numFmtId="164" fontId="0" fillId="0" borderId="0" xfId="0" applyNumberFormat="1" applyProtection="1"/>
    <xf numFmtId="167" fontId="41" fillId="0" borderId="0" xfId="0" applyNumberFormat="1" applyFont="1"/>
    <xf numFmtId="171" fontId="45" fillId="0" borderId="0" xfId="3" applyNumberFormat="1" applyFont="1" applyBorder="1" applyAlignment="1">
      <alignment horizontal="center"/>
    </xf>
    <xf numFmtId="171" fontId="16" fillId="0" borderId="0" xfId="3" applyNumberFormat="1" applyFont="1" applyBorder="1" applyAlignment="1">
      <alignment horizontal="center"/>
    </xf>
    <xf numFmtId="171" fontId="45" fillId="0" borderId="0" xfId="3" applyNumberFormat="1" applyFont="1" applyFill="1" applyBorder="1" applyAlignment="1">
      <alignment horizontal="center"/>
    </xf>
    <xf numFmtId="2" fontId="0" fillId="0" borderId="0" xfId="0" applyNumberFormat="1" applyBorder="1" applyAlignment="1">
      <alignment horizontal="center" vertical="center"/>
    </xf>
    <xf numFmtId="2" fontId="46" fillId="0" borderId="0" xfId="0" applyNumberFormat="1" applyFont="1" applyFill="1" applyBorder="1" applyAlignment="1">
      <alignment horizontal="center" vertical="center"/>
    </xf>
    <xf numFmtId="0" fontId="2" fillId="2" borderId="2" xfId="0" applyFont="1" applyFill="1" applyBorder="1" applyAlignment="1" applyProtection="1">
      <alignment horizontal="left" vertical="top" wrapText="1"/>
      <protection locked="0"/>
    </xf>
    <xf numFmtId="0" fontId="12" fillId="0" borderId="40" xfId="0" applyFont="1" applyBorder="1" applyAlignment="1">
      <alignment horizontal="left" vertical="center"/>
    </xf>
    <xf numFmtId="0" fontId="12" fillId="0" borderId="38" xfId="0" applyFont="1" applyBorder="1"/>
    <xf numFmtId="0" fontId="41" fillId="4" borderId="36" xfId="0" applyFont="1" applyFill="1" applyBorder="1" applyProtection="1"/>
    <xf numFmtId="0" fontId="41" fillId="0" borderId="36" xfId="0" applyFont="1" applyFill="1" applyBorder="1" applyProtection="1"/>
    <xf numFmtId="0" fontId="2" fillId="0" borderId="23" xfId="0" applyFont="1" applyBorder="1"/>
    <xf numFmtId="0" fontId="41" fillId="0" borderId="0" xfId="0" applyFont="1" applyFill="1" applyBorder="1" applyProtection="1"/>
    <xf numFmtId="178" fontId="2" fillId="2" borderId="19" xfId="0" applyNumberFormat="1" applyFont="1" applyFill="1" applyBorder="1" applyAlignment="1" applyProtection="1">
      <alignment horizontal="right"/>
      <protection locked="0"/>
    </xf>
    <xf numFmtId="176" fontId="2" fillId="2" borderId="0" xfId="0" applyNumberFormat="1" applyFont="1" applyFill="1" applyAlignment="1" applyProtection="1">
      <alignment horizontal="right"/>
      <protection locked="0"/>
    </xf>
    <xf numFmtId="1" fontId="2" fillId="0" borderId="0" xfId="0" applyNumberFormat="1" applyFont="1" applyAlignment="1">
      <alignment horizontal="left"/>
    </xf>
    <xf numFmtId="0" fontId="2" fillId="0" borderId="0" xfId="0" applyFont="1" applyAlignment="1">
      <alignment horizontal="left" vertical="center"/>
    </xf>
    <xf numFmtId="1" fontId="2" fillId="0" borderId="0" xfId="1" applyNumberFormat="1" applyFont="1" applyAlignment="1">
      <alignment horizontal="left"/>
    </xf>
    <xf numFmtId="0" fontId="37" fillId="0" borderId="0" xfId="0" applyFont="1"/>
    <xf numFmtId="176" fontId="2" fillId="2" borderId="0" xfId="0" applyNumberFormat="1" applyFont="1" applyFill="1" applyAlignment="1" applyProtection="1">
      <alignment horizontal="left"/>
      <protection locked="0"/>
    </xf>
    <xf numFmtId="169" fontId="2" fillId="0" borderId="0" xfId="0" applyNumberFormat="1" applyFont="1" applyFill="1" applyAlignment="1">
      <alignment horizontal="center"/>
    </xf>
    <xf numFmtId="174" fontId="2" fillId="0" borderId="0" xfId="0" applyNumberFormat="1" applyFont="1" applyFill="1" applyBorder="1" applyAlignment="1" applyProtection="1">
      <alignment horizontal="left"/>
    </xf>
    <xf numFmtId="181" fontId="2" fillId="0" borderId="0" xfId="0" applyNumberFormat="1" applyFont="1" applyAlignment="1">
      <alignment horizontal="center"/>
    </xf>
    <xf numFmtId="0" fontId="7" fillId="0" borderId="0" xfId="0" applyFont="1" applyFill="1" applyAlignment="1">
      <alignment horizontal="left"/>
    </xf>
    <xf numFmtId="0" fontId="2" fillId="2" borderId="0" xfId="0" applyFont="1" applyFill="1" applyAlignment="1" applyProtection="1">
      <alignment horizontal="left" vertical="center"/>
      <protection locked="0"/>
    </xf>
    <xf numFmtId="0" fontId="2" fillId="0" borderId="24" xfId="0" applyFont="1" applyBorder="1"/>
    <xf numFmtId="0" fontId="2" fillId="0" borderId="22" xfId="0" applyFont="1" applyBorder="1"/>
    <xf numFmtId="0" fontId="2" fillId="0" borderId="23" xfId="0" applyFont="1" applyBorder="1" applyAlignment="1">
      <alignment horizontal="left"/>
    </xf>
    <xf numFmtId="166" fontId="2" fillId="0" borderId="0" xfId="0" applyNumberFormat="1" applyFont="1" applyAlignment="1">
      <alignment horizontal="right"/>
    </xf>
    <xf numFmtId="174" fontId="2" fillId="0" borderId="0" xfId="0" applyNumberFormat="1" applyFont="1" applyFill="1" applyBorder="1" applyAlignment="1" applyProtection="1">
      <alignment horizontal="right"/>
    </xf>
    <xf numFmtId="183" fontId="2" fillId="0" borderId="0" xfId="0" applyNumberFormat="1" applyFont="1" applyAlignment="1">
      <alignment horizontal="right"/>
    </xf>
    <xf numFmtId="170" fontId="2" fillId="0" borderId="0" xfId="1" applyNumberFormat="1" applyFont="1" applyAlignment="1">
      <alignment horizontal="right"/>
    </xf>
    <xf numFmtId="182" fontId="2" fillId="2" borderId="0" xfId="0" applyNumberFormat="1" applyFont="1" applyFill="1" applyAlignment="1" applyProtection="1">
      <alignment horizontal="right"/>
      <protection locked="0"/>
    </xf>
    <xf numFmtId="170" fontId="2" fillId="0" borderId="0" xfId="0" applyNumberFormat="1" applyFont="1" applyAlignment="1">
      <alignment horizontal="left"/>
    </xf>
    <xf numFmtId="171" fontId="2" fillId="0" borderId="0" xfId="0" applyNumberFormat="1" applyFont="1" applyAlignment="1">
      <alignment horizontal="right"/>
    </xf>
    <xf numFmtId="0" fontId="12" fillId="0" borderId="0" xfId="0" applyFont="1"/>
    <xf numFmtId="184" fontId="12" fillId="0" borderId="0" xfId="0" applyNumberFormat="1" applyFont="1"/>
    <xf numFmtId="0" fontId="0" fillId="0" borderId="4" xfId="0" applyBorder="1" applyAlignment="1">
      <alignment horizontal="center"/>
    </xf>
    <xf numFmtId="0" fontId="12" fillId="0" borderId="4" xfId="0" applyFont="1" applyBorder="1" applyAlignment="1">
      <alignment horizontal="center"/>
    </xf>
    <xf numFmtId="0" fontId="9" fillId="0" borderId="4" xfId="0" applyFont="1" applyBorder="1" applyAlignment="1">
      <alignment horizontal="center"/>
    </xf>
    <xf numFmtId="0" fontId="0" fillId="0" borderId="4" xfId="0" applyBorder="1" applyAlignment="1">
      <alignment horizontal="center" vertical="center"/>
    </xf>
    <xf numFmtId="168" fontId="0" fillId="0" borderId="4" xfId="1" applyNumberFormat="1" applyFont="1" applyBorder="1"/>
    <xf numFmtId="177" fontId="2" fillId="0" borderId="4" xfId="0" applyNumberFormat="1" applyFont="1" applyFill="1" applyBorder="1" applyAlignment="1" applyProtection="1">
      <alignment horizontal="left"/>
    </xf>
    <xf numFmtId="0" fontId="2" fillId="0" borderId="13" xfId="0" applyFont="1" applyFill="1" applyBorder="1" applyAlignment="1" applyProtection="1"/>
    <xf numFmtId="0" fontId="2" fillId="0" borderId="11" xfId="0" applyFont="1" applyFill="1" applyBorder="1" applyAlignment="1" applyProtection="1"/>
    <xf numFmtId="0" fontId="2" fillId="0" borderId="4" xfId="0" applyFont="1" applyFill="1" applyBorder="1" applyAlignment="1" applyProtection="1">
      <alignment horizontal="right"/>
    </xf>
    <xf numFmtId="0" fontId="2" fillId="0" borderId="4" xfId="0" applyFont="1" applyFill="1" applyBorder="1" applyAlignment="1" applyProtection="1">
      <alignment horizontal="center"/>
    </xf>
    <xf numFmtId="2" fontId="2" fillId="0" borderId="4" xfId="0" applyNumberFormat="1" applyFont="1" applyFill="1" applyBorder="1" applyAlignment="1" applyProtection="1">
      <alignment horizontal="center"/>
    </xf>
    <xf numFmtId="0" fontId="2" fillId="0" borderId="12" xfId="0" applyFont="1" applyFill="1" applyBorder="1" applyAlignment="1" applyProtection="1"/>
    <xf numFmtId="171" fontId="2" fillId="0" borderId="4" xfId="0" applyNumberFormat="1" applyFont="1" applyFill="1" applyBorder="1" applyAlignment="1">
      <alignment horizontal="center"/>
    </xf>
    <xf numFmtId="0" fontId="41" fillId="0" borderId="0" xfId="0" applyFont="1" applyFill="1" applyBorder="1" applyAlignment="1">
      <alignment vertical="center"/>
    </xf>
    <xf numFmtId="2" fontId="0" fillId="0" borderId="0" xfId="0" applyNumberFormat="1" applyFill="1" applyBorder="1" applyAlignment="1">
      <alignment horizontal="center" vertical="center"/>
    </xf>
    <xf numFmtId="0" fontId="41" fillId="4" borderId="38" xfId="0" applyFont="1" applyFill="1" applyBorder="1" applyProtection="1"/>
    <xf numFmtId="0" fontId="41" fillId="0" borderId="47" xfId="0" applyFont="1" applyFill="1" applyBorder="1" applyProtection="1"/>
    <xf numFmtId="0" fontId="2" fillId="5" borderId="48" xfId="0" applyFont="1" applyFill="1" applyBorder="1" applyAlignment="1" applyProtection="1">
      <alignment horizontal="center"/>
    </xf>
    <xf numFmtId="0" fontId="2" fillId="5" borderId="46" xfId="0" applyFont="1" applyFill="1" applyBorder="1" applyAlignment="1" applyProtection="1">
      <alignment horizontal="center"/>
    </xf>
    <xf numFmtId="0" fontId="2" fillId="5" borderId="47" xfId="0" applyFont="1" applyFill="1" applyBorder="1" applyAlignment="1" applyProtection="1">
      <alignment horizontal="center"/>
    </xf>
    <xf numFmtId="0" fontId="2" fillId="5" borderId="49" xfId="0" applyFont="1" applyFill="1" applyBorder="1" applyAlignment="1" applyProtection="1">
      <alignment horizontal="center"/>
    </xf>
    <xf numFmtId="1" fontId="41" fillId="0" borderId="0" xfId="0" applyNumberFormat="1" applyFont="1" applyFill="1" applyBorder="1" applyAlignment="1" applyProtection="1">
      <alignment horizontal="center"/>
    </xf>
    <xf numFmtId="2" fontId="41" fillId="0" borderId="0" xfId="0" applyNumberFormat="1" applyFont="1" applyFill="1" applyBorder="1" applyAlignment="1" applyProtection="1">
      <alignment horizontal="center"/>
    </xf>
    <xf numFmtId="185" fontId="0" fillId="0" borderId="4" xfId="0" applyNumberFormat="1" applyBorder="1" applyAlignment="1" applyProtection="1">
      <alignment horizontal="center"/>
    </xf>
    <xf numFmtId="1" fontId="41" fillId="4" borderId="7" xfId="0" applyNumberFormat="1" applyFont="1" applyFill="1" applyBorder="1" applyAlignment="1" applyProtection="1">
      <alignment horizontal="center"/>
    </xf>
    <xf numFmtId="2" fontId="41" fillId="4" borderId="7" xfId="0" applyNumberFormat="1" applyFont="1" applyFill="1" applyBorder="1" applyAlignment="1" applyProtection="1">
      <alignment horizontal="center"/>
    </xf>
    <xf numFmtId="1" fontId="41" fillId="0" borderId="48" xfId="0" applyNumberFormat="1" applyFont="1" applyFill="1" applyBorder="1" applyAlignment="1" applyProtection="1">
      <alignment horizontal="center"/>
    </xf>
    <xf numFmtId="2" fontId="41" fillId="0" borderId="46" xfId="0" applyNumberFormat="1" applyFont="1" applyFill="1" applyBorder="1" applyAlignment="1" applyProtection="1">
      <alignment horizontal="center"/>
    </xf>
    <xf numFmtId="171" fontId="16" fillId="0" borderId="0" xfId="2" applyNumberFormat="1" applyFont="1" applyBorder="1" applyAlignment="1" applyProtection="1">
      <alignment horizontal="center"/>
    </xf>
    <xf numFmtId="0" fontId="41" fillId="0" borderId="10" xfId="0" applyFont="1" applyFill="1" applyBorder="1" applyProtection="1"/>
    <xf numFmtId="164" fontId="41" fillId="4" borderId="7" xfId="1" applyFont="1" applyFill="1" applyBorder="1" applyAlignment="1" applyProtection="1">
      <alignment horizontal="center"/>
    </xf>
    <xf numFmtId="164" fontId="41" fillId="0" borderId="48" xfId="1" applyFont="1" applyFill="1" applyBorder="1" applyAlignment="1" applyProtection="1">
      <alignment horizontal="center"/>
    </xf>
    <xf numFmtId="164" fontId="41" fillId="0" borderId="46" xfId="1" applyFont="1" applyFill="1" applyBorder="1" applyAlignment="1" applyProtection="1">
      <alignment horizontal="center"/>
    </xf>
    <xf numFmtId="164" fontId="41" fillId="0" borderId="37" xfId="1" applyFont="1" applyFill="1" applyBorder="1" applyAlignment="1" applyProtection="1">
      <alignment horizontal="center"/>
    </xf>
    <xf numFmtId="0" fontId="41" fillId="4" borderId="52" xfId="0" applyFont="1" applyFill="1" applyBorder="1" applyProtection="1"/>
    <xf numFmtId="164" fontId="41" fillId="4" borderId="51" xfId="1" applyFont="1" applyFill="1" applyBorder="1" applyAlignment="1" applyProtection="1">
      <alignment horizontal="center"/>
    </xf>
    <xf numFmtId="0" fontId="41" fillId="0" borderId="40" xfId="0" applyFont="1" applyFill="1" applyBorder="1" applyProtection="1"/>
    <xf numFmtId="1" fontId="41" fillId="0" borderId="50" xfId="0" applyNumberFormat="1" applyFont="1" applyFill="1" applyBorder="1" applyAlignment="1" applyProtection="1">
      <alignment horizontal="center"/>
    </xf>
    <xf numFmtId="2" fontId="41" fillId="0" borderId="9" xfId="0" applyNumberFormat="1" applyFont="1" applyFill="1" applyBorder="1" applyAlignment="1" applyProtection="1">
      <alignment horizontal="center"/>
    </xf>
    <xf numFmtId="1" fontId="41" fillId="0" borderId="10" xfId="0" applyNumberFormat="1" applyFont="1" applyFill="1" applyBorder="1" applyAlignment="1" applyProtection="1">
      <alignment horizontal="center"/>
    </xf>
    <xf numFmtId="2" fontId="41" fillId="0" borderId="10" xfId="0" applyNumberFormat="1" applyFont="1" applyFill="1" applyBorder="1" applyAlignment="1" applyProtection="1">
      <alignment horizontal="center"/>
    </xf>
    <xf numFmtId="171" fontId="41" fillId="4" borderId="7" xfId="0" applyNumberFormat="1" applyFont="1" applyFill="1" applyBorder="1" applyAlignment="1" applyProtection="1">
      <alignment horizontal="center"/>
    </xf>
    <xf numFmtId="171" fontId="15" fillId="5" borderId="7" xfId="3" applyNumberFormat="1" applyFont="1" applyFill="1" applyBorder="1" applyAlignment="1">
      <alignment horizontal="center"/>
    </xf>
    <xf numFmtId="171" fontId="44" fillId="4" borderId="7" xfId="0" applyNumberFormat="1" applyFont="1" applyFill="1" applyBorder="1" applyAlignment="1" applyProtection="1">
      <alignment horizontal="center"/>
    </xf>
    <xf numFmtId="171" fontId="41" fillId="0" borderId="46" xfId="0" applyNumberFormat="1" applyFont="1" applyFill="1" applyBorder="1" applyAlignment="1" applyProtection="1">
      <alignment horizontal="center"/>
    </xf>
    <xf numFmtId="171" fontId="15" fillId="5" borderId="46" xfId="3" applyNumberFormat="1" applyFont="1" applyFill="1" applyBorder="1" applyAlignment="1">
      <alignment horizontal="center"/>
    </xf>
    <xf numFmtId="171" fontId="44" fillId="0" borderId="46" xfId="0" applyNumberFormat="1" applyFont="1" applyFill="1" applyBorder="1" applyAlignment="1" applyProtection="1">
      <alignment horizontal="center"/>
    </xf>
    <xf numFmtId="1" fontId="41" fillId="3" borderId="7" xfId="0" applyNumberFormat="1" applyFont="1" applyFill="1" applyBorder="1" applyAlignment="1" applyProtection="1">
      <alignment horizontal="center"/>
    </xf>
    <xf numFmtId="171" fontId="41" fillId="0" borderId="48" xfId="0" applyNumberFormat="1" applyFont="1" applyFill="1" applyBorder="1" applyAlignment="1" applyProtection="1">
      <alignment horizontal="center"/>
    </xf>
    <xf numFmtId="1" fontId="41" fillId="0" borderId="46" xfId="0" applyNumberFormat="1" applyFont="1" applyFill="1" applyBorder="1" applyAlignment="1" applyProtection="1">
      <alignment horizontal="center"/>
    </xf>
    <xf numFmtId="1" fontId="41" fillId="3" borderId="46" xfId="0" applyNumberFormat="1" applyFont="1" applyFill="1" applyBorder="1" applyAlignment="1" applyProtection="1">
      <alignment horizontal="center"/>
    </xf>
    <xf numFmtId="1" fontId="2" fillId="2" borderId="23" xfId="0" applyNumberFormat="1" applyFont="1" applyFill="1" applyBorder="1" applyAlignment="1" applyProtection="1">
      <alignment horizontal="left"/>
      <protection locked="0"/>
    </xf>
    <xf numFmtId="171" fontId="0" fillId="3" borderId="10" xfId="0" applyNumberFormat="1" applyFill="1" applyBorder="1" applyProtection="1"/>
    <xf numFmtId="0" fontId="48" fillId="5" borderId="8" xfId="0" applyFont="1" applyFill="1" applyBorder="1" applyAlignment="1" applyProtection="1">
      <alignment horizontal="right"/>
    </xf>
    <xf numFmtId="2" fontId="0" fillId="3" borderId="10" xfId="0" applyNumberFormat="1" applyFill="1" applyBorder="1" applyProtection="1"/>
    <xf numFmtId="0" fontId="2" fillId="0" borderId="0" xfId="0" applyFont="1" applyFill="1" applyBorder="1" applyAlignment="1">
      <alignment horizontal="center"/>
    </xf>
    <xf numFmtId="0" fontId="2" fillId="0" borderId="0" xfId="0" applyFont="1" applyFill="1" applyBorder="1" applyProtection="1"/>
    <xf numFmtId="0" fontId="4" fillId="0" borderId="0" xfId="0" applyFont="1" applyFill="1" applyBorder="1" applyAlignment="1" applyProtection="1">
      <alignment horizontal="center"/>
    </xf>
    <xf numFmtId="0" fontId="2" fillId="0" borderId="0" xfId="0" applyFont="1" applyFill="1" applyBorder="1" applyAlignment="1" applyProtection="1"/>
    <xf numFmtId="186" fontId="2" fillId="2" borderId="0" xfId="0" applyNumberFormat="1" applyFont="1" applyFill="1" applyBorder="1" applyAlignment="1" applyProtection="1">
      <alignment horizontal="left"/>
      <protection locked="0"/>
    </xf>
    <xf numFmtId="1" fontId="41" fillId="0" borderId="4" xfId="0" applyNumberFormat="1" applyFont="1" applyFill="1" applyBorder="1" applyAlignment="1" applyProtection="1">
      <alignment horizontal="right"/>
    </xf>
    <xf numFmtId="1" fontId="48" fillId="0" borderId="4" xfId="0" applyNumberFormat="1" applyFont="1" applyFill="1" applyBorder="1" applyAlignment="1" applyProtection="1">
      <alignment horizontal="right"/>
    </xf>
    <xf numFmtId="187" fontId="41" fillId="0" borderId="4" xfId="0" applyNumberFormat="1" applyFont="1" applyFill="1" applyBorder="1" applyAlignment="1" applyProtection="1">
      <alignment horizontal="center"/>
    </xf>
    <xf numFmtId="0" fontId="41" fillId="3" borderId="0" xfId="0" applyFont="1" applyFill="1" applyProtection="1"/>
    <xf numFmtId="0" fontId="41" fillId="0" borderId="0" xfId="0" applyFont="1" applyProtection="1"/>
    <xf numFmtId="0" fontId="51" fillId="3" borderId="0" xfId="0" applyFont="1" applyFill="1"/>
    <xf numFmtId="167" fontId="41" fillId="0" borderId="0" xfId="3" applyNumberFormat="1" applyFont="1"/>
    <xf numFmtId="167" fontId="0" fillId="0" borderId="0" xfId="1" applyNumberFormat="1" applyFont="1" applyProtection="1"/>
    <xf numFmtId="0" fontId="2" fillId="3" borderId="7" xfId="0" applyFont="1" applyFill="1" applyBorder="1" applyAlignment="1" applyProtection="1">
      <alignment horizontal="center"/>
    </xf>
    <xf numFmtId="0" fontId="2" fillId="3" borderId="46" xfId="0" applyFont="1" applyFill="1" applyBorder="1" applyAlignment="1" applyProtection="1">
      <alignment horizontal="center"/>
    </xf>
    <xf numFmtId="0" fontId="53" fillId="0" borderId="0" xfId="0" applyFont="1"/>
    <xf numFmtId="0" fontId="53" fillId="0" borderId="0" xfId="0" applyFont="1" applyAlignment="1">
      <alignment horizontal="left"/>
    </xf>
    <xf numFmtId="0" fontId="2" fillId="2" borderId="0" xfId="0" applyFont="1" applyFill="1" applyAlignment="1" applyProtection="1">
      <alignment horizontal="center"/>
      <protection locked="0"/>
    </xf>
    <xf numFmtId="1" fontId="2" fillId="0" borderId="0" xfId="0" applyNumberFormat="1" applyFont="1"/>
    <xf numFmtId="0" fontId="54" fillId="0" borderId="0" xfId="0" applyFont="1"/>
    <xf numFmtId="0" fontId="2" fillId="0" borderId="4" xfId="0" applyFont="1" applyBorder="1" applyAlignment="1">
      <alignment horizontal="center"/>
    </xf>
    <xf numFmtId="1" fontId="2" fillId="2" borderId="4" xfId="0" applyNumberFormat="1" applyFont="1" applyFill="1" applyBorder="1" applyAlignment="1" applyProtection="1">
      <alignment horizontal="center"/>
      <protection locked="0"/>
    </xf>
    <xf numFmtId="0" fontId="50" fillId="0" borderId="0" xfId="0" applyFont="1" applyBorder="1"/>
    <xf numFmtId="2" fontId="2" fillId="5" borderId="7" xfId="1" applyNumberFormat="1" applyFont="1" applyFill="1" applyBorder="1" applyAlignment="1" applyProtection="1">
      <alignment horizontal="center"/>
    </xf>
    <xf numFmtId="2" fontId="2" fillId="5" borderId="4" xfId="1" applyNumberFormat="1" applyFont="1" applyFill="1" applyBorder="1" applyAlignment="1" applyProtection="1">
      <alignment horizontal="center"/>
    </xf>
    <xf numFmtId="165" fontId="2" fillId="0" borderId="0" xfId="0" applyNumberFormat="1" applyFont="1" applyFill="1" applyBorder="1"/>
    <xf numFmtId="0" fontId="2" fillId="0" borderId="13" xfId="0" applyFont="1" applyBorder="1" applyAlignment="1">
      <alignment horizontal="center"/>
    </xf>
    <xf numFmtId="0" fontId="0" fillId="0" borderId="5" xfId="0" applyBorder="1"/>
    <xf numFmtId="0" fontId="2" fillId="0" borderId="1" xfId="0" applyFont="1" applyBorder="1" applyAlignment="1">
      <alignment horizontal="center"/>
    </xf>
    <xf numFmtId="0" fontId="1" fillId="2" borderId="0" xfId="0" applyFont="1" applyFill="1" applyAlignment="1" applyProtection="1">
      <alignment vertical="center"/>
    </xf>
    <xf numFmtId="0" fontId="55" fillId="6" borderId="0" xfId="4" applyAlignment="1" applyProtection="1">
      <alignment vertical="center"/>
    </xf>
    <xf numFmtId="0" fontId="56" fillId="8" borderId="0" xfId="5" applyFill="1" applyAlignment="1" applyProtection="1">
      <alignment vertical="center"/>
    </xf>
    <xf numFmtId="0" fontId="2" fillId="0" borderId="13" xfId="0" applyFont="1" applyBorder="1"/>
    <xf numFmtId="0" fontId="57" fillId="0" borderId="13" xfId="0" applyFont="1" applyBorder="1"/>
    <xf numFmtId="0" fontId="25" fillId="0" borderId="4" xfId="0" applyFont="1" applyBorder="1"/>
    <xf numFmtId="0" fontId="2" fillId="0" borderId="12" xfId="0" applyFont="1" applyBorder="1" applyAlignment="1">
      <alignment horizontal="center"/>
    </xf>
    <xf numFmtId="2" fontId="2" fillId="0" borderId="12" xfId="0" applyNumberFormat="1" applyFont="1" applyBorder="1" applyAlignment="1">
      <alignment horizontal="center"/>
    </xf>
    <xf numFmtId="188" fontId="0" fillId="0" borderId="4" xfId="0" applyNumberFormat="1" applyBorder="1" applyAlignment="1">
      <alignment horizontal="center"/>
    </xf>
    <xf numFmtId="0" fontId="57" fillId="0" borderId="9" xfId="0" applyFont="1" applyBorder="1"/>
    <xf numFmtId="0" fontId="58" fillId="0" borderId="0" xfId="0" applyFont="1"/>
    <xf numFmtId="0" fontId="2" fillId="0" borderId="7" xfId="0" applyFont="1" applyFill="1" applyBorder="1" applyAlignment="1" applyProtection="1">
      <alignment horizontal="center"/>
    </xf>
    <xf numFmtId="185" fontId="0" fillId="0" borderId="4" xfId="0" applyNumberFormat="1" applyBorder="1" applyAlignment="1">
      <alignment horizontal="center"/>
    </xf>
    <xf numFmtId="185" fontId="0" fillId="0" borderId="7" xfId="0" applyNumberFormat="1" applyBorder="1" applyAlignment="1">
      <alignment horizontal="center"/>
    </xf>
    <xf numFmtId="1" fontId="2" fillId="0" borderId="0" xfId="0" applyNumberFormat="1" applyFont="1" applyFill="1" applyBorder="1" applyAlignment="1" applyProtection="1">
      <alignment horizontal="center"/>
    </xf>
    <xf numFmtId="0" fontId="59" fillId="0" borderId="0" xfId="0" applyFont="1"/>
    <xf numFmtId="0" fontId="60" fillId="0" borderId="18" xfId="0" applyFont="1" applyBorder="1"/>
    <xf numFmtId="0" fontId="60" fillId="0" borderId="19" xfId="0" applyFont="1" applyBorder="1"/>
    <xf numFmtId="0" fontId="8" fillId="0" borderId="0" xfId="0" applyFont="1" applyBorder="1" applyAlignment="1">
      <alignment horizontal="center"/>
    </xf>
    <xf numFmtId="0" fontId="9" fillId="2" borderId="2" xfId="0" applyFont="1" applyFill="1" applyBorder="1" applyAlignment="1" applyProtection="1">
      <alignment horizontal="center"/>
      <protection locked="0"/>
    </xf>
    <xf numFmtId="0" fontId="0" fillId="2" borderId="2" xfId="0" applyFill="1" applyBorder="1" applyAlignment="1" applyProtection="1">
      <alignment horizontal="center"/>
      <protection locked="0"/>
    </xf>
    <xf numFmtId="0" fontId="1" fillId="2" borderId="4" xfId="0" applyFont="1" applyFill="1" applyBorder="1" applyAlignment="1" applyProtection="1">
      <alignment horizontal="left"/>
      <protection locked="0"/>
    </xf>
    <xf numFmtId="0" fontId="10" fillId="2" borderId="4" xfId="0" applyFont="1" applyFill="1" applyBorder="1" applyAlignment="1" applyProtection="1">
      <alignment horizontal="left"/>
      <protection locked="0"/>
    </xf>
    <xf numFmtId="14" fontId="10" fillId="2" borderId="4" xfId="0" applyNumberFormat="1" applyFont="1" applyFill="1" applyBorder="1" applyAlignment="1" applyProtection="1">
      <alignment horizontal="left"/>
      <protection locked="0"/>
    </xf>
    <xf numFmtId="0" fontId="9" fillId="2" borderId="13" xfId="0" applyFont="1" applyFill="1" applyBorder="1" applyAlignment="1" applyProtection="1">
      <alignment horizontal="left"/>
      <protection locked="0"/>
    </xf>
    <xf numFmtId="0" fontId="10" fillId="2" borderId="12" xfId="0" applyFont="1" applyFill="1" applyBorder="1" applyAlignment="1" applyProtection="1">
      <alignment horizontal="left"/>
      <protection locked="0"/>
    </xf>
    <xf numFmtId="0" fontId="10" fillId="2" borderId="11" xfId="0" applyFont="1" applyFill="1" applyBorder="1" applyAlignment="1" applyProtection="1">
      <alignment horizontal="left"/>
      <protection locked="0"/>
    </xf>
    <xf numFmtId="165" fontId="2" fillId="0" borderId="41" xfId="0" applyNumberFormat="1" applyFont="1" applyFill="1" applyBorder="1" applyAlignment="1">
      <alignment horizontal="center"/>
    </xf>
    <xf numFmtId="165" fontId="2" fillId="0" borderId="42" xfId="0" applyNumberFormat="1" applyFont="1" applyFill="1" applyBorder="1" applyAlignment="1">
      <alignment horizontal="center"/>
    </xf>
    <xf numFmtId="165" fontId="2" fillId="0" borderId="43" xfId="0" applyNumberFormat="1" applyFont="1" applyFill="1" applyBorder="1" applyAlignment="1">
      <alignment horizontal="center"/>
    </xf>
    <xf numFmtId="0" fontId="58" fillId="0" borderId="20" xfId="0" applyFont="1" applyBorder="1" applyAlignment="1">
      <alignment horizontal="left" wrapText="1"/>
    </xf>
    <xf numFmtId="0" fontId="58" fillId="0" borderId="0" xfId="0" applyFont="1" applyAlignment="1">
      <alignment horizontal="left" wrapText="1"/>
    </xf>
    <xf numFmtId="0" fontId="2" fillId="2" borderId="10" xfId="0" applyFont="1" applyFill="1" applyBorder="1" applyAlignment="1" applyProtection="1">
      <alignment horizontal="left" vertical="top" wrapText="1"/>
      <protection locked="0"/>
    </xf>
    <xf numFmtId="0" fontId="2" fillId="2" borderId="0" xfId="0" applyFont="1" applyFill="1" applyBorder="1" applyAlignment="1" applyProtection="1">
      <alignment horizontal="left" vertical="top" wrapText="1"/>
      <protection locked="0"/>
    </xf>
    <xf numFmtId="164" fontId="2" fillId="0" borderId="41" xfId="1" applyNumberFormat="1" applyFont="1" applyBorder="1" applyAlignment="1">
      <alignment horizontal="center"/>
    </xf>
    <xf numFmtId="164" fontId="2" fillId="0" borderId="42" xfId="1" applyNumberFormat="1" applyFont="1" applyBorder="1" applyAlignment="1">
      <alignment horizontal="center"/>
    </xf>
    <xf numFmtId="164" fontId="2" fillId="0" borderId="43" xfId="1" applyNumberFormat="1" applyFont="1" applyBorder="1" applyAlignment="1">
      <alignment horizontal="center"/>
    </xf>
    <xf numFmtId="165" fontId="2" fillId="0" borderId="41" xfId="0" applyNumberFormat="1" applyFont="1" applyBorder="1" applyAlignment="1">
      <alignment horizontal="center" vertical="center"/>
    </xf>
    <xf numFmtId="165" fontId="2" fillId="0" borderId="42" xfId="0" applyNumberFormat="1" applyFont="1" applyBorder="1" applyAlignment="1">
      <alignment horizontal="center" vertical="center"/>
    </xf>
    <xf numFmtId="165" fontId="2" fillId="0" borderId="43" xfId="0" applyNumberFormat="1" applyFont="1" applyBorder="1" applyAlignment="1">
      <alignment horizontal="center" vertical="center"/>
    </xf>
    <xf numFmtId="0" fontId="2" fillId="0" borderId="0" xfId="0" applyFont="1" applyAlignment="1">
      <alignment horizontal="left" wrapText="1"/>
    </xf>
    <xf numFmtId="0" fontId="2" fillId="0" borderId="2" xfId="0" applyFont="1" applyBorder="1" applyAlignment="1">
      <alignment horizontal="center"/>
    </xf>
    <xf numFmtId="165" fontId="2" fillId="0" borderId="20" xfId="0" applyNumberFormat="1" applyFont="1" applyFill="1" applyBorder="1" applyAlignment="1">
      <alignment horizontal="right" textRotation="90"/>
    </xf>
    <xf numFmtId="0" fontId="2" fillId="0" borderId="0" xfId="0" applyFont="1" applyAlignment="1">
      <alignment horizontal="center" vertical="top" textRotation="134" wrapText="1"/>
    </xf>
    <xf numFmtId="0" fontId="54" fillId="0" borderId="0" xfId="0" applyFont="1" applyAlignment="1">
      <alignment horizontal="center"/>
    </xf>
    <xf numFmtId="0" fontId="2" fillId="0" borderId="4" xfId="0" applyFont="1" applyBorder="1" applyAlignment="1">
      <alignment horizontal="center"/>
    </xf>
    <xf numFmtId="0" fontId="29" fillId="0" borderId="15"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44" xfId="0" applyFont="1" applyBorder="1" applyAlignment="1">
      <alignment horizontal="center" vertical="center"/>
    </xf>
    <xf numFmtId="0" fontId="29" fillId="0" borderId="12" xfId="0" applyFont="1" applyBorder="1" applyAlignment="1">
      <alignment horizontal="center" vertical="center"/>
    </xf>
    <xf numFmtId="0" fontId="29" fillId="0" borderId="45" xfId="0" applyFont="1" applyBorder="1" applyAlignment="1">
      <alignment horizontal="center" vertical="center"/>
    </xf>
    <xf numFmtId="0" fontId="9" fillId="0" borderId="13" xfId="0" applyFont="1" applyBorder="1" applyAlignment="1">
      <alignment horizontal="center"/>
    </xf>
    <xf numFmtId="0" fontId="9" fillId="0" borderId="12" xfId="0" applyFont="1" applyBorder="1" applyAlignment="1">
      <alignment horizontal="center"/>
    </xf>
    <xf numFmtId="0" fontId="9" fillId="0" borderId="11" xfId="0" applyFont="1" applyBorder="1" applyAlignment="1">
      <alignment horizontal="center"/>
    </xf>
    <xf numFmtId="0" fontId="29" fillId="0" borderId="13" xfId="0" applyFont="1" applyBorder="1" applyAlignment="1">
      <alignment horizontal="center" vertical="center"/>
    </xf>
    <xf numFmtId="0" fontId="29" fillId="0" borderId="11" xfId="0" applyFont="1" applyBorder="1" applyAlignment="1">
      <alignment horizontal="center" vertical="center"/>
    </xf>
    <xf numFmtId="2" fontId="1" fillId="0" borderId="13" xfId="0" applyNumberFormat="1" applyFont="1" applyFill="1" applyBorder="1" applyAlignment="1">
      <alignment horizontal="center"/>
    </xf>
    <xf numFmtId="2" fontId="1" fillId="0" borderId="12" xfId="0" applyNumberFormat="1" applyFont="1" applyFill="1" applyBorder="1" applyAlignment="1">
      <alignment horizontal="center"/>
    </xf>
    <xf numFmtId="2" fontId="1" fillId="0" borderId="11" xfId="0" applyNumberFormat="1" applyFont="1" applyFill="1" applyBorder="1" applyAlignment="1">
      <alignment horizontal="center"/>
    </xf>
    <xf numFmtId="0" fontId="2" fillId="0" borderId="13" xfId="0" applyFont="1" applyBorder="1" applyAlignment="1">
      <alignment horizontal="center"/>
    </xf>
    <xf numFmtId="0" fontId="2" fillId="0" borderId="11" xfId="0" applyFont="1" applyBorder="1" applyAlignment="1">
      <alignment horizontal="center"/>
    </xf>
    <xf numFmtId="0" fontId="2" fillId="0" borderId="1" xfId="0" applyFont="1" applyBorder="1" applyAlignment="1">
      <alignment horizontal="center"/>
    </xf>
    <xf numFmtId="0" fontId="2" fillId="0" borderId="15" xfId="0" applyFont="1" applyBorder="1" applyAlignment="1">
      <alignment horizontal="center"/>
    </xf>
    <xf numFmtId="0" fontId="0" fillId="0" borderId="0" xfId="0" applyBorder="1" applyAlignment="1" applyProtection="1">
      <alignment horizontal="center"/>
    </xf>
    <xf numFmtId="0" fontId="9" fillId="0" borderId="13" xfId="0" applyFont="1" applyBorder="1" applyAlignment="1" applyProtection="1">
      <alignment horizontal="center"/>
    </xf>
    <xf numFmtId="0" fontId="9" fillId="0" borderId="12" xfId="0" applyFont="1" applyBorder="1" applyAlignment="1" applyProtection="1">
      <alignment horizontal="center"/>
    </xf>
    <xf numFmtId="0" fontId="9" fillId="0" borderId="11" xfId="0" applyFont="1" applyBorder="1" applyAlignment="1" applyProtection="1">
      <alignment horizontal="center"/>
    </xf>
    <xf numFmtId="171" fontId="15" fillId="0" borderId="1" xfId="3" applyNumberFormat="1" applyFont="1" applyBorder="1" applyAlignment="1">
      <alignment horizontal="center" vertical="center"/>
    </xf>
    <xf numFmtId="171" fontId="15" fillId="0" borderId="10" xfId="3" applyNumberFormat="1" applyFont="1" applyBorder="1" applyAlignment="1">
      <alignment horizontal="center" vertical="center"/>
    </xf>
    <xf numFmtId="171" fontId="15" fillId="0" borderId="15" xfId="3" applyNumberFormat="1" applyFont="1" applyBorder="1" applyAlignment="1">
      <alignment horizontal="center" vertical="center"/>
    </xf>
    <xf numFmtId="171" fontId="15" fillId="0" borderId="8" xfId="3" applyNumberFormat="1" applyFont="1" applyBorder="1" applyAlignment="1">
      <alignment horizontal="center" vertical="center"/>
    </xf>
    <xf numFmtId="171" fontId="15" fillId="0" borderId="0" xfId="3" applyNumberFormat="1" applyFont="1" applyBorder="1" applyAlignment="1">
      <alignment horizontal="center" vertical="center"/>
    </xf>
    <xf numFmtId="171" fontId="15" fillId="0" borderId="16" xfId="3" applyNumberFormat="1" applyFont="1" applyBorder="1" applyAlignment="1">
      <alignment horizontal="center" vertical="center"/>
    </xf>
    <xf numFmtId="171" fontId="15" fillId="0" borderId="5" xfId="3" applyNumberFormat="1" applyFont="1" applyBorder="1" applyAlignment="1">
      <alignment horizontal="center" vertical="center"/>
    </xf>
    <xf numFmtId="171" fontId="15" fillId="0" borderId="2" xfId="3" applyNumberFormat="1" applyFont="1" applyBorder="1" applyAlignment="1">
      <alignment horizontal="center" vertical="center"/>
    </xf>
    <xf numFmtId="171" fontId="15" fillId="0" borderId="3" xfId="3" applyNumberFormat="1" applyFont="1" applyBorder="1" applyAlignment="1">
      <alignment horizontal="center" vertical="center"/>
    </xf>
    <xf numFmtId="171" fontId="15" fillId="0" borderId="9" xfId="3" applyNumberFormat="1" applyFont="1" applyBorder="1" applyAlignment="1">
      <alignment horizontal="center" vertical="center" wrapText="1"/>
    </xf>
    <xf numFmtId="171" fontId="15" fillId="0" borderId="17" xfId="3" applyNumberFormat="1" applyFont="1" applyBorder="1" applyAlignment="1">
      <alignment horizontal="center" vertical="center" wrapText="1"/>
    </xf>
    <xf numFmtId="171" fontId="15" fillId="0" borderId="7" xfId="3" applyNumberFormat="1" applyFont="1" applyBorder="1" applyAlignment="1">
      <alignment horizontal="center" vertical="center" wrapText="1"/>
    </xf>
    <xf numFmtId="171" fontId="15" fillId="0" borderId="1" xfId="3" applyNumberFormat="1" applyFont="1" applyBorder="1" applyAlignment="1">
      <alignment horizontal="center" vertical="center" wrapText="1"/>
    </xf>
    <xf numFmtId="171" fontId="15" fillId="0" borderId="15" xfId="3" applyNumberFormat="1" applyFont="1" applyBorder="1" applyAlignment="1">
      <alignment horizontal="center" vertical="center" wrapText="1"/>
    </xf>
    <xf numFmtId="171" fontId="15" fillId="0" borderId="8" xfId="3" applyNumberFormat="1" applyFont="1" applyBorder="1" applyAlignment="1">
      <alignment horizontal="center" vertical="center" wrapText="1"/>
    </xf>
    <xf numFmtId="171" fontId="15" fillId="0" borderId="16" xfId="3" applyNumberFormat="1" applyFont="1" applyBorder="1" applyAlignment="1">
      <alignment horizontal="center" vertical="center" wrapText="1"/>
    </xf>
    <xf numFmtId="171" fontId="15" fillId="0" borderId="5" xfId="3" applyNumberFormat="1" applyFont="1" applyBorder="1" applyAlignment="1">
      <alignment horizontal="center" vertical="center" wrapText="1"/>
    </xf>
    <xf numFmtId="171" fontId="15" fillId="0" borderId="3" xfId="3" applyNumberFormat="1" applyFont="1" applyBorder="1" applyAlignment="1">
      <alignment horizontal="center" vertical="center" wrapText="1"/>
    </xf>
  </cellXfs>
  <cellStyles count="6">
    <cellStyle name="Gut" xfId="4" builtinId="26"/>
    <cellStyle name="Komma" xfId="1" builtinId="3"/>
    <cellStyle name="Komma 2" xfId="2"/>
    <cellStyle name="Komma 3" xfId="3"/>
    <cellStyle name="Schlecht" xfId="5" builtinId="27"/>
    <cellStyle name="Standard" xfId="0" builtinId="0"/>
  </cellStyles>
  <dxfs count="10">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xml.rels><?xml version="1.0" encoding="UTF-8" standalone="yes"?>
<Relationships xmlns="http://schemas.openxmlformats.org/package/2006/relationships"><Relationship Id="rId1" Type="http://schemas.openxmlformats.org/officeDocument/2006/relationships/image" Target="../media/image12.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 Id="rId9" Type="http://schemas.openxmlformats.org/officeDocument/2006/relationships/image" Target="../media/image9.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14.emf"/><Relationship Id="rId1" Type="http://schemas.openxmlformats.org/officeDocument/2006/relationships/image" Target="../media/image13.emf"/></Relationships>
</file>

<file path=xl/drawings/drawing1.xml><?xml version="1.0" encoding="utf-8"?>
<xdr:wsDr xmlns:xdr="http://schemas.openxmlformats.org/drawingml/2006/spreadsheetDrawing" xmlns:a="http://schemas.openxmlformats.org/drawingml/2006/main">
  <xdr:twoCellAnchor>
    <xdr:from>
      <xdr:col>2</xdr:col>
      <xdr:colOff>0</xdr:colOff>
      <xdr:row>70</xdr:row>
      <xdr:rowOff>180975</xdr:rowOff>
    </xdr:from>
    <xdr:to>
      <xdr:col>2</xdr:col>
      <xdr:colOff>1057275</xdr:colOff>
      <xdr:row>80</xdr:row>
      <xdr:rowOff>142875</xdr:rowOff>
    </xdr:to>
    <xdr:sp macro="" textlink="">
      <xdr:nvSpPr>
        <xdr:cNvPr id="21768" name="Rectangle 1">
          <a:extLst>
            <a:ext uri="{FF2B5EF4-FFF2-40B4-BE49-F238E27FC236}">
              <a16:creationId xmlns="" xmlns:a16="http://schemas.microsoft.com/office/drawing/2014/main" id="{00000000-0008-0000-0000-000008550000}"/>
            </a:ext>
          </a:extLst>
        </xdr:cNvPr>
        <xdr:cNvSpPr>
          <a:spLocks noChangeArrowheads="1"/>
        </xdr:cNvSpPr>
      </xdr:nvSpPr>
      <xdr:spPr bwMode="auto">
        <a:xfrm>
          <a:off x="2638425" y="15840075"/>
          <a:ext cx="1057275" cy="2000250"/>
        </a:xfrm>
        <a:prstGeom prst="rect">
          <a:avLst/>
        </a:prstGeom>
        <a:solidFill>
          <a:srgbClr val="FFFFFF"/>
        </a:solidFill>
        <a:ln w="9525">
          <a:solidFill>
            <a:srgbClr val="000000"/>
          </a:solidFill>
          <a:miter lim="800000"/>
          <a:headEnd/>
          <a:tailEnd/>
        </a:ln>
      </xdr:spPr>
    </xdr:sp>
    <xdr:clientData/>
  </xdr:twoCellAnchor>
  <xdr:twoCellAnchor>
    <xdr:from>
      <xdr:col>2</xdr:col>
      <xdr:colOff>247650</xdr:colOff>
      <xdr:row>72</xdr:row>
      <xdr:rowOff>19050</xdr:rowOff>
    </xdr:from>
    <xdr:to>
      <xdr:col>2</xdr:col>
      <xdr:colOff>781050</xdr:colOff>
      <xdr:row>79</xdr:row>
      <xdr:rowOff>142875</xdr:rowOff>
    </xdr:to>
    <xdr:sp macro="" textlink="">
      <xdr:nvSpPr>
        <xdr:cNvPr id="21769" name="Rectangle 3">
          <a:extLst>
            <a:ext uri="{FF2B5EF4-FFF2-40B4-BE49-F238E27FC236}">
              <a16:creationId xmlns="" xmlns:a16="http://schemas.microsoft.com/office/drawing/2014/main" id="{00000000-0008-0000-0000-000009550000}"/>
            </a:ext>
          </a:extLst>
        </xdr:cNvPr>
        <xdr:cNvSpPr>
          <a:spLocks noChangeArrowheads="1"/>
        </xdr:cNvSpPr>
      </xdr:nvSpPr>
      <xdr:spPr bwMode="auto">
        <a:xfrm>
          <a:off x="2886075" y="16116300"/>
          <a:ext cx="533400" cy="1524000"/>
        </a:xfrm>
        <a:prstGeom prst="rect">
          <a:avLst/>
        </a:prstGeom>
        <a:solidFill>
          <a:srgbClr val="FFFFFF"/>
        </a:solidFill>
        <a:ln w="9525">
          <a:solidFill>
            <a:srgbClr val="000000"/>
          </a:solidFill>
          <a:miter lim="800000"/>
          <a:headEnd/>
          <a:tailEnd/>
        </a:ln>
      </xdr:spPr>
    </xdr:sp>
    <xdr:clientData/>
  </xdr:twoCellAnchor>
  <xdr:twoCellAnchor>
    <xdr:from>
      <xdr:col>6</xdr:col>
      <xdr:colOff>466725</xdr:colOff>
      <xdr:row>70</xdr:row>
      <xdr:rowOff>180975</xdr:rowOff>
    </xdr:from>
    <xdr:to>
      <xdr:col>7</xdr:col>
      <xdr:colOff>295275</xdr:colOff>
      <xdr:row>70</xdr:row>
      <xdr:rowOff>180975</xdr:rowOff>
    </xdr:to>
    <xdr:sp macro="" textlink="">
      <xdr:nvSpPr>
        <xdr:cNvPr id="21770" name="Line 12">
          <a:extLst>
            <a:ext uri="{FF2B5EF4-FFF2-40B4-BE49-F238E27FC236}">
              <a16:creationId xmlns="" xmlns:a16="http://schemas.microsoft.com/office/drawing/2014/main" id="{00000000-0008-0000-0000-00000A550000}"/>
            </a:ext>
          </a:extLst>
        </xdr:cNvPr>
        <xdr:cNvSpPr>
          <a:spLocks noChangeShapeType="1"/>
        </xdr:cNvSpPr>
      </xdr:nvSpPr>
      <xdr:spPr bwMode="auto">
        <a:xfrm flipV="1">
          <a:off x="7724775" y="15840075"/>
          <a:ext cx="790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76200</xdr:colOff>
      <xdr:row>76</xdr:row>
      <xdr:rowOff>161925</xdr:rowOff>
    </xdr:from>
    <xdr:to>
      <xdr:col>1</xdr:col>
      <xdr:colOff>914400</xdr:colOff>
      <xdr:row>76</xdr:row>
      <xdr:rowOff>161925</xdr:rowOff>
    </xdr:to>
    <xdr:sp macro="" textlink="">
      <xdr:nvSpPr>
        <xdr:cNvPr id="21771" name="Line 13">
          <a:extLst>
            <a:ext uri="{FF2B5EF4-FFF2-40B4-BE49-F238E27FC236}">
              <a16:creationId xmlns="" xmlns:a16="http://schemas.microsoft.com/office/drawing/2014/main" id="{00000000-0008-0000-0000-00000B550000}"/>
            </a:ext>
          </a:extLst>
        </xdr:cNvPr>
        <xdr:cNvSpPr>
          <a:spLocks noChangeShapeType="1"/>
        </xdr:cNvSpPr>
      </xdr:nvSpPr>
      <xdr:spPr bwMode="auto">
        <a:xfrm>
          <a:off x="76200" y="17059275"/>
          <a:ext cx="2181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647700</xdr:colOff>
      <xdr:row>70</xdr:row>
      <xdr:rowOff>190500</xdr:rowOff>
    </xdr:from>
    <xdr:to>
      <xdr:col>1</xdr:col>
      <xdr:colOff>647700</xdr:colOff>
      <xdr:row>76</xdr:row>
      <xdr:rowOff>142875</xdr:rowOff>
    </xdr:to>
    <xdr:sp macro="" textlink="">
      <xdr:nvSpPr>
        <xdr:cNvPr id="21772" name="Line 14">
          <a:extLst>
            <a:ext uri="{FF2B5EF4-FFF2-40B4-BE49-F238E27FC236}">
              <a16:creationId xmlns="" xmlns:a16="http://schemas.microsoft.com/office/drawing/2014/main" id="{00000000-0008-0000-0000-00000C550000}"/>
            </a:ext>
          </a:extLst>
        </xdr:cNvPr>
        <xdr:cNvSpPr>
          <a:spLocks noChangeShapeType="1"/>
        </xdr:cNvSpPr>
      </xdr:nvSpPr>
      <xdr:spPr bwMode="auto">
        <a:xfrm>
          <a:off x="1990725" y="15849600"/>
          <a:ext cx="0" cy="1190625"/>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438150</xdr:colOff>
      <xdr:row>72</xdr:row>
      <xdr:rowOff>19050</xdr:rowOff>
    </xdr:from>
    <xdr:to>
      <xdr:col>7</xdr:col>
      <xdr:colOff>161925</xdr:colOff>
      <xdr:row>72</xdr:row>
      <xdr:rowOff>19050</xdr:rowOff>
    </xdr:to>
    <xdr:sp macro="" textlink="">
      <xdr:nvSpPr>
        <xdr:cNvPr id="21773" name="Line 16">
          <a:extLst>
            <a:ext uri="{FF2B5EF4-FFF2-40B4-BE49-F238E27FC236}">
              <a16:creationId xmlns="" xmlns:a16="http://schemas.microsoft.com/office/drawing/2014/main" id="{00000000-0008-0000-0000-00000D550000}"/>
            </a:ext>
          </a:extLst>
        </xdr:cNvPr>
        <xdr:cNvSpPr>
          <a:spLocks noChangeShapeType="1"/>
        </xdr:cNvSpPr>
      </xdr:nvSpPr>
      <xdr:spPr bwMode="auto">
        <a:xfrm>
          <a:off x="7696200" y="1611630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390525</xdr:colOff>
      <xdr:row>78</xdr:row>
      <xdr:rowOff>19050</xdr:rowOff>
    </xdr:from>
    <xdr:to>
      <xdr:col>7</xdr:col>
      <xdr:colOff>114300</xdr:colOff>
      <xdr:row>78</xdr:row>
      <xdr:rowOff>19050</xdr:rowOff>
    </xdr:to>
    <xdr:sp macro="" textlink="">
      <xdr:nvSpPr>
        <xdr:cNvPr id="21774" name="Line 17">
          <a:extLst>
            <a:ext uri="{FF2B5EF4-FFF2-40B4-BE49-F238E27FC236}">
              <a16:creationId xmlns="" xmlns:a16="http://schemas.microsoft.com/office/drawing/2014/main" id="{00000000-0008-0000-0000-00000E550000}"/>
            </a:ext>
          </a:extLst>
        </xdr:cNvPr>
        <xdr:cNvSpPr>
          <a:spLocks noChangeShapeType="1"/>
        </xdr:cNvSpPr>
      </xdr:nvSpPr>
      <xdr:spPr bwMode="auto">
        <a:xfrm>
          <a:off x="7648575" y="1731645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409575</xdr:colOff>
      <xdr:row>80</xdr:row>
      <xdr:rowOff>133350</xdr:rowOff>
    </xdr:from>
    <xdr:to>
      <xdr:col>7</xdr:col>
      <xdr:colOff>304800</xdr:colOff>
      <xdr:row>80</xdr:row>
      <xdr:rowOff>133350</xdr:rowOff>
    </xdr:to>
    <xdr:sp macro="" textlink="">
      <xdr:nvSpPr>
        <xdr:cNvPr id="21775" name="Line 19">
          <a:extLst>
            <a:ext uri="{FF2B5EF4-FFF2-40B4-BE49-F238E27FC236}">
              <a16:creationId xmlns="" xmlns:a16="http://schemas.microsoft.com/office/drawing/2014/main" id="{00000000-0008-0000-0000-00000F550000}"/>
            </a:ext>
          </a:extLst>
        </xdr:cNvPr>
        <xdr:cNvSpPr>
          <a:spLocks noChangeShapeType="1"/>
        </xdr:cNvSpPr>
      </xdr:nvSpPr>
      <xdr:spPr bwMode="auto">
        <a:xfrm flipV="1">
          <a:off x="7667625" y="17830800"/>
          <a:ext cx="857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70</xdr:row>
      <xdr:rowOff>180975</xdr:rowOff>
    </xdr:from>
    <xdr:to>
      <xdr:col>7</xdr:col>
      <xdr:colOff>228600</xdr:colOff>
      <xdr:row>80</xdr:row>
      <xdr:rowOff>114300</xdr:rowOff>
    </xdr:to>
    <xdr:sp macro="" textlink="">
      <xdr:nvSpPr>
        <xdr:cNvPr id="21776" name="Line 20">
          <a:extLst>
            <a:ext uri="{FF2B5EF4-FFF2-40B4-BE49-F238E27FC236}">
              <a16:creationId xmlns="" xmlns:a16="http://schemas.microsoft.com/office/drawing/2014/main" id="{00000000-0008-0000-0000-000010550000}"/>
            </a:ext>
          </a:extLst>
        </xdr:cNvPr>
        <xdr:cNvSpPr>
          <a:spLocks noChangeShapeType="1"/>
        </xdr:cNvSpPr>
      </xdr:nvSpPr>
      <xdr:spPr bwMode="auto">
        <a:xfrm>
          <a:off x="8448675" y="15840075"/>
          <a:ext cx="0" cy="1971675"/>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0</xdr:colOff>
      <xdr:row>72</xdr:row>
      <xdr:rowOff>19050</xdr:rowOff>
    </xdr:from>
    <xdr:to>
      <xdr:col>7</xdr:col>
      <xdr:colOff>0</xdr:colOff>
      <xdr:row>78</xdr:row>
      <xdr:rowOff>9525</xdr:rowOff>
    </xdr:to>
    <xdr:sp macro="" textlink="">
      <xdr:nvSpPr>
        <xdr:cNvPr id="21777" name="Line 23">
          <a:extLst>
            <a:ext uri="{FF2B5EF4-FFF2-40B4-BE49-F238E27FC236}">
              <a16:creationId xmlns="" xmlns:a16="http://schemas.microsoft.com/office/drawing/2014/main" id="{00000000-0008-0000-0000-000011550000}"/>
            </a:ext>
          </a:extLst>
        </xdr:cNvPr>
        <xdr:cNvSpPr>
          <a:spLocks noChangeShapeType="1"/>
        </xdr:cNvSpPr>
      </xdr:nvSpPr>
      <xdr:spPr bwMode="auto">
        <a:xfrm>
          <a:off x="8220075" y="16116300"/>
          <a:ext cx="0" cy="1190625"/>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0</xdr:colOff>
      <xdr:row>78</xdr:row>
      <xdr:rowOff>19050</xdr:rowOff>
    </xdr:from>
    <xdr:to>
      <xdr:col>7</xdr:col>
      <xdr:colOff>0</xdr:colOff>
      <xdr:row>80</xdr:row>
      <xdr:rowOff>104775</xdr:rowOff>
    </xdr:to>
    <xdr:sp macro="" textlink="">
      <xdr:nvSpPr>
        <xdr:cNvPr id="21778" name="Line 25">
          <a:extLst>
            <a:ext uri="{FF2B5EF4-FFF2-40B4-BE49-F238E27FC236}">
              <a16:creationId xmlns="" xmlns:a16="http://schemas.microsoft.com/office/drawing/2014/main" id="{00000000-0008-0000-0000-000012550000}"/>
            </a:ext>
          </a:extLst>
        </xdr:cNvPr>
        <xdr:cNvSpPr>
          <a:spLocks noChangeShapeType="1"/>
        </xdr:cNvSpPr>
      </xdr:nvSpPr>
      <xdr:spPr bwMode="auto">
        <a:xfrm>
          <a:off x="8220075" y="17316450"/>
          <a:ext cx="0" cy="485775"/>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0</xdr:colOff>
      <xdr:row>71</xdr:row>
      <xdr:rowOff>0</xdr:rowOff>
    </xdr:from>
    <xdr:to>
      <xdr:col>7</xdr:col>
      <xdr:colOff>0</xdr:colOff>
      <xdr:row>72</xdr:row>
      <xdr:rowOff>9525</xdr:rowOff>
    </xdr:to>
    <xdr:sp macro="" textlink="">
      <xdr:nvSpPr>
        <xdr:cNvPr id="21779" name="Line 26">
          <a:extLst>
            <a:ext uri="{FF2B5EF4-FFF2-40B4-BE49-F238E27FC236}">
              <a16:creationId xmlns="" xmlns:a16="http://schemas.microsoft.com/office/drawing/2014/main" id="{00000000-0008-0000-0000-000013550000}"/>
            </a:ext>
          </a:extLst>
        </xdr:cNvPr>
        <xdr:cNvSpPr>
          <a:spLocks noChangeShapeType="1"/>
        </xdr:cNvSpPr>
      </xdr:nvSpPr>
      <xdr:spPr bwMode="auto">
        <a:xfrm>
          <a:off x="8220075" y="15859125"/>
          <a:ext cx="0" cy="247650"/>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81</xdr:row>
      <xdr:rowOff>114300</xdr:rowOff>
    </xdr:from>
    <xdr:to>
      <xdr:col>2</xdr:col>
      <xdr:colOff>0</xdr:colOff>
      <xdr:row>84</xdr:row>
      <xdr:rowOff>133350</xdr:rowOff>
    </xdr:to>
    <xdr:sp macro="" textlink="">
      <xdr:nvSpPr>
        <xdr:cNvPr id="21780" name="Line 27">
          <a:extLst>
            <a:ext uri="{FF2B5EF4-FFF2-40B4-BE49-F238E27FC236}">
              <a16:creationId xmlns="" xmlns:a16="http://schemas.microsoft.com/office/drawing/2014/main" id="{00000000-0008-0000-0000-000014550000}"/>
            </a:ext>
          </a:extLst>
        </xdr:cNvPr>
        <xdr:cNvSpPr>
          <a:spLocks noChangeShapeType="1"/>
        </xdr:cNvSpPr>
      </xdr:nvSpPr>
      <xdr:spPr bwMode="auto">
        <a:xfrm>
          <a:off x="2638425" y="18011775"/>
          <a:ext cx="0" cy="619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1038225</xdr:colOff>
      <xdr:row>81</xdr:row>
      <xdr:rowOff>104775</xdr:rowOff>
    </xdr:from>
    <xdr:to>
      <xdr:col>2</xdr:col>
      <xdr:colOff>1038225</xdr:colOff>
      <xdr:row>84</xdr:row>
      <xdr:rowOff>114300</xdr:rowOff>
    </xdr:to>
    <xdr:sp macro="" textlink="">
      <xdr:nvSpPr>
        <xdr:cNvPr id="21781" name="Line 28">
          <a:extLst>
            <a:ext uri="{FF2B5EF4-FFF2-40B4-BE49-F238E27FC236}">
              <a16:creationId xmlns="" xmlns:a16="http://schemas.microsoft.com/office/drawing/2014/main" id="{00000000-0008-0000-0000-000015550000}"/>
            </a:ext>
          </a:extLst>
        </xdr:cNvPr>
        <xdr:cNvSpPr>
          <a:spLocks noChangeShapeType="1"/>
        </xdr:cNvSpPr>
      </xdr:nvSpPr>
      <xdr:spPr bwMode="auto">
        <a:xfrm>
          <a:off x="3676650" y="18002250"/>
          <a:ext cx="0" cy="609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647700</xdr:colOff>
      <xdr:row>76</xdr:row>
      <xdr:rowOff>161925</xdr:rowOff>
    </xdr:from>
    <xdr:to>
      <xdr:col>1</xdr:col>
      <xdr:colOff>647700</xdr:colOff>
      <xdr:row>80</xdr:row>
      <xdr:rowOff>114300</xdr:rowOff>
    </xdr:to>
    <xdr:sp macro="" textlink="">
      <xdr:nvSpPr>
        <xdr:cNvPr id="21782" name="Line 30">
          <a:extLst>
            <a:ext uri="{FF2B5EF4-FFF2-40B4-BE49-F238E27FC236}">
              <a16:creationId xmlns="" xmlns:a16="http://schemas.microsoft.com/office/drawing/2014/main" id="{00000000-0008-0000-0000-000016550000}"/>
            </a:ext>
          </a:extLst>
        </xdr:cNvPr>
        <xdr:cNvSpPr>
          <a:spLocks noChangeShapeType="1"/>
        </xdr:cNvSpPr>
      </xdr:nvSpPr>
      <xdr:spPr bwMode="auto">
        <a:xfrm>
          <a:off x="1990725" y="17059275"/>
          <a:ext cx="0" cy="752475"/>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84</xdr:row>
      <xdr:rowOff>9525</xdr:rowOff>
    </xdr:from>
    <xdr:to>
      <xdr:col>2</xdr:col>
      <xdr:colOff>1047750</xdr:colOff>
      <xdr:row>84</xdr:row>
      <xdr:rowOff>9525</xdr:rowOff>
    </xdr:to>
    <xdr:sp macro="" textlink="">
      <xdr:nvSpPr>
        <xdr:cNvPr id="21783" name="Line 31">
          <a:extLst>
            <a:ext uri="{FF2B5EF4-FFF2-40B4-BE49-F238E27FC236}">
              <a16:creationId xmlns="" xmlns:a16="http://schemas.microsoft.com/office/drawing/2014/main" id="{00000000-0008-0000-0000-000017550000}"/>
            </a:ext>
          </a:extLst>
        </xdr:cNvPr>
        <xdr:cNvSpPr>
          <a:spLocks noChangeShapeType="1"/>
        </xdr:cNvSpPr>
      </xdr:nvSpPr>
      <xdr:spPr bwMode="auto">
        <a:xfrm flipV="1">
          <a:off x="2638425" y="18507075"/>
          <a:ext cx="1047750" cy="0"/>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247650</xdr:colOff>
      <xdr:row>81</xdr:row>
      <xdr:rowOff>133350</xdr:rowOff>
    </xdr:from>
    <xdr:to>
      <xdr:col>2</xdr:col>
      <xdr:colOff>247650</xdr:colOff>
      <xdr:row>83</xdr:row>
      <xdr:rowOff>76200</xdr:rowOff>
    </xdr:to>
    <xdr:sp macro="" textlink="">
      <xdr:nvSpPr>
        <xdr:cNvPr id="21784" name="Line 32">
          <a:extLst>
            <a:ext uri="{FF2B5EF4-FFF2-40B4-BE49-F238E27FC236}">
              <a16:creationId xmlns="" xmlns:a16="http://schemas.microsoft.com/office/drawing/2014/main" id="{00000000-0008-0000-0000-000018550000}"/>
            </a:ext>
          </a:extLst>
        </xdr:cNvPr>
        <xdr:cNvSpPr>
          <a:spLocks noChangeShapeType="1"/>
        </xdr:cNvSpPr>
      </xdr:nvSpPr>
      <xdr:spPr bwMode="auto">
        <a:xfrm>
          <a:off x="2886075" y="180308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828675</xdr:colOff>
      <xdr:row>81</xdr:row>
      <xdr:rowOff>171450</xdr:rowOff>
    </xdr:from>
    <xdr:to>
      <xdr:col>2</xdr:col>
      <xdr:colOff>828675</xdr:colOff>
      <xdr:row>83</xdr:row>
      <xdr:rowOff>66675</xdr:rowOff>
    </xdr:to>
    <xdr:sp macro="" textlink="">
      <xdr:nvSpPr>
        <xdr:cNvPr id="21785" name="Line 33">
          <a:extLst>
            <a:ext uri="{FF2B5EF4-FFF2-40B4-BE49-F238E27FC236}">
              <a16:creationId xmlns="" xmlns:a16="http://schemas.microsoft.com/office/drawing/2014/main" id="{00000000-0008-0000-0000-000019550000}"/>
            </a:ext>
          </a:extLst>
        </xdr:cNvPr>
        <xdr:cNvSpPr>
          <a:spLocks noChangeShapeType="1"/>
        </xdr:cNvSpPr>
      </xdr:nvSpPr>
      <xdr:spPr bwMode="auto">
        <a:xfrm flipH="1">
          <a:off x="3467100" y="18068925"/>
          <a:ext cx="0" cy="2952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257175</xdr:colOff>
      <xdr:row>83</xdr:row>
      <xdr:rowOff>0</xdr:rowOff>
    </xdr:from>
    <xdr:to>
      <xdr:col>2</xdr:col>
      <xdr:colOff>819150</xdr:colOff>
      <xdr:row>83</xdr:row>
      <xdr:rowOff>0</xdr:rowOff>
    </xdr:to>
    <xdr:sp macro="" textlink="">
      <xdr:nvSpPr>
        <xdr:cNvPr id="21786" name="Line 34">
          <a:extLst>
            <a:ext uri="{FF2B5EF4-FFF2-40B4-BE49-F238E27FC236}">
              <a16:creationId xmlns="" xmlns:a16="http://schemas.microsoft.com/office/drawing/2014/main" id="{00000000-0008-0000-0000-00001A550000}"/>
            </a:ext>
          </a:extLst>
        </xdr:cNvPr>
        <xdr:cNvSpPr>
          <a:spLocks noChangeShapeType="1"/>
        </xdr:cNvSpPr>
      </xdr:nvSpPr>
      <xdr:spPr bwMode="auto">
        <a:xfrm flipV="1">
          <a:off x="2895600" y="18297525"/>
          <a:ext cx="561975" cy="0"/>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781050</xdr:colOff>
      <xdr:row>83</xdr:row>
      <xdr:rowOff>9525</xdr:rowOff>
    </xdr:from>
    <xdr:to>
      <xdr:col>2</xdr:col>
      <xdr:colOff>1038225</xdr:colOff>
      <xdr:row>83</xdr:row>
      <xdr:rowOff>9525</xdr:rowOff>
    </xdr:to>
    <xdr:sp macro="" textlink="">
      <xdr:nvSpPr>
        <xdr:cNvPr id="21787" name="Line 35">
          <a:extLst>
            <a:ext uri="{FF2B5EF4-FFF2-40B4-BE49-F238E27FC236}">
              <a16:creationId xmlns="" xmlns:a16="http://schemas.microsoft.com/office/drawing/2014/main" id="{00000000-0008-0000-0000-00001B550000}"/>
            </a:ext>
          </a:extLst>
        </xdr:cNvPr>
        <xdr:cNvSpPr>
          <a:spLocks noChangeShapeType="1"/>
        </xdr:cNvSpPr>
      </xdr:nvSpPr>
      <xdr:spPr bwMode="auto">
        <a:xfrm>
          <a:off x="3419475" y="18307050"/>
          <a:ext cx="257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1285875</xdr:colOff>
      <xdr:row>82</xdr:row>
      <xdr:rowOff>190500</xdr:rowOff>
    </xdr:from>
    <xdr:to>
      <xdr:col>2</xdr:col>
      <xdr:colOff>257175</xdr:colOff>
      <xdr:row>83</xdr:row>
      <xdr:rowOff>0</xdr:rowOff>
    </xdr:to>
    <xdr:sp macro="" textlink="">
      <xdr:nvSpPr>
        <xdr:cNvPr id="21788" name="Line 36">
          <a:extLst>
            <a:ext uri="{FF2B5EF4-FFF2-40B4-BE49-F238E27FC236}">
              <a16:creationId xmlns="" xmlns:a16="http://schemas.microsoft.com/office/drawing/2014/main" id="{00000000-0008-0000-0000-00001C550000}"/>
            </a:ext>
          </a:extLst>
        </xdr:cNvPr>
        <xdr:cNvSpPr>
          <a:spLocks noChangeShapeType="1"/>
        </xdr:cNvSpPr>
      </xdr:nvSpPr>
      <xdr:spPr bwMode="auto">
        <a:xfrm flipH="1">
          <a:off x="2628900" y="18288000"/>
          <a:ext cx="26670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1047750</xdr:colOff>
      <xdr:row>83</xdr:row>
      <xdr:rowOff>9525</xdr:rowOff>
    </xdr:from>
    <xdr:to>
      <xdr:col>3</xdr:col>
      <xdr:colOff>142875</xdr:colOff>
      <xdr:row>83</xdr:row>
      <xdr:rowOff>9525</xdr:rowOff>
    </xdr:to>
    <xdr:sp macro="" textlink="">
      <xdr:nvSpPr>
        <xdr:cNvPr id="21789" name="Line 37">
          <a:extLst>
            <a:ext uri="{FF2B5EF4-FFF2-40B4-BE49-F238E27FC236}">
              <a16:creationId xmlns="" xmlns:a16="http://schemas.microsoft.com/office/drawing/2014/main" id="{00000000-0008-0000-0000-00001D550000}"/>
            </a:ext>
          </a:extLst>
        </xdr:cNvPr>
        <xdr:cNvSpPr>
          <a:spLocks noChangeShapeType="1"/>
        </xdr:cNvSpPr>
      </xdr:nvSpPr>
      <xdr:spPr bwMode="auto">
        <a:xfrm flipH="1">
          <a:off x="3686175" y="18307050"/>
          <a:ext cx="3714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809431</xdr:colOff>
      <xdr:row>83</xdr:row>
      <xdr:rowOff>9719</xdr:rowOff>
    </xdr:from>
    <xdr:to>
      <xdr:col>1</xdr:col>
      <xdr:colOff>1593786</xdr:colOff>
      <xdr:row>83</xdr:row>
      <xdr:rowOff>9719</xdr:rowOff>
    </xdr:to>
    <xdr:sp macro="" textlink="">
      <xdr:nvSpPr>
        <xdr:cNvPr id="21790" name="Line 38">
          <a:extLst>
            <a:ext uri="{FF2B5EF4-FFF2-40B4-BE49-F238E27FC236}">
              <a16:creationId xmlns="" xmlns:a16="http://schemas.microsoft.com/office/drawing/2014/main" id="{00000000-0008-0000-0000-00001E550000}"/>
            </a:ext>
          </a:extLst>
        </xdr:cNvPr>
        <xdr:cNvSpPr>
          <a:spLocks noChangeShapeType="1"/>
        </xdr:cNvSpPr>
      </xdr:nvSpPr>
      <xdr:spPr bwMode="auto">
        <a:xfrm>
          <a:off x="2325655" y="17932270"/>
          <a:ext cx="78435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0</xdr:colOff>
      <xdr:row>70</xdr:row>
      <xdr:rowOff>200025</xdr:rowOff>
    </xdr:from>
    <xdr:to>
      <xdr:col>1</xdr:col>
      <xdr:colOff>1190625</xdr:colOff>
      <xdr:row>70</xdr:row>
      <xdr:rowOff>200025</xdr:rowOff>
    </xdr:to>
    <xdr:sp macro="" textlink="">
      <xdr:nvSpPr>
        <xdr:cNvPr id="21791" name="Line 13">
          <a:extLst>
            <a:ext uri="{FF2B5EF4-FFF2-40B4-BE49-F238E27FC236}">
              <a16:creationId xmlns="" xmlns:a16="http://schemas.microsoft.com/office/drawing/2014/main" id="{00000000-0008-0000-0000-00001F550000}"/>
            </a:ext>
          </a:extLst>
        </xdr:cNvPr>
        <xdr:cNvSpPr>
          <a:spLocks noChangeShapeType="1"/>
        </xdr:cNvSpPr>
      </xdr:nvSpPr>
      <xdr:spPr bwMode="auto">
        <a:xfrm>
          <a:off x="0" y="15859125"/>
          <a:ext cx="2533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80</xdr:row>
      <xdr:rowOff>133350</xdr:rowOff>
    </xdr:from>
    <xdr:to>
      <xdr:col>1</xdr:col>
      <xdr:colOff>838200</xdr:colOff>
      <xdr:row>80</xdr:row>
      <xdr:rowOff>133350</xdr:rowOff>
    </xdr:to>
    <xdr:sp macro="" textlink="">
      <xdr:nvSpPr>
        <xdr:cNvPr id="21792" name="Line 13">
          <a:extLst>
            <a:ext uri="{FF2B5EF4-FFF2-40B4-BE49-F238E27FC236}">
              <a16:creationId xmlns="" xmlns:a16="http://schemas.microsoft.com/office/drawing/2014/main" id="{00000000-0008-0000-0000-000020550000}"/>
            </a:ext>
          </a:extLst>
        </xdr:cNvPr>
        <xdr:cNvSpPr>
          <a:spLocks noChangeShapeType="1"/>
        </xdr:cNvSpPr>
      </xdr:nvSpPr>
      <xdr:spPr bwMode="auto">
        <a:xfrm>
          <a:off x="0" y="17830800"/>
          <a:ext cx="2181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4</xdr:col>
          <xdr:colOff>0</xdr:colOff>
          <xdr:row>99</xdr:row>
          <xdr:rowOff>85725</xdr:rowOff>
        </xdr:from>
        <xdr:to>
          <xdr:col>6</xdr:col>
          <xdr:colOff>342900</xdr:colOff>
          <xdr:row>101</xdr:row>
          <xdr:rowOff>85725</xdr:rowOff>
        </xdr:to>
        <xdr:sp macro="" textlink="">
          <xdr:nvSpPr>
            <xdr:cNvPr id="6509" name="Object 4461" hidden="1">
              <a:extLst>
                <a:ext uri="{63B3BB69-23CF-44E3-9099-C40C66FF867C}">
                  <a14:compatExt spid="_x0000_s65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104</xdr:row>
          <xdr:rowOff>228600</xdr:rowOff>
        </xdr:from>
        <xdr:to>
          <xdr:col>6</xdr:col>
          <xdr:colOff>409575</xdr:colOff>
          <xdr:row>107</xdr:row>
          <xdr:rowOff>114300</xdr:rowOff>
        </xdr:to>
        <xdr:sp macro="" textlink="">
          <xdr:nvSpPr>
            <xdr:cNvPr id="7087" name="Object 5039" hidden="1">
              <a:extLst>
                <a:ext uri="{63B3BB69-23CF-44E3-9099-C40C66FF867C}">
                  <a14:compatExt spid="_x0000_s70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333375</xdr:colOff>
          <xdr:row>57</xdr:row>
          <xdr:rowOff>180975</xdr:rowOff>
        </xdr:from>
        <xdr:to>
          <xdr:col>6</xdr:col>
          <xdr:colOff>647700</xdr:colOff>
          <xdr:row>60</xdr:row>
          <xdr:rowOff>161925</xdr:rowOff>
        </xdr:to>
        <xdr:sp macro="" textlink="">
          <xdr:nvSpPr>
            <xdr:cNvPr id="8707" name="Object 5635" hidden="1">
              <a:extLst>
                <a:ext uri="{63B3BB69-23CF-44E3-9099-C40C66FF867C}">
                  <a14:compatExt spid="_x0000_s87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838200</xdr:colOff>
          <xdr:row>57</xdr:row>
          <xdr:rowOff>190500</xdr:rowOff>
        </xdr:from>
        <xdr:to>
          <xdr:col>4</xdr:col>
          <xdr:colOff>95250</xdr:colOff>
          <xdr:row>60</xdr:row>
          <xdr:rowOff>152400</xdr:rowOff>
        </xdr:to>
        <xdr:sp macro="" textlink="">
          <xdr:nvSpPr>
            <xdr:cNvPr id="8708" name="Object 5636" hidden="1">
              <a:extLst>
                <a:ext uri="{63B3BB69-23CF-44E3-9099-C40C66FF867C}">
                  <a14:compatExt spid="_x0000_s87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57</xdr:row>
          <xdr:rowOff>190500</xdr:rowOff>
        </xdr:from>
        <xdr:to>
          <xdr:col>0</xdr:col>
          <xdr:colOff>1276350</xdr:colOff>
          <xdr:row>60</xdr:row>
          <xdr:rowOff>133350</xdr:rowOff>
        </xdr:to>
        <xdr:sp macro="" textlink="">
          <xdr:nvSpPr>
            <xdr:cNvPr id="8709" name="Object 5637" hidden="1">
              <a:extLst>
                <a:ext uri="{63B3BB69-23CF-44E3-9099-C40C66FF867C}">
                  <a14:compatExt spid="_x0000_s87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57</xdr:row>
          <xdr:rowOff>180975</xdr:rowOff>
        </xdr:from>
        <xdr:to>
          <xdr:col>2</xdr:col>
          <xdr:colOff>457200</xdr:colOff>
          <xdr:row>60</xdr:row>
          <xdr:rowOff>152400</xdr:rowOff>
        </xdr:to>
        <xdr:sp macro="" textlink="">
          <xdr:nvSpPr>
            <xdr:cNvPr id="8710" name="Object 5638" hidden="1">
              <a:extLst>
                <a:ext uri="{63B3BB69-23CF-44E3-9099-C40C66FF867C}">
                  <a14:compatExt spid="_x0000_s8710"/>
                </a:ext>
              </a:extLst>
            </xdr:cNvPr>
            <xdr:cNvSpPr/>
          </xdr:nvSpPr>
          <xdr:spPr>
            <a:xfrm>
              <a:off x="0" y="0"/>
              <a:ext cx="0" cy="0"/>
            </a:xfrm>
            <a:prstGeom prst="rect">
              <a:avLst/>
            </a:prstGeom>
          </xdr:spPr>
        </xdr:sp>
        <xdr:clientData/>
      </xdr:twoCellAnchor>
    </mc:Choice>
    <mc:Fallback/>
  </mc:AlternateContent>
  <xdr:twoCellAnchor editAs="oneCell">
    <xdr:from>
      <xdr:col>7</xdr:col>
      <xdr:colOff>87475</xdr:colOff>
      <xdr:row>17</xdr:row>
      <xdr:rowOff>18854</xdr:rowOff>
    </xdr:from>
    <xdr:to>
      <xdr:col>9</xdr:col>
      <xdr:colOff>2981</xdr:colOff>
      <xdr:row>23</xdr:row>
      <xdr:rowOff>1205</xdr:rowOff>
    </xdr:to>
    <xdr:pic>
      <xdr:nvPicPr>
        <xdr:cNvPr id="21793" name="Grafik 1">
          <a:extLst>
            <a:ext uri="{FF2B5EF4-FFF2-40B4-BE49-F238E27FC236}">
              <a16:creationId xmlns="" xmlns:a16="http://schemas.microsoft.com/office/drawing/2014/main" id="{00000000-0008-0000-0000-00002155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5842" y="3945487"/>
          <a:ext cx="2112411" cy="16443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4</xdr:col>
          <xdr:colOff>47625</xdr:colOff>
          <xdr:row>110</xdr:row>
          <xdr:rowOff>219075</xdr:rowOff>
        </xdr:from>
        <xdr:to>
          <xdr:col>5</xdr:col>
          <xdr:colOff>819150</xdr:colOff>
          <xdr:row>115</xdr:row>
          <xdr:rowOff>171450</xdr:rowOff>
        </xdr:to>
        <xdr:sp macro="" textlink="">
          <xdr:nvSpPr>
            <xdr:cNvPr id="8778" name="Object 5706" hidden="1">
              <a:extLst>
                <a:ext uri="{63B3BB69-23CF-44E3-9099-C40C66FF867C}">
                  <a14:compatExt spid="_x0000_s8778"/>
                </a:ext>
              </a:extLst>
            </xdr:cNvPr>
            <xdr:cNvSpPr/>
          </xdr:nvSpPr>
          <xdr:spPr>
            <a:xfrm>
              <a:off x="0" y="0"/>
              <a:ext cx="0" cy="0"/>
            </a:xfrm>
            <a:prstGeom prst="rect">
              <a:avLst/>
            </a:prstGeom>
          </xdr:spPr>
        </xdr:sp>
        <xdr:clientData/>
      </xdr:twoCellAnchor>
    </mc:Choice>
    <mc:Fallback/>
  </mc:AlternateContent>
  <xdr:twoCellAnchor>
    <xdr:from>
      <xdr:col>2</xdr:col>
      <xdr:colOff>273843</xdr:colOff>
      <xdr:row>70</xdr:row>
      <xdr:rowOff>35719</xdr:rowOff>
    </xdr:from>
    <xdr:to>
      <xdr:col>2</xdr:col>
      <xdr:colOff>690562</xdr:colOff>
      <xdr:row>72</xdr:row>
      <xdr:rowOff>35719</xdr:rowOff>
    </xdr:to>
    <xdr:cxnSp macro="">
      <xdr:nvCxnSpPr>
        <xdr:cNvPr id="3" name="Gerade Verbindung 2">
          <a:extLst>
            <a:ext uri="{FF2B5EF4-FFF2-40B4-BE49-F238E27FC236}">
              <a16:creationId xmlns="" xmlns:a16="http://schemas.microsoft.com/office/drawing/2014/main" id="{00000000-0008-0000-0000-000003000000}"/>
            </a:ext>
          </a:extLst>
        </xdr:cNvPr>
        <xdr:cNvCxnSpPr/>
      </xdr:nvCxnSpPr>
      <xdr:spPr>
        <a:xfrm flipH="1" flipV="1">
          <a:off x="2917031" y="15847219"/>
          <a:ext cx="416719" cy="44053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771525</xdr:colOff>
      <xdr:row>71</xdr:row>
      <xdr:rowOff>9525</xdr:rowOff>
    </xdr:from>
    <xdr:to>
      <xdr:col>1</xdr:col>
      <xdr:colOff>771525</xdr:colOff>
      <xdr:row>73</xdr:row>
      <xdr:rowOff>38100</xdr:rowOff>
    </xdr:to>
    <xdr:sp macro="" textlink="">
      <xdr:nvSpPr>
        <xdr:cNvPr id="21795" name="Line 14">
          <a:extLst>
            <a:ext uri="{FF2B5EF4-FFF2-40B4-BE49-F238E27FC236}">
              <a16:creationId xmlns="" xmlns:a16="http://schemas.microsoft.com/office/drawing/2014/main" id="{00000000-0008-0000-0000-000023550000}"/>
            </a:ext>
          </a:extLst>
        </xdr:cNvPr>
        <xdr:cNvSpPr>
          <a:spLocks noChangeShapeType="1"/>
        </xdr:cNvSpPr>
      </xdr:nvSpPr>
      <xdr:spPr bwMode="auto">
        <a:xfrm>
          <a:off x="2114550" y="15868650"/>
          <a:ext cx="0" cy="466725"/>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685800</xdr:colOff>
      <xdr:row>73</xdr:row>
      <xdr:rowOff>19050</xdr:rowOff>
    </xdr:from>
    <xdr:to>
      <xdr:col>1</xdr:col>
      <xdr:colOff>1228725</xdr:colOff>
      <xdr:row>73</xdr:row>
      <xdr:rowOff>19050</xdr:rowOff>
    </xdr:to>
    <xdr:sp macro="" textlink="">
      <xdr:nvSpPr>
        <xdr:cNvPr id="21796" name="Line 13">
          <a:extLst>
            <a:ext uri="{FF2B5EF4-FFF2-40B4-BE49-F238E27FC236}">
              <a16:creationId xmlns="" xmlns:a16="http://schemas.microsoft.com/office/drawing/2014/main" id="{00000000-0008-0000-0000-000024550000}"/>
            </a:ext>
          </a:extLst>
        </xdr:cNvPr>
        <xdr:cNvSpPr>
          <a:spLocks noChangeShapeType="1"/>
        </xdr:cNvSpPr>
      </xdr:nvSpPr>
      <xdr:spPr bwMode="auto">
        <a:xfrm flipV="1">
          <a:off x="2028825" y="16316325"/>
          <a:ext cx="542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903903</xdr:colOff>
      <xdr:row>70</xdr:row>
      <xdr:rowOff>180975</xdr:rowOff>
    </xdr:from>
    <xdr:to>
      <xdr:col>6</xdr:col>
      <xdr:colOff>390525</xdr:colOff>
      <xdr:row>80</xdr:row>
      <xdr:rowOff>142875</xdr:rowOff>
    </xdr:to>
    <xdr:sp macro="" textlink="">
      <xdr:nvSpPr>
        <xdr:cNvPr id="21798" name="Rectangle 1">
          <a:extLst>
            <a:ext uri="{FF2B5EF4-FFF2-40B4-BE49-F238E27FC236}">
              <a16:creationId xmlns="" xmlns:a16="http://schemas.microsoft.com/office/drawing/2014/main" id="{00000000-0008-0000-0000-000026550000}"/>
            </a:ext>
          </a:extLst>
        </xdr:cNvPr>
        <xdr:cNvSpPr>
          <a:spLocks noChangeArrowheads="1"/>
        </xdr:cNvSpPr>
      </xdr:nvSpPr>
      <xdr:spPr bwMode="auto">
        <a:xfrm>
          <a:off x="6191250" y="16247123"/>
          <a:ext cx="1644326" cy="2041849"/>
        </a:xfrm>
        <a:prstGeom prst="rect">
          <a:avLst/>
        </a:prstGeom>
        <a:solidFill>
          <a:srgbClr val="FFFFFF"/>
        </a:solidFill>
        <a:ln w="9525">
          <a:solidFill>
            <a:srgbClr val="000000"/>
          </a:solidFill>
          <a:miter lim="800000"/>
          <a:headEnd/>
          <a:tailEnd/>
        </a:ln>
      </xdr:spPr>
    </xdr:sp>
    <xdr:clientData/>
  </xdr:twoCellAnchor>
  <xdr:twoCellAnchor>
    <xdr:from>
      <xdr:col>4</xdr:col>
      <xdr:colOff>1253801</xdr:colOff>
      <xdr:row>72</xdr:row>
      <xdr:rowOff>9525</xdr:rowOff>
    </xdr:from>
    <xdr:to>
      <xdr:col>5</xdr:col>
      <xdr:colOff>457200</xdr:colOff>
      <xdr:row>79</xdr:row>
      <xdr:rowOff>133350</xdr:rowOff>
    </xdr:to>
    <xdr:sp macro="" textlink="">
      <xdr:nvSpPr>
        <xdr:cNvPr id="21799" name="Rectangle 3">
          <a:extLst>
            <a:ext uri="{FF2B5EF4-FFF2-40B4-BE49-F238E27FC236}">
              <a16:creationId xmlns="" xmlns:a16="http://schemas.microsoft.com/office/drawing/2014/main" id="{00000000-0008-0000-0000-000027550000}"/>
            </a:ext>
          </a:extLst>
        </xdr:cNvPr>
        <xdr:cNvSpPr>
          <a:spLocks noChangeArrowheads="1"/>
        </xdr:cNvSpPr>
      </xdr:nvSpPr>
      <xdr:spPr bwMode="auto">
        <a:xfrm>
          <a:off x="7143750" y="15793811"/>
          <a:ext cx="544674" cy="1484539"/>
        </a:xfrm>
        <a:prstGeom prst="rect">
          <a:avLst/>
        </a:prstGeom>
        <a:solidFill>
          <a:srgbClr val="FFFFFF"/>
        </a:solidFill>
        <a:ln w="9525">
          <a:solidFill>
            <a:srgbClr val="000000"/>
          </a:solidFill>
          <a:miter lim="800000"/>
          <a:headEnd/>
          <a:tailEnd/>
        </a:ln>
      </xdr:spPr>
    </xdr:sp>
    <xdr:clientData/>
  </xdr:twoCellAnchor>
  <xdr:twoCellAnchor>
    <xdr:from>
      <xdr:col>5</xdr:col>
      <xdr:colOff>95250</xdr:colOff>
      <xdr:row>77</xdr:row>
      <xdr:rowOff>66675</xdr:rowOff>
    </xdr:from>
    <xdr:to>
      <xdr:col>5</xdr:col>
      <xdr:colOff>133350</xdr:colOff>
      <xdr:row>78</xdr:row>
      <xdr:rowOff>38100</xdr:rowOff>
    </xdr:to>
    <xdr:sp macro="" textlink="">
      <xdr:nvSpPr>
        <xdr:cNvPr id="21800" name="Line 5">
          <a:extLst>
            <a:ext uri="{FF2B5EF4-FFF2-40B4-BE49-F238E27FC236}">
              <a16:creationId xmlns="" xmlns:a16="http://schemas.microsoft.com/office/drawing/2014/main" id="{00000000-0008-0000-0000-000028550000}"/>
            </a:ext>
          </a:extLst>
        </xdr:cNvPr>
        <xdr:cNvSpPr>
          <a:spLocks noChangeShapeType="1"/>
        </xdr:cNvSpPr>
      </xdr:nvSpPr>
      <xdr:spPr bwMode="auto">
        <a:xfrm flipV="1">
          <a:off x="6391275" y="17164050"/>
          <a:ext cx="38100" cy="1714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123825</xdr:colOff>
      <xdr:row>77</xdr:row>
      <xdr:rowOff>66675</xdr:rowOff>
    </xdr:from>
    <xdr:to>
      <xdr:col>5</xdr:col>
      <xdr:colOff>266700</xdr:colOff>
      <xdr:row>77</xdr:row>
      <xdr:rowOff>76200</xdr:rowOff>
    </xdr:to>
    <xdr:sp macro="" textlink="">
      <xdr:nvSpPr>
        <xdr:cNvPr id="21801" name="Line 6">
          <a:extLst>
            <a:ext uri="{FF2B5EF4-FFF2-40B4-BE49-F238E27FC236}">
              <a16:creationId xmlns="" xmlns:a16="http://schemas.microsoft.com/office/drawing/2014/main" id="{00000000-0008-0000-0000-000029550000}"/>
            </a:ext>
          </a:extLst>
        </xdr:cNvPr>
        <xdr:cNvSpPr>
          <a:spLocks noChangeShapeType="1"/>
        </xdr:cNvSpPr>
      </xdr:nvSpPr>
      <xdr:spPr bwMode="auto">
        <a:xfrm flipV="1">
          <a:off x="6419850" y="17164050"/>
          <a:ext cx="142875"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257175</xdr:colOff>
      <xdr:row>77</xdr:row>
      <xdr:rowOff>76200</xdr:rowOff>
    </xdr:from>
    <xdr:to>
      <xdr:col>5</xdr:col>
      <xdr:colOff>295275</xdr:colOff>
      <xdr:row>78</xdr:row>
      <xdr:rowOff>47625</xdr:rowOff>
    </xdr:to>
    <xdr:sp macro="" textlink="">
      <xdr:nvSpPr>
        <xdr:cNvPr id="21802" name="Line 7">
          <a:extLst>
            <a:ext uri="{FF2B5EF4-FFF2-40B4-BE49-F238E27FC236}">
              <a16:creationId xmlns="" xmlns:a16="http://schemas.microsoft.com/office/drawing/2014/main" id="{00000000-0008-0000-0000-00002A550000}"/>
            </a:ext>
          </a:extLst>
        </xdr:cNvPr>
        <xdr:cNvSpPr>
          <a:spLocks noChangeShapeType="1"/>
        </xdr:cNvSpPr>
      </xdr:nvSpPr>
      <xdr:spPr bwMode="auto">
        <a:xfrm>
          <a:off x="6553200" y="17173575"/>
          <a:ext cx="38100" cy="1714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295275</xdr:colOff>
      <xdr:row>78</xdr:row>
      <xdr:rowOff>47625</xdr:rowOff>
    </xdr:from>
    <xdr:to>
      <xdr:col>5</xdr:col>
      <xdr:colOff>457200</xdr:colOff>
      <xdr:row>78</xdr:row>
      <xdr:rowOff>47625</xdr:rowOff>
    </xdr:to>
    <xdr:sp macro="" textlink="">
      <xdr:nvSpPr>
        <xdr:cNvPr id="21803" name="Line 8">
          <a:extLst>
            <a:ext uri="{FF2B5EF4-FFF2-40B4-BE49-F238E27FC236}">
              <a16:creationId xmlns="" xmlns:a16="http://schemas.microsoft.com/office/drawing/2014/main" id="{00000000-0008-0000-0000-00002B550000}"/>
            </a:ext>
          </a:extLst>
        </xdr:cNvPr>
        <xdr:cNvSpPr>
          <a:spLocks noChangeShapeType="1"/>
        </xdr:cNvSpPr>
      </xdr:nvSpPr>
      <xdr:spPr bwMode="auto">
        <a:xfrm>
          <a:off x="6591300" y="1734502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123825</xdr:colOff>
      <xdr:row>76</xdr:row>
      <xdr:rowOff>38100</xdr:rowOff>
    </xdr:from>
    <xdr:to>
      <xdr:col>5</xdr:col>
      <xdr:colOff>238125</xdr:colOff>
      <xdr:row>76</xdr:row>
      <xdr:rowOff>161925</xdr:rowOff>
    </xdr:to>
    <xdr:sp macro="" textlink="">
      <xdr:nvSpPr>
        <xdr:cNvPr id="21804" name="Oval 11">
          <a:extLst>
            <a:ext uri="{FF2B5EF4-FFF2-40B4-BE49-F238E27FC236}">
              <a16:creationId xmlns="" xmlns:a16="http://schemas.microsoft.com/office/drawing/2014/main" id="{00000000-0008-0000-0000-00002C550000}"/>
            </a:ext>
          </a:extLst>
        </xdr:cNvPr>
        <xdr:cNvSpPr>
          <a:spLocks noChangeArrowheads="1"/>
        </xdr:cNvSpPr>
      </xdr:nvSpPr>
      <xdr:spPr bwMode="auto">
        <a:xfrm>
          <a:off x="6419850" y="16935450"/>
          <a:ext cx="114300" cy="123825"/>
        </a:xfrm>
        <a:prstGeom prst="ellipse">
          <a:avLst/>
        </a:prstGeom>
        <a:solidFill>
          <a:srgbClr val="FFFFFF"/>
        </a:solidFill>
        <a:ln w="9525">
          <a:solidFill>
            <a:srgbClr val="000000"/>
          </a:solidFill>
          <a:round/>
          <a:headEnd/>
          <a:tailEnd/>
        </a:ln>
      </xdr:spPr>
    </xdr:sp>
    <xdr:clientData/>
  </xdr:twoCellAnchor>
  <xdr:twoCellAnchor>
    <xdr:from>
      <xdr:col>6</xdr:col>
      <xdr:colOff>390525</xdr:colOff>
      <xdr:row>81</xdr:row>
      <xdr:rowOff>47625</xdr:rowOff>
    </xdr:from>
    <xdr:to>
      <xdr:col>6</xdr:col>
      <xdr:colOff>398495</xdr:colOff>
      <xdr:row>85</xdr:row>
      <xdr:rowOff>77755</xdr:rowOff>
    </xdr:to>
    <xdr:sp macro="" textlink="">
      <xdr:nvSpPr>
        <xdr:cNvPr id="21805" name="Line 28">
          <a:extLst>
            <a:ext uri="{FF2B5EF4-FFF2-40B4-BE49-F238E27FC236}">
              <a16:creationId xmlns="" xmlns:a16="http://schemas.microsoft.com/office/drawing/2014/main" id="{00000000-0008-0000-0000-00002D550000}"/>
            </a:ext>
          </a:extLst>
        </xdr:cNvPr>
        <xdr:cNvSpPr>
          <a:spLocks noChangeShapeType="1"/>
        </xdr:cNvSpPr>
      </xdr:nvSpPr>
      <xdr:spPr bwMode="auto">
        <a:xfrm>
          <a:off x="8710321" y="17727191"/>
          <a:ext cx="7970" cy="80768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884464</xdr:colOff>
      <xdr:row>84</xdr:row>
      <xdr:rowOff>193805</xdr:rowOff>
    </xdr:from>
    <xdr:to>
      <xdr:col>6</xdr:col>
      <xdr:colOff>390525</xdr:colOff>
      <xdr:row>85</xdr:row>
      <xdr:rowOff>9720</xdr:rowOff>
    </xdr:to>
    <xdr:sp macro="" textlink="">
      <xdr:nvSpPr>
        <xdr:cNvPr id="21806" name="Line 31">
          <a:extLst>
            <a:ext uri="{FF2B5EF4-FFF2-40B4-BE49-F238E27FC236}">
              <a16:creationId xmlns="" xmlns:a16="http://schemas.microsoft.com/office/drawing/2014/main" id="{00000000-0008-0000-0000-00002E550000}"/>
            </a:ext>
          </a:extLst>
        </xdr:cNvPr>
        <xdr:cNvSpPr>
          <a:spLocks noChangeShapeType="1"/>
        </xdr:cNvSpPr>
      </xdr:nvSpPr>
      <xdr:spPr bwMode="auto">
        <a:xfrm flipV="1">
          <a:off x="6774413" y="18456535"/>
          <a:ext cx="1935908" cy="10302"/>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865025</xdr:colOff>
      <xdr:row>81</xdr:row>
      <xdr:rowOff>75034</xdr:rowOff>
    </xdr:from>
    <xdr:to>
      <xdr:col>4</xdr:col>
      <xdr:colOff>886407</xdr:colOff>
      <xdr:row>85</xdr:row>
      <xdr:rowOff>87475</xdr:rowOff>
    </xdr:to>
    <xdr:sp macro="" textlink="">
      <xdr:nvSpPr>
        <xdr:cNvPr id="21807" name="Line 32">
          <a:extLst>
            <a:ext uri="{FF2B5EF4-FFF2-40B4-BE49-F238E27FC236}">
              <a16:creationId xmlns="" xmlns:a16="http://schemas.microsoft.com/office/drawing/2014/main" id="{00000000-0008-0000-0000-00002F550000}"/>
            </a:ext>
          </a:extLst>
        </xdr:cNvPr>
        <xdr:cNvSpPr>
          <a:spLocks noChangeShapeType="1"/>
        </xdr:cNvSpPr>
      </xdr:nvSpPr>
      <xdr:spPr bwMode="auto">
        <a:xfrm flipH="1">
          <a:off x="6754974" y="17754600"/>
          <a:ext cx="21382" cy="7899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1280432</xdr:colOff>
      <xdr:row>81</xdr:row>
      <xdr:rowOff>95056</xdr:rowOff>
    </xdr:from>
    <xdr:to>
      <xdr:col>4</xdr:col>
      <xdr:colOff>1280432</xdr:colOff>
      <xdr:row>83</xdr:row>
      <xdr:rowOff>18856</xdr:rowOff>
    </xdr:to>
    <xdr:sp macro="" textlink="">
      <xdr:nvSpPr>
        <xdr:cNvPr id="21808" name="Line 33">
          <a:extLst>
            <a:ext uri="{FF2B5EF4-FFF2-40B4-BE49-F238E27FC236}">
              <a16:creationId xmlns="" xmlns:a16="http://schemas.microsoft.com/office/drawing/2014/main" id="{00000000-0008-0000-0000-000030550000}"/>
            </a:ext>
          </a:extLst>
        </xdr:cNvPr>
        <xdr:cNvSpPr>
          <a:spLocks noChangeShapeType="1"/>
        </xdr:cNvSpPr>
      </xdr:nvSpPr>
      <xdr:spPr bwMode="auto">
        <a:xfrm flipH="1">
          <a:off x="7170381" y="17628832"/>
          <a:ext cx="0" cy="312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1273240</xdr:colOff>
      <xdr:row>82</xdr:row>
      <xdr:rowOff>190500</xdr:rowOff>
    </xdr:from>
    <xdr:to>
      <xdr:col>5</xdr:col>
      <xdr:colOff>428431</xdr:colOff>
      <xdr:row>83</xdr:row>
      <xdr:rowOff>9719</xdr:rowOff>
    </xdr:to>
    <xdr:sp macro="" textlink="">
      <xdr:nvSpPr>
        <xdr:cNvPr id="21809" name="Line 34">
          <a:extLst>
            <a:ext uri="{FF2B5EF4-FFF2-40B4-BE49-F238E27FC236}">
              <a16:creationId xmlns="" xmlns:a16="http://schemas.microsoft.com/office/drawing/2014/main" id="{00000000-0008-0000-0000-000031550000}"/>
            </a:ext>
          </a:extLst>
        </xdr:cNvPr>
        <xdr:cNvSpPr>
          <a:spLocks noChangeShapeType="1"/>
        </xdr:cNvSpPr>
      </xdr:nvSpPr>
      <xdr:spPr bwMode="auto">
        <a:xfrm flipV="1">
          <a:off x="7163189" y="18064454"/>
          <a:ext cx="496466" cy="13607"/>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68035</xdr:colOff>
      <xdr:row>83</xdr:row>
      <xdr:rowOff>194387</xdr:rowOff>
    </xdr:from>
    <xdr:to>
      <xdr:col>6</xdr:col>
      <xdr:colOff>427652</xdr:colOff>
      <xdr:row>84</xdr:row>
      <xdr:rowOff>0</xdr:rowOff>
    </xdr:to>
    <xdr:sp macro="" textlink="">
      <xdr:nvSpPr>
        <xdr:cNvPr id="21810" name="Line 35">
          <a:extLst>
            <a:ext uri="{FF2B5EF4-FFF2-40B4-BE49-F238E27FC236}">
              <a16:creationId xmlns="" xmlns:a16="http://schemas.microsoft.com/office/drawing/2014/main" id="{00000000-0008-0000-0000-000032550000}"/>
            </a:ext>
          </a:extLst>
        </xdr:cNvPr>
        <xdr:cNvSpPr>
          <a:spLocks noChangeShapeType="1"/>
        </xdr:cNvSpPr>
      </xdr:nvSpPr>
      <xdr:spPr bwMode="auto">
        <a:xfrm flipV="1">
          <a:off x="8387831" y="18262729"/>
          <a:ext cx="359617" cy="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390521</xdr:colOff>
      <xdr:row>83</xdr:row>
      <xdr:rowOff>184668</xdr:rowOff>
    </xdr:from>
    <xdr:to>
      <xdr:col>6</xdr:col>
      <xdr:colOff>806708</xdr:colOff>
      <xdr:row>83</xdr:row>
      <xdr:rowOff>190500</xdr:rowOff>
    </xdr:to>
    <xdr:sp macro="" textlink="">
      <xdr:nvSpPr>
        <xdr:cNvPr id="21811" name="Line 37">
          <a:extLst>
            <a:ext uri="{FF2B5EF4-FFF2-40B4-BE49-F238E27FC236}">
              <a16:creationId xmlns="" xmlns:a16="http://schemas.microsoft.com/office/drawing/2014/main" id="{00000000-0008-0000-0000-000033550000}"/>
            </a:ext>
          </a:extLst>
        </xdr:cNvPr>
        <xdr:cNvSpPr>
          <a:spLocks noChangeShapeType="1"/>
        </xdr:cNvSpPr>
      </xdr:nvSpPr>
      <xdr:spPr bwMode="auto">
        <a:xfrm flipH="1">
          <a:off x="8710317" y="18253010"/>
          <a:ext cx="416187" cy="583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505602</xdr:colOff>
      <xdr:row>82</xdr:row>
      <xdr:rowOff>190500</xdr:rowOff>
    </xdr:from>
    <xdr:to>
      <xdr:col>4</xdr:col>
      <xdr:colOff>886602</xdr:colOff>
      <xdr:row>82</xdr:row>
      <xdr:rowOff>190500</xdr:rowOff>
    </xdr:to>
    <xdr:sp macro="" textlink="">
      <xdr:nvSpPr>
        <xdr:cNvPr id="21812" name="Line 38">
          <a:extLst>
            <a:ext uri="{FF2B5EF4-FFF2-40B4-BE49-F238E27FC236}">
              <a16:creationId xmlns="" xmlns:a16="http://schemas.microsoft.com/office/drawing/2014/main" id="{00000000-0008-0000-0000-000034550000}"/>
            </a:ext>
          </a:extLst>
        </xdr:cNvPr>
        <xdr:cNvSpPr>
          <a:spLocks noChangeShapeType="1"/>
        </xdr:cNvSpPr>
      </xdr:nvSpPr>
      <xdr:spPr bwMode="auto">
        <a:xfrm>
          <a:off x="6395551" y="18064454"/>
          <a:ext cx="3810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184863</xdr:colOff>
      <xdr:row>70</xdr:row>
      <xdr:rowOff>35720</xdr:rowOff>
    </xdr:from>
    <xdr:to>
      <xdr:col>5</xdr:col>
      <xdr:colOff>273844</xdr:colOff>
      <xdr:row>72</xdr:row>
      <xdr:rowOff>9525</xdr:rowOff>
    </xdr:to>
    <xdr:cxnSp macro="">
      <xdr:nvCxnSpPr>
        <xdr:cNvPr id="66" name="Gerade Verbindung 65">
          <a:extLst>
            <a:ext uri="{FF2B5EF4-FFF2-40B4-BE49-F238E27FC236}">
              <a16:creationId xmlns="" xmlns:a16="http://schemas.microsoft.com/office/drawing/2014/main" id="{00000000-0008-0000-0000-000042000000}"/>
            </a:ext>
          </a:extLst>
        </xdr:cNvPr>
        <xdr:cNvCxnSpPr>
          <a:stCxn id="21799" idx="0"/>
        </xdr:cNvCxnSpPr>
      </xdr:nvCxnSpPr>
      <xdr:spPr>
        <a:xfrm flipV="1">
          <a:off x="7416087" y="15382633"/>
          <a:ext cx="88981" cy="41117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628651</xdr:colOff>
      <xdr:row>72</xdr:row>
      <xdr:rowOff>9525</xdr:rowOff>
    </xdr:from>
    <xdr:to>
      <xdr:col>6</xdr:col>
      <xdr:colOff>155510</xdr:colOff>
      <xdr:row>79</xdr:row>
      <xdr:rowOff>133350</xdr:rowOff>
    </xdr:to>
    <xdr:sp macro="" textlink="">
      <xdr:nvSpPr>
        <xdr:cNvPr id="21814" name="Rectangle 3">
          <a:extLst>
            <a:ext uri="{FF2B5EF4-FFF2-40B4-BE49-F238E27FC236}">
              <a16:creationId xmlns="" xmlns:a16="http://schemas.microsoft.com/office/drawing/2014/main" id="{00000000-0008-0000-0000-000036550000}"/>
            </a:ext>
          </a:extLst>
        </xdr:cNvPr>
        <xdr:cNvSpPr>
          <a:spLocks noChangeArrowheads="1"/>
        </xdr:cNvSpPr>
      </xdr:nvSpPr>
      <xdr:spPr bwMode="auto">
        <a:xfrm>
          <a:off x="7111483" y="16522765"/>
          <a:ext cx="489078" cy="1552575"/>
        </a:xfrm>
        <a:prstGeom prst="rect">
          <a:avLst/>
        </a:prstGeom>
        <a:solidFill>
          <a:srgbClr val="FFFFFF"/>
        </a:solidFill>
        <a:ln w="9525">
          <a:solidFill>
            <a:srgbClr val="000000"/>
          </a:solidFill>
          <a:miter lim="800000"/>
          <a:headEnd/>
          <a:tailEnd/>
        </a:ln>
      </xdr:spPr>
    </xdr:sp>
    <xdr:clientData/>
  </xdr:twoCellAnchor>
  <xdr:twoCellAnchor>
    <xdr:from>
      <xdr:col>2</xdr:col>
      <xdr:colOff>1104900</xdr:colOff>
      <xdr:row>70</xdr:row>
      <xdr:rowOff>180975</xdr:rowOff>
    </xdr:from>
    <xdr:to>
      <xdr:col>3</xdr:col>
      <xdr:colOff>771525</xdr:colOff>
      <xdr:row>70</xdr:row>
      <xdr:rowOff>180975</xdr:rowOff>
    </xdr:to>
    <xdr:sp macro="" textlink="">
      <xdr:nvSpPr>
        <xdr:cNvPr id="21815" name="Line 12">
          <a:extLst>
            <a:ext uri="{FF2B5EF4-FFF2-40B4-BE49-F238E27FC236}">
              <a16:creationId xmlns="" xmlns:a16="http://schemas.microsoft.com/office/drawing/2014/main" id="{00000000-0008-0000-0000-000037550000}"/>
            </a:ext>
          </a:extLst>
        </xdr:cNvPr>
        <xdr:cNvSpPr>
          <a:spLocks noChangeShapeType="1"/>
        </xdr:cNvSpPr>
      </xdr:nvSpPr>
      <xdr:spPr bwMode="auto">
        <a:xfrm>
          <a:off x="3743325" y="15840075"/>
          <a:ext cx="942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1066800</xdr:colOff>
      <xdr:row>72</xdr:row>
      <xdr:rowOff>28575</xdr:rowOff>
    </xdr:from>
    <xdr:to>
      <xdr:col>3</xdr:col>
      <xdr:colOff>438150</xdr:colOff>
      <xdr:row>72</xdr:row>
      <xdr:rowOff>28575</xdr:rowOff>
    </xdr:to>
    <xdr:sp macro="" textlink="">
      <xdr:nvSpPr>
        <xdr:cNvPr id="21816" name="Line 16">
          <a:extLst>
            <a:ext uri="{FF2B5EF4-FFF2-40B4-BE49-F238E27FC236}">
              <a16:creationId xmlns="" xmlns:a16="http://schemas.microsoft.com/office/drawing/2014/main" id="{00000000-0008-0000-0000-000038550000}"/>
            </a:ext>
          </a:extLst>
        </xdr:cNvPr>
        <xdr:cNvSpPr>
          <a:spLocks noChangeShapeType="1"/>
        </xdr:cNvSpPr>
      </xdr:nvSpPr>
      <xdr:spPr bwMode="auto">
        <a:xfrm flipV="1">
          <a:off x="3705225" y="16125825"/>
          <a:ext cx="6477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1152525</xdr:colOff>
      <xdr:row>78</xdr:row>
      <xdr:rowOff>28575</xdr:rowOff>
    </xdr:from>
    <xdr:to>
      <xdr:col>3</xdr:col>
      <xdr:colOff>409575</xdr:colOff>
      <xdr:row>78</xdr:row>
      <xdr:rowOff>28575</xdr:rowOff>
    </xdr:to>
    <xdr:sp macro="" textlink="">
      <xdr:nvSpPr>
        <xdr:cNvPr id="21817" name="Line 17">
          <a:extLst>
            <a:ext uri="{FF2B5EF4-FFF2-40B4-BE49-F238E27FC236}">
              <a16:creationId xmlns="" xmlns:a16="http://schemas.microsoft.com/office/drawing/2014/main" id="{00000000-0008-0000-0000-000039550000}"/>
            </a:ext>
          </a:extLst>
        </xdr:cNvPr>
        <xdr:cNvSpPr>
          <a:spLocks noChangeShapeType="1"/>
        </xdr:cNvSpPr>
      </xdr:nvSpPr>
      <xdr:spPr bwMode="auto">
        <a:xfrm flipV="1">
          <a:off x="3790950" y="17325975"/>
          <a:ext cx="533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1085850</xdr:colOff>
      <xdr:row>80</xdr:row>
      <xdr:rowOff>133350</xdr:rowOff>
    </xdr:from>
    <xdr:to>
      <xdr:col>3</xdr:col>
      <xdr:colOff>704850</xdr:colOff>
      <xdr:row>80</xdr:row>
      <xdr:rowOff>142875</xdr:rowOff>
    </xdr:to>
    <xdr:sp macro="" textlink="">
      <xdr:nvSpPr>
        <xdr:cNvPr id="21818" name="Line 19">
          <a:extLst>
            <a:ext uri="{FF2B5EF4-FFF2-40B4-BE49-F238E27FC236}">
              <a16:creationId xmlns="" xmlns:a16="http://schemas.microsoft.com/office/drawing/2014/main" id="{00000000-0008-0000-0000-00003A550000}"/>
            </a:ext>
          </a:extLst>
        </xdr:cNvPr>
        <xdr:cNvSpPr>
          <a:spLocks noChangeShapeType="1"/>
        </xdr:cNvSpPr>
      </xdr:nvSpPr>
      <xdr:spPr bwMode="auto">
        <a:xfrm flipV="1">
          <a:off x="3724275" y="17830800"/>
          <a:ext cx="89535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685800</xdr:colOff>
      <xdr:row>70</xdr:row>
      <xdr:rowOff>171450</xdr:rowOff>
    </xdr:from>
    <xdr:to>
      <xdr:col>3</xdr:col>
      <xdr:colOff>685800</xdr:colOff>
      <xdr:row>80</xdr:row>
      <xdr:rowOff>133350</xdr:rowOff>
    </xdr:to>
    <xdr:sp macro="" textlink="">
      <xdr:nvSpPr>
        <xdr:cNvPr id="21819" name="Line 20">
          <a:extLst>
            <a:ext uri="{FF2B5EF4-FFF2-40B4-BE49-F238E27FC236}">
              <a16:creationId xmlns="" xmlns:a16="http://schemas.microsoft.com/office/drawing/2014/main" id="{00000000-0008-0000-0000-00003B550000}"/>
            </a:ext>
          </a:extLst>
        </xdr:cNvPr>
        <xdr:cNvSpPr>
          <a:spLocks noChangeShapeType="1"/>
        </xdr:cNvSpPr>
      </xdr:nvSpPr>
      <xdr:spPr bwMode="auto">
        <a:xfrm flipH="1">
          <a:off x="4600575" y="15830550"/>
          <a:ext cx="0" cy="2000250"/>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333375</xdr:colOff>
      <xdr:row>72</xdr:row>
      <xdr:rowOff>28575</xdr:rowOff>
    </xdr:from>
    <xdr:to>
      <xdr:col>3</xdr:col>
      <xdr:colOff>333375</xdr:colOff>
      <xdr:row>78</xdr:row>
      <xdr:rowOff>19050</xdr:rowOff>
    </xdr:to>
    <xdr:sp macro="" textlink="">
      <xdr:nvSpPr>
        <xdr:cNvPr id="21820" name="Line 23">
          <a:extLst>
            <a:ext uri="{FF2B5EF4-FFF2-40B4-BE49-F238E27FC236}">
              <a16:creationId xmlns="" xmlns:a16="http://schemas.microsoft.com/office/drawing/2014/main" id="{00000000-0008-0000-0000-00003C550000}"/>
            </a:ext>
          </a:extLst>
        </xdr:cNvPr>
        <xdr:cNvSpPr>
          <a:spLocks noChangeShapeType="1"/>
        </xdr:cNvSpPr>
      </xdr:nvSpPr>
      <xdr:spPr bwMode="auto">
        <a:xfrm>
          <a:off x="4248150" y="16125825"/>
          <a:ext cx="0" cy="1190625"/>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333375</xdr:colOff>
      <xdr:row>78</xdr:row>
      <xdr:rowOff>38100</xdr:rowOff>
    </xdr:from>
    <xdr:to>
      <xdr:col>3</xdr:col>
      <xdr:colOff>333375</xdr:colOff>
      <xdr:row>80</xdr:row>
      <xdr:rowOff>152400</xdr:rowOff>
    </xdr:to>
    <xdr:sp macro="" textlink="">
      <xdr:nvSpPr>
        <xdr:cNvPr id="21821" name="Line 25">
          <a:extLst>
            <a:ext uri="{FF2B5EF4-FFF2-40B4-BE49-F238E27FC236}">
              <a16:creationId xmlns="" xmlns:a16="http://schemas.microsoft.com/office/drawing/2014/main" id="{00000000-0008-0000-0000-00003D550000}"/>
            </a:ext>
          </a:extLst>
        </xdr:cNvPr>
        <xdr:cNvSpPr>
          <a:spLocks noChangeShapeType="1"/>
        </xdr:cNvSpPr>
      </xdr:nvSpPr>
      <xdr:spPr bwMode="auto">
        <a:xfrm>
          <a:off x="4248150" y="17335500"/>
          <a:ext cx="0" cy="514350"/>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342900</xdr:colOff>
      <xdr:row>71</xdr:row>
      <xdr:rowOff>9525</xdr:rowOff>
    </xdr:from>
    <xdr:to>
      <xdr:col>3</xdr:col>
      <xdr:colOff>342900</xdr:colOff>
      <xdr:row>72</xdr:row>
      <xdr:rowOff>19050</xdr:rowOff>
    </xdr:to>
    <xdr:sp macro="" textlink="">
      <xdr:nvSpPr>
        <xdr:cNvPr id="21822" name="Line 26">
          <a:extLst>
            <a:ext uri="{FF2B5EF4-FFF2-40B4-BE49-F238E27FC236}">
              <a16:creationId xmlns="" xmlns:a16="http://schemas.microsoft.com/office/drawing/2014/main" id="{00000000-0008-0000-0000-00003E550000}"/>
            </a:ext>
          </a:extLst>
        </xdr:cNvPr>
        <xdr:cNvSpPr>
          <a:spLocks noChangeShapeType="1"/>
        </xdr:cNvSpPr>
      </xdr:nvSpPr>
      <xdr:spPr bwMode="auto">
        <a:xfrm>
          <a:off x="4257675" y="15868650"/>
          <a:ext cx="0" cy="247650"/>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438150</xdr:colOff>
      <xdr:row>81</xdr:row>
      <xdr:rowOff>104775</xdr:rowOff>
    </xdr:from>
    <xdr:to>
      <xdr:col>5</xdr:col>
      <xdr:colOff>447675</xdr:colOff>
      <xdr:row>83</xdr:row>
      <xdr:rowOff>28575</xdr:rowOff>
    </xdr:to>
    <xdr:sp macro="" textlink="">
      <xdr:nvSpPr>
        <xdr:cNvPr id="21823" name="Line 33">
          <a:extLst>
            <a:ext uri="{FF2B5EF4-FFF2-40B4-BE49-F238E27FC236}">
              <a16:creationId xmlns="" xmlns:a16="http://schemas.microsoft.com/office/drawing/2014/main" id="{00000000-0008-0000-0000-00003F550000}"/>
            </a:ext>
          </a:extLst>
        </xdr:cNvPr>
        <xdr:cNvSpPr>
          <a:spLocks noChangeShapeType="1"/>
        </xdr:cNvSpPr>
      </xdr:nvSpPr>
      <xdr:spPr bwMode="auto">
        <a:xfrm flipH="1">
          <a:off x="6734175" y="18002250"/>
          <a:ext cx="9525"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1253801</xdr:colOff>
      <xdr:row>78</xdr:row>
      <xdr:rowOff>38878</xdr:rowOff>
    </xdr:from>
    <xdr:to>
      <xdr:col>5</xdr:col>
      <xdr:colOff>85725</xdr:colOff>
      <xdr:row>78</xdr:row>
      <xdr:rowOff>47625</xdr:rowOff>
    </xdr:to>
    <xdr:sp macro="" textlink="">
      <xdr:nvSpPr>
        <xdr:cNvPr id="21824" name="Line 8">
          <a:extLst>
            <a:ext uri="{FF2B5EF4-FFF2-40B4-BE49-F238E27FC236}">
              <a16:creationId xmlns="" xmlns:a16="http://schemas.microsoft.com/office/drawing/2014/main" id="{00000000-0008-0000-0000-000040550000}"/>
            </a:ext>
          </a:extLst>
        </xdr:cNvPr>
        <xdr:cNvSpPr>
          <a:spLocks noChangeShapeType="1"/>
        </xdr:cNvSpPr>
      </xdr:nvSpPr>
      <xdr:spPr bwMode="auto">
        <a:xfrm>
          <a:off x="7143750" y="16989490"/>
          <a:ext cx="173199" cy="87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114300</xdr:colOff>
      <xdr:row>72</xdr:row>
      <xdr:rowOff>152400</xdr:rowOff>
    </xdr:from>
    <xdr:to>
      <xdr:col>5</xdr:col>
      <xdr:colOff>228600</xdr:colOff>
      <xdr:row>73</xdr:row>
      <xdr:rowOff>76200</xdr:rowOff>
    </xdr:to>
    <xdr:sp macro="" textlink="">
      <xdr:nvSpPr>
        <xdr:cNvPr id="21825" name="Oval 11">
          <a:extLst>
            <a:ext uri="{FF2B5EF4-FFF2-40B4-BE49-F238E27FC236}">
              <a16:creationId xmlns="" xmlns:a16="http://schemas.microsoft.com/office/drawing/2014/main" id="{00000000-0008-0000-0000-000041550000}"/>
            </a:ext>
          </a:extLst>
        </xdr:cNvPr>
        <xdr:cNvSpPr>
          <a:spLocks noChangeArrowheads="1"/>
        </xdr:cNvSpPr>
      </xdr:nvSpPr>
      <xdr:spPr bwMode="auto">
        <a:xfrm>
          <a:off x="6410325" y="16249650"/>
          <a:ext cx="114300" cy="123825"/>
        </a:xfrm>
        <a:prstGeom prst="ellipse">
          <a:avLst/>
        </a:prstGeom>
        <a:solidFill>
          <a:srgbClr val="FFFFFF"/>
        </a:solidFill>
        <a:ln w="9525">
          <a:solidFill>
            <a:srgbClr val="000000"/>
          </a:solidFill>
          <a:round/>
          <a:headEnd/>
          <a:tailEnd/>
        </a:ln>
      </xdr:spPr>
    </xdr:sp>
    <xdr:clientData/>
  </xdr:twoCellAnchor>
  <xdr:twoCellAnchor>
    <xdr:from>
      <xdr:col>5</xdr:col>
      <xdr:colOff>809625</xdr:colOff>
      <xdr:row>77</xdr:row>
      <xdr:rowOff>76200</xdr:rowOff>
    </xdr:from>
    <xdr:to>
      <xdr:col>5</xdr:col>
      <xdr:colOff>847725</xdr:colOff>
      <xdr:row>78</xdr:row>
      <xdr:rowOff>47625</xdr:rowOff>
    </xdr:to>
    <xdr:sp macro="" textlink="">
      <xdr:nvSpPr>
        <xdr:cNvPr id="21826" name="Line 5">
          <a:extLst>
            <a:ext uri="{FF2B5EF4-FFF2-40B4-BE49-F238E27FC236}">
              <a16:creationId xmlns="" xmlns:a16="http://schemas.microsoft.com/office/drawing/2014/main" id="{00000000-0008-0000-0000-000042550000}"/>
            </a:ext>
          </a:extLst>
        </xdr:cNvPr>
        <xdr:cNvSpPr>
          <a:spLocks noChangeShapeType="1"/>
        </xdr:cNvSpPr>
      </xdr:nvSpPr>
      <xdr:spPr bwMode="auto">
        <a:xfrm flipV="1">
          <a:off x="7105650" y="17173575"/>
          <a:ext cx="38100" cy="1714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838200</xdr:colOff>
      <xdr:row>77</xdr:row>
      <xdr:rowOff>85724</xdr:rowOff>
    </xdr:from>
    <xdr:to>
      <xdr:col>5</xdr:col>
      <xdr:colOff>991378</xdr:colOff>
      <xdr:row>77</xdr:row>
      <xdr:rowOff>87474</xdr:rowOff>
    </xdr:to>
    <xdr:sp macro="" textlink="">
      <xdr:nvSpPr>
        <xdr:cNvPr id="21827" name="Line 6">
          <a:extLst>
            <a:ext uri="{FF2B5EF4-FFF2-40B4-BE49-F238E27FC236}">
              <a16:creationId xmlns="" xmlns:a16="http://schemas.microsoft.com/office/drawing/2014/main" id="{00000000-0008-0000-0000-000043550000}"/>
            </a:ext>
          </a:extLst>
        </xdr:cNvPr>
        <xdr:cNvSpPr>
          <a:spLocks noChangeShapeType="1"/>
        </xdr:cNvSpPr>
      </xdr:nvSpPr>
      <xdr:spPr bwMode="auto">
        <a:xfrm>
          <a:off x="8069424" y="16841948"/>
          <a:ext cx="153178" cy="1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962026</xdr:colOff>
      <xdr:row>77</xdr:row>
      <xdr:rowOff>95444</xdr:rowOff>
    </xdr:from>
    <xdr:to>
      <xdr:col>5</xdr:col>
      <xdr:colOff>1000126</xdr:colOff>
      <xdr:row>78</xdr:row>
      <xdr:rowOff>66869</xdr:rowOff>
    </xdr:to>
    <xdr:sp macro="" textlink="">
      <xdr:nvSpPr>
        <xdr:cNvPr id="21828" name="Line 7">
          <a:extLst>
            <a:ext uri="{FF2B5EF4-FFF2-40B4-BE49-F238E27FC236}">
              <a16:creationId xmlns="" xmlns:a16="http://schemas.microsoft.com/office/drawing/2014/main" id="{00000000-0008-0000-0000-000044550000}"/>
            </a:ext>
          </a:extLst>
        </xdr:cNvPr>
        <xdr:cNvSpPr>
          <a:spLocks noChangeShapeType="1"/>
        </xdr:cNvSpPr>
      </xdr:nvSpPr>
      <xdr:spPr bwMode="auto">
        <a:xfrm>
          <a:off x="8193250" y="16851668"/>
          <a:ext cx="38100" cy="165813"/>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962025</xdr:colOff>
      <xdr:row>78</xdr:row>
      <xdr:rowOff>58316</xdr:rowOff>
    </xdr:from>
    <xdr:to>
      <xdr:col>6</xdr:col>
      <xdr:colOff>165229</xdr:colOff>
      <xdr:row>78</xdr:row>
      <xdr:rowOff>66869</xdr:rowOff>
    </xdr:to>
    <xdr:sp macro="" textlink="">
      <xdr:nvSpPr>
        <xdr:cNvPr id="21829" name="Line 8">
          <a:extLst>
            <a:ext uri="{FF2B5EF4-FFF2-40B4-BE49-F238E27FC236}">
              <a16:creationId xmlns="" xmlns:a16="http://schemas.microsoft.com/office/drawing/2014/main" id="{00000000-0008-0000-0000-000045550000}"/>
            </a:ext>
          </a:extLst>
        </xdr:cNvPr>
        <xdr:cNvSpPr>
          <a:spLocks noChangeShapeType="1"/>
        </xdr:cNvSpPr>
      </xdr:nvSpPr>
      <xdr:spPr bwMode="auto">
        <a:xfrm flipV="1">
          <a:off x="7444857" y="17796199"/>
          <a:ext cx="165423" cy="8553"/>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838200</xdr:colOff>
      <xdr:row>76</xdr:row>
      <xdr:rowOff>47625</xdr:rowOff>
    </xdr:from>
    <xdr:to>
      <xdr:col>5</xdr:col>
      <xdr:colOff>952500</xdr:colOff>
      <xdr:row>76</xdr:row>
      <xdr:rowOff>171450</xdr:rowOff>
    </xdr:to>
    <xdr:sp macro="" textlink="">
      <xdr:nvSpPr>
        <xdr:cNvPr id="21830" name="Oval 11">
          <a:extLst>
            <a:ext uri="{FF2B5EF4-FFF2-40B4-BE49-F238E27FC236}">
              <a16:creationId xmlns="" xmlns:a16="http://schemas.microsoft.com/office/drawing/2014/main" id="{00000000-0008-0000-0000-000046550000}"/>
            </a:ext>
          </a:extLst>
        </xdr:cNvPr>
        <xdr:cNvSpPr>
          <a:spLocks noChangeArrowheads="1"/>
        </xdr:cNvSpPr>
      </xdr:nvSpPr>
      <xdr:spPr bwMode="auto">
        <a:xfrm>
          <a:off x="7134225" y="16944975"/>
          <a:ext cx="114300" cy="123825"/>
        </a:xfrm>
        <a:prstGeom prst="ellipse">
          <a:avLst/>
        </a:prstGeom>
        <a:solidFill>
          <a:srgbClr val="FFFFFF"/>
        </a:solidFill>
        <a:ln w="9525">
          <a:solidFill>
            <a:srgbClr val="000000"/>
          </a:solidFill>
          <a:round/>
          <a:headEnd/>
          <a:tailEnd/>
        </a:ln>
      </xdr:spPr>
    </xdr:sp>
    <xdr:clientData/>
  </xdr:twoCellAnchor>
  <xdr:twoCellAnchor>
    <xdr:from>
      <xdr:col>5</xdr:col>
      <xdr:colOff>638175</xdr:colOff>
      <xdr:row>78</xdr:row>
      <xdr:rowOff>57150</xdr:rowOff>
    </xdr:from>
    <xdr:to>
      <xdr:col>5</xdr:col>
      <xdr:colOff>800100</xdr:colOff>
      <xdr:row>78</xdr:row>
      <xdr:rowOff>57150</xdr:rowOff>
    </xdr:to>
    <xdr:sp macro="" textlink="">
      <xdr:nvSpPr>
        <xdr:cNvPr id="21831" name="Line 8">
          <a:extLst>
            <a:ext uri="{FF2B5EF4-FFF2-40B4-BE49-F238E27FC236}">
              <a16:creationId xmlns="" xmlns:a16="http://schemas.microsoft.com/office/drawing/2014/main" id="{00000000-0008-0000-0000-000047550000}"/>
            </a:ext>
          </a:extLst>
        </xdr:cNvPr>
        <xdr:cNvSpPr>
          <a:spLocks noChangeShapeType="1"/>
        </xdr:cNvSpPr>
      </xdr:nvSpPr>
      <xdr:spPr bwMode="auto">
        <a:xfrm>
          <a:off x="6934200" y="17354550"/>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828675</xdr:colOff>
      <xdr:row>72</xdr:row>
      <xdr:rowOff>161925</xdr:rowOff>
    </xdr:from>
    <xdr:to>
      <xdr:col>5</xdr:col>
      <xdr:colOff>942975</xdr:colOff>
      <xdr:row>73</xdr:row>
      <xdr:rowOff>85725</xdr:rowOff>
    </xdr:to>
    <xdr:sp macro="" textlink="">
      <xdr:nvSpPr>
        <xdr:cNvPr id="21832" name="Oval 11">
          <a:extLst>
            <a:ext uri="{FF2B5EF4-FFF2-40B4-BE49-F238E27FC236}">
              <a16:creationId xmlns="" xmlns:a16="http://schemas.microsoft.com/office/drawing/2014/main" id="{00000000-0008-0000-0000-000048550000}"/>
            </a:ext>
          </a:extLst>
        </xdr:cNvPr>
        <xdr:cNvSpPr>
          <a:spLocks noChangeArrowheads="1"/>
        </xdr:cNvSpPr>
      </xdr:nvSpPr>
      <xdr:spPr bwMode="auto">
        <a:xfrm>
          <a:off x="7124700" y="16259175"/>
          <a:ext cx="114300" cy="123825"/>
        </a:xfrm>
        <a:prstGeom prst="ellipse">
          <a:avLst/>
        </a:prstGeom>
        <a:solidFill>
          <a:srgbClr val="FFFFFF"/>
        </a:solidFill>
        <a:ln w="9525">
          <a:solidFill>
            <a:srgbClr val="000000"/>
          </a:solidFill>
          <a:round/>
          <a:headEnd/>
          <a:tailEnd/>
        </a:ln>
      </xdr:spPr>
    </xdr:sp>
    <xdr:clientData/>
  </xdr:twoCellAnchor>
  <xdr:twoCellAnchor>
    <xdr:from>
      <xdr:col>2</xdr:col>
      <xdr:colOff>428625</xdr:colOff>
      <xdr:row>77</xdr:row>
      <xdr:rowOff>66675</xdr:rowOff>
    </xdr:from>
    <xdr:to>
      <xdr:col>2</xdr:col>
      <xdr:colOff>466725</xdr:colOff>
      <xdr:row>78</xdr:row>
      <xdr:rowOff>38100</xdr:rowOff>
    </xdr:to>
    <xdr:sp macro="" textlink="">
      <xdr:nvSpPr>
        <xdr:cNvPr id="21833" name="Line 5">
          <a:extLst>
            <a:ext uri="{FF2B5EF4-FFF2-40B4-BE49-F238E27FC236}">
              <a16:creationId xmlns="" xmlns:a16="http://schemas.microsoft.com/office/drawing/2014/main" id="{00000000-0008-0000-0000-000049550000}"/>
            </a:ext>
          </a:extLst>
        </xdr:cNvPr>
        <xdr:cNvSpPr>
          <a:spLocks noChangeShapeType="1"/>
        </xdr:cNvSpPr>
      </xdr:nvSpPr>
      <xdr:spPr bwMode="auto">
        <a:xfrm flipV="1">
          <a:off x="3067050" y="17164050"/>
          <a:ext cx="38100" cy="1714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457200</xdr:colOff>
      <xdr:row>77</xdr:row>
      <xdr:rowOff>66675</xdr:rowOff>
    </xdr:from>
    <xdr:to>
      <xdr:col>2</xdr:col>
      <xdr:colOff>600075</xdr:colOff>
      <xdr:row>77</xdr:row>
      <xdr:rowOff>76200</xdr:rowOff>
    </xdr:to>
    <xdr:sp macro="" textlink="">
      <xdr:nvSpPr>
        <xdr:cNvPr id="21834" name="Line 6">
          <a:extLst>
            <a:ext uri="{FF2B5EF4-FFF2-40B4-BE49-F238E27FC236}">
              <a16:creationId xmlns="" xmlns:a16="http://schemas.microsoft.com/office/drawing/2014/main" id="{00000000-0008-0000-0000-00004A550000}"/>
            </a:ext>
          </a:extLst>
        </xdr:cNvPr>
        <xdr:cNvSpPr>
          <a:spLocks noChangeShapeType="1"/>
        </xdr:cNvSpPr>
      </xdr:nvSpPr>
      <xdr:spPr bwMode="auto">
        <a:xfrm flipV="1">
          <a:off x="3095625" y="17164050"/>
          <a:ext cx="142875"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590550</xdr:colOff>
      <xdr:row>77</xdr:row>
      <xdr:rowOff>76200</xdr:rowOff>
    </xdr:from>
    <xdr:to>
      <xdr:col>2</xdr:col>
      <xdr:colOff>628650</xdr:colOff>
      <xdr:row>78</xdr:row>
      <xdr:rowOff>47625</xdr:rowOff>
    </xdr:to>
    <xdr:sp macro="" textlink="">
      <xdr:nvSpPr>
        <xdr:cNvPr id="21835" name="Line 7">
          <a:extLst>
            <a:ext uri="{FF2B5EF4-FFF2-40B4-BE49-F238E27FC236}">
              <a16:creationId xmlns="" xmlns:a16="http://schemas.microsoft.com/office/drawing/2014/main" id="{00000000-0008-0000-0000-00004B550000}"/>
            </a:ext>
          </a:extLst>
        </xdr:cNvPr>
        <xdr:cNvSpPr>
          <a:spLocks noChangeShapeType="1"/>
        </xdr:cNvSpPr>
      </xdr:nvSpPr>
      <xdr:spPr bwMode="auto">
        <a:xfrm>
          <a:off x="3228975" y="17173575"/>
          <a:ext cx="38100" cy="1714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628650</xdr:colOff>
      <xdr:row>78</xdr:row>
      <xdr:rowOff>47625</xdr:rowOff>
    </xdr:from>
    <xdr:to>
      <xdr:col>2</xdr:col>
      <xdr:colOff>790575</xdr:colOff>
      <xdr:row>78</xdr:row>
      <xdr:rowOff>47625</xdr:rowOff>
    </xdr:to>
    <xdr:sp macro="" textlink="">
      <xdr:nvSpPr>
        <xdr:cNvPr id="21836" name="Line 8">
          <a:extLst>
            <a:ext uri="{FF2B5EF4-FFF2-40B4-BE49-F238E27FC236}">
              <a16:creationId xmlns="" xmlns:a16="http://schemas.microsoft.com/office/drawing/2014/main" id="{00000000-0008-0000-0000-00004C550000}"/>
            </a:ext>
          </a:extLst>
        </xdr:cNvPr>
        <xdr:cNvSpPr>
          <a:spLocks noChangeShapeType="1"/>
        </xdr:cNvSpPr>
      </xdr:nvSpPr>
      <xdr:spPr bwMode="auto">
        <a:xfrm>
          <a:off x="3267075" y="1734502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457200</xdr:colOff>
      <xdr:row>76</xdr:row>
      <xdr:rowOff>38100</xdr:rowOff>
    </xdr:from>
    <xdr:to>
      <xdr:col>2</xdr:col>
      <xdr:colOff>571500</xdr:colOff>
      <xdr:row>76</xdr:row>
      <xdr:rowOff>161925</xdr:rowOff>
    </xdr:to>
    <xdr:sp macro="" textlink="">
      <xdr:nvSpPr>
        <xdr:cNvPr id="21837" name="Oval 11">
          <a:extLst>
            <a:ext uri="{FF2B5EF4-FFF2-40B4-BE49-F238E27FC236}">
              <a16:creationId xmlns="" xmlns:a16="http://schemas.microsoft.com/office/drawing/2014/main" id="{00000000-0008-0000-0000-00004D550000}"/>
            </a:ext>
          </a:extLst>
        </xdr:cNvPr>
        <xdr:cNvSpPr>
          <a:spLocks noChangeArrowheads="1"/>
        </xdr:cNvSpPr>
      </xdr:nvSpPr>
      <xdr:spPr bwMode="auto">
        <a:xfrm>
          <a:off x="3095625" y="16935450"/>
          <a:ext cx="114300" cy="123825"/>
        </a:xfrm>
        <a:prstGeom prst="ellipse">
          <a:avLst/>
        </a:prstGeom>
        <a:solidFill>
          <a:srgbClr val="FFFFFF"/>
        </a:solidFill>
        <a:ln w="9525">
          <a:solidFill>
            <a:srgbClr val="000000"/>
          </a:solidFill>
          <a:round/>
          <a:headEnd/>
          <a:tailEnd/>
        </a:ln>
      </xdr:spPr>
    </xdr:sp>
    <xdr:clientData/>
  </xdr:twoCellAnchor>
  <xdr:twoCellAnchor>
    <xdr:from>
      <xdr:col>2</xdr:col>
      <xdr:colOff>257175</xdr:colOff>
      <xdr:row>78</xdr:row>
      <xdr:rowOff>47625</xdr:rowOff>
    </xdr:from>
    <xdr:to>
      <xdr:col>2</xdr:col>
      <xdr:colOff>419100</xdr:colOff>
      <xdr:row>78</xdr:row>
      <xdr:rowOff>47625</xdr:rowOff>
    </xdr:to>
    <xdr:sp macro="" textlink="">
      <xdr:nvSpPr>
        <xdr:cNvPr id="21838" name="Line 8">
          <a:extLst>
            <a:ext uri="{FF2B5EF4-FFF2-40B4-BE49-F238E27FC236}">
              <a16:creationId xmlns="" xmlns:a16="http://schemas.microsoft.com/office/drawing/2014/main" id="{00000000-0008-0000-0000-00004E550000}"/>
            </a:ext>
          </a:extLst>
        </xdr:cNvPr>
        <xdr:cNvSpPr>
          <a:spLocks noChangeShapeType="1"/>
        </xdr:cNvSpPr>
      </xdr:nvSpPr>
      <xdr:spPr bwMode="auto">
        <a:xfrm>
          <a:off x="2895600" y="1734502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447675</xdr:colOff>
      <xdr:row>72</xdr:row>
      <xdr:rowOff>152400</xdr:rowOff>
    </xdr:from>
    <xdr:to>
      <xdr:col>2</xdr:col>
      <xdr:colOff>561975</xdr:colOff>
      <xdr:row>73</xdr:row>
      <xdr:rowOff>76200</xdr:rowOff>
    </xdr:to>
    <xdr:sp macro="" textlink="">
      <xdr:nvSpPr>
        <xdr:cNvPr id="21839" name="Oval 11">
          <a:extLst>
            <a:ext uri="{FF2B5EF4-FFF2-40B4-BE49-F238E27FC236}">
              <a16:creationId xmlns="" xmlns:a16="http://schemas.microsoft.com/office/drawing/2014/main" id="{00000000-0008-0000-0000-00004F550000}"/>
            </a:ext>
          </a:extLst>
        </xdr:cNvPr>
        <xdr:cNvSpPr>
          <a:spLocks noChangeArrowheads="1"/>
        </xdr:cNvSpPr>
      </xdr:nvSpPr>
      <xdr:spPr bwMode="auto">
        <a:xfrm>
          <a:off x="3086100" y="16249650"/>
          <a:ext cx="114300" cy="123825"/>
        </a:xfrm>
        <a:prstGeom prst="ellipse">
          <a:avLst/>
        </a:prstGeom>
        <a:solidFill>
          <a:srgbClr val="FFFFFF"/>
        </a:solidFill>
        <a:ln w="9525">
          <a:solidFill>
            <a:srgbClr val="000000"/>
          </a:solidFill>
          <a:round/>
          <a:headEnd/>
          <a:tailEnd/>
        </a:ln>
      </xdr:spPr>
    </xdr:sp>
    <xdr:clientData/>
  </xdr:twoCellAnchor>
  <xdr:twoCellAnchor>
    <xdr:from>
      <xdr:col>5</xdr:col>
      <xdr:colOff>278607</xdr:colOff>
      <xdr:row>70</xdr:row>
      <xdr:rowOff>35719</xdr:rowOff>
    </xdr:from>
    <xdr:to>
      <xdr:col>5</xdr:col>
      <xdr:colOff>695326</xdr:colOff>
      <xdr:row>72</xdr:row>
      <xdr:rowOff>35719</xdr:rowOff>
    </xdr:to>
    <xdr:cxnSp macro="">
      <xdr:nvCxnSpPr>
        <xdr:cNvPr id="136" name="Gerade Verbindung 135">
          <a:extLst>
            <a:ext uri="{FF2B5EF4-FFF2-40B4-BE49-F238E27FC236}">
              <a16:creationId xmlns="" xmlns:a16="http://schemas.microsoft.com/office/drawing/2014/main" id="{00000000-0008-0000-0000-000088000000}"/>
            </a:ext>
          </a:extLst>
        </xdr:cNvPr>
        <xdr:cNvCxnSpPr/>
      </xdr:nvCxnSpPr>
      <xdr:spPr>
        <a:xfrm flipH="1" flipV="1">
          <a:off x="6574632" y="15751969"/>
          <a:ext cx="416719" cy="4381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622041</xdr:colOff>
      <xdr:row>81</xdr:row>
      <xdr:rowOff>104775</xdr:rowOff>
    </xdr:from>
    <xdr:to>
      <xdr:col>5</xdr:col>
      <xdr:colOff>628650</xdr:colOff>
      <xdr:row>84</xdr:row>
      <xdr:rowOff>38877</xdr:rowOff>
    </xdr:to>
    <xdr:sp macro="" textlink="">
      <xdr:nvSpPr>
        <xdr:cNvPr id="21841" name="Line 33">
          <a:extLst>
            <a:ext uri="{FF2B5EF4-FFF2-40B4-BE49-F238E27FC236}">
              <a16:creationId xmlns="" xmlns:a16="http://schemas.microsoft.com/office/drawing/2014/main" id="{00000000-0008-0000-0000-000051550000}"/>
            </a:ext>
          </a:extLst>
        </xdr:cNvPr>
        <xdr:cNvSpPr>
          <a:spLocks noChangeShapeType="1"/>
        </xdr:cNvSpPr>
      </xdr:nvSpPr>
      <xdr:spPr bwMode="auto">
        <a:xfrm flipH="1">
          <a:off x="7853265" y="17784341"/>
          <a:ext cx="6609" cy="51726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68036</xdr:colOff>
      <xdr:row>81</xdr:row>
      <xdr:rowOff>116633</xdr:rowOff>
    </xdr:from>
    <xdr:to>
      <xdr:col>6</xdr:col>
      <xdr:colOff>68036</xdr:colOff>
      <xdr:row>84</xdr:row>
      <xdr:rowOff>58316</xdr:rowOff>
    </xdr:to>
    <xdr:sp macro="" textlink="">
      <xdr:nvSpPr>
        <xdr:cNvPr id="21842" name="Line 33">
          <a:extLst>
            <a:ext uri="{FF2B5EF4-FFF2-40B4-BE49-F238E27FC236}">
              <a16:creationId xmlns="" xmlns:a16="http://schemas.microsoft.com/office/drawing/2014/main" id="{00000000-0008-0000-0000-000052550000}"/>
            </a:ext>
          </a:extLst>
        </xdr:cNvPr>
        <xdr:cNvSpPr>
          <a:spLocks noChangeShapeType="1"/>
        </xdr:cNvSpPr>
      </xdr:nvSpPr>
      <xdr:spPr bwMode="auto">
        <a:xfrm flipH="1">
          <a:off x="8387832" y="17796199"/>
          <a:ext cx="0" cy="5248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619126</xdr:colOff>
      <xdr:row>84</xdr:row>
      <xdr:rowOff>9718</xdr:rowOff>
    </xdr:from>
    <xdr:to>
      <xdr:col>6</xdr:col>
      <xdr:colOff>58316</xdr:colOff>
      <xdr:row>84</xdr:row>
      <xdr:rowOff>9718</xdr:rowOff>
    </xdr:to>
    <xdr:sp macro="" textlink="">
      <xdr:nvSpPr>
        <xdr:cNvPr id="21843" name="Line 34">
          <a:extLst>
            <a:ext uri="{FF2B5EF4-FFF2-40B4-BE49-F238E27FC236}">
              <a16:creationId xmlns="" xmlns:a16="http://schemas.microsoft.com/office/drawing/2014/main" id="{00000000-0008-0000-0000-000053550000}"/>
            </a:ext>
          </a:extLst>
        </xdr:cNvPr>
        <xdr:cNvSpPr>
          <a:spLocks noChangeShapeType="1"/>
        </xdr:cNvSpPr>
      </xdr:nvSpPr>
      <xdr:spPr bwMode="auto">
        <a:xfrm flipV="1">
          <a:off x="7850350" y="18272448"/>
          <a:ext cx="527762" cy="0"/>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447869</xdr:colOff>
      <xdr:row>82</xdr:row>
      <xdr:rowOff>0</xdr:rowOff>
    </xdr:from>
    <xdr:to>
      <xdr:col>5</xdr:col>
      <xdr:colOff>638369</xdr:colOff>
      <xdr:row>82</xdr:row>
      <xdr:rowOff>9525</xdr:rowOff>
    </xdr:to>
    <xdr:sp macro="" textlink="">
      <xdr:nvSpPr>
        <xdr:cNvPr id="21844" name="Line 34">
          <a:extLst>
            <a:ext uri="{FF2B5EF4-FFF2-40B4-BE49-F238E27FC236}">
              <a16:creationId xmlns="" xmlns:a16="http://schemas.microsoft.com/office/drawing/2014/main" id="{00000000-0008-0000-0000-000054550000}"/>
            </a:ext>
          </a:extLst>
        </xdr:cNvPr>
        <xdr:cNvSpPr>
          <a:spLocks noChangeShapeType="1"/>
        </xdr:cNvSpPr>
      </xdr:nvSpPr>
      <xdr:spPr bwMode="auto">
        <a:xfrm>
          <a:off x="7679093" y="17873954"/>
          <a:ext cx="190500" cy="9525"/>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57150</xdr:colOff>
      <xdr:row>70</xdr:row>
      <xdr:rowOff>180975</xdr:rowOff>
    </xdr:from>
    <xdr:to>
      <xdr:col>4</xdr:col>
      <xdr:colOff>847725</xdr:colOff>
      <xdr:row>70</xdr:row>
      <xdr:rowOff>180975</xdr:rowOff>
    </xdr:to>
    <xdr:sp macro="" textlink="">
      <xdr:nvSpPr>
        <xdr:cNvPr id="21845" name="Line 12">
          <a:extLst>
            <a:ext uri="{FF2B5EF4-FFF2-40B4-BE49-F238E27FC236}">
              <a16:creationId xmlns="" xmlns:a16="http://schemas.microsoft.com/office/drawing/2014/main" id="{00000000-0008-0000-0000-000055550000}"/>
            </a:ext>
          </a:extLst>
        </xdr:cNvPr>
        <xdr:cNvSpPr>
          <a:spLocks noChangeShapeType="1"/>
        </xdr:cNvSpPr>
      </xdr:nvSpPr>
      <xdr:spPr bwMode="auto">
        <a:xfrm flipV="1">
          <a:off x="5162550" y="15840075"/>
          <a:ext cx="790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314325</xdr:colOff>
      <xdr:row>73</xdr:row>
      <xdr:rowOff>28575</xdr:rowOff>
    </xdr:from>
    <xdr:to>
      <xdr:col>4</xdr:col>
      <xdr:colOff>876300</xdr:colOff>
      <xdr:row>73</xdr:row>
      <xdr:rowOff>28575</xdr:rowOff>
    </xdr:to>
    <xdr:sp macro="" textlink="">
      <xdr:nvSpPr>
        <xdr:cNvPr id="21846" name="Line 16">
          <a:extLst>
            <a:ext uri="{FF2B5EF4-FFF2-40B4-BE49-F238E27FC236}">
              <a16:creationId xmlns="" xmlns:a16="http://schemas.microsoft.com/office/drawing/2014/main" id="{00000000-0008-0000-0000-000056550000}"/>
            </a:ext>
          </a:extLst>
        </xdr:cNvPr>
        <xdr:cNvSpPr>
          <a:spLocks noChangeShapeType="1"/>
        </xdr:cNvSpPr>
      </xdr:nvSpPr>
      <xdr:spPr bwMode="auto">
        <a:xfrm flipV="1">
          <a:off x="5419725" y="16325850"/>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123825</xdr:colOff>
      <xdr:row>76</xdr:row>
      <xdr:rowOff>171450</xdr:rowOff>
    </xdr:from>
    <xdr:to>
      <xdr:col>4</xdr:col>
      <xdr:colOff>809625</xdr:colOff>
      <xdr:row>76</xdr:row>
      <xdr:rowOff>171450</xdr:rowOff>
    </xdr:to>
    <xdr:sp macro="" textlink="">
      <xdr:nvSpPr>
        <xdr:cNvPr id="21847" name="Line 17">
          <a:extLst>
            <a:ext uri="{FF2B5EF4-FFF2-40B4-BE49-F238E27FC236}">
              <a16:creationId xmlns="" xmlns:a16="http://schemas.microsoft.com/office/drawing/2014/main" id="{00000000-0008-0000-0000-000057550000}"/>
            </a:ext>
          </a:extLst>
        </xdr:cNvPr>
        <xdr:cNvSpPr>
          <a:spLocks noChangeShapeType="1"/>
        </xdr:cNvSpPr>
      </xdr:nvSpPr>
      <xdr:spPr bwMode="auto">
        <a:xfrm>
          <a:off x="5229225" y="1706880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133350</xdr:colOff>
      <xdr:row>70</xdr:row>
      <xdr:rowOff>180975</xdr:rowOff>
    </xdr:from>
    <xdr:to>
      <xdr:col>4</xdr:col>
      <xdr:colOff>142875</xdr:colOff>
      <xdr:row>76</xdr:row>
      <xdr:rowOff>171450</xdr:rowOff>
    </xdr:to>
    <xdr:sp macro="" textlink="">
      <xdr:nvSpPr>
        <xdr:cNvPr id="21848" name="Line 23">
          <a:extLst>
            <a:ext uri="{FF2B5EF4-FFF2-40B4-BE49-F238E27FC236}">
              <a16:creationId xmlns="" xmlns:a16="http://schemas.microsoft.com/office/drawing/2014/main" id="{00000000-0008-0000-0000-000058550000}"/>
            </a:ext>
          </a:extLst>
        </xdr:cNvPr>
        <xdr:cNvSpPr>
          <a:spLocks noChangeShapeType="1"/>
        </xdr:cNvSpPr>
      </xdr:nvSpPr>
      <xdr:spPr bwMode="auto">
        <a:xfrm>
          <a:off x="5238750" y="15840075"/>
          <a:ext cx="9525" cy="1228725"/>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371475</xdr:colOff>
      <xdr:row>70</xdr:row>
      <xdr:rowOff>180975</xdr:rowOff>
    </xdr:from>
    <xdr:to>
      <xdr:col>4</xdr:col>
      <xdr:colOff>371475</xdr:colOff>
      <xdr:row>73</xdr:row>
      <xdr:rowOff>28575</xdr:rowOff>
    </xdr:to>
    <xdr:sp macro="" textlink="">
      <xdr:nvSpPr>
        <xdr:cNvPr id="21849" name="Line 26">
          <a:extLst>
            <a:ext uri="{FF2B5EF4-FFF2-40B4-BE49-F238E27FC236}">
              <a16:creationId xmlns="" xmlns:a16="http://schemas.microsoft.com/office/drawing/2014/main" id="{00000000-0008-0000-0000-000059550000}"/>
            </a:ext>
          </a:extLst>
        </xdr:cNvPr>
        <xdr:cNvSpPr>
          <a:spLocks noChangeShapeType="1"/>
        </xdr:cNvSpPr>
      </xdr:nvSpPr>
      <xdr:spPr bwMode="auto">
        <a:xfrm flipH="1">
          <a:off x="5476875" y="15840075"/>
          <a:ext cx="0" cy="485775"/>
        </a:xfrm>
        <a:prstGeom prst="line">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866775</xdr:colOff>
      <xdr:row>82</xdr:row>
      <xdr:rowOff>190500</xdr:rowOff>
    </xdr:from>
    <xdr:to>
      <xdr:col>4</xdr:col>
      <xdr:colOff>1273240</xdr:colOff>
      <xdr:row>83</xdr:row>
      <xdr:rowOff>0</xdr:rowOff>
    </xdr:to>
    <xdr:sp macro="" textlink="">
      <xdr:nvSpPr>
        <xdr:cNvPr id="21850" name="Line 35">
          <a:extLst>
            <a:ext uri="{FF2B5EF4-FFF2-40B4-BE49-F238E27FC236}">
              <a16:creationId xmlns="" xmlns:a16="http://schemas.microsoft.com/office/drawing/2014/main" id="{00000000-0008-0000-0000-00005A550000}"/>
            </a:ext>
          </a:extLst>
        </xdr:cNvPr>
        <xdr:cNvSpPr>
          <a:spLocks noChangeShapeType="1"/>
        </xdr:cNvSpPr>
      </xdr:nvSpPr>
      <xdr:spPr bwMode="auto">
        <a:xfrm>
          <a:off x="6756724" y="17918663"/>
          <a:ext cx="406465" cy="388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6</xdr:col>
          <xdr:colOff>914400</xdr:colOff>
          <xdr:row>57</xdr:row>
          <xdr:rowOff>180975</xdr:rowOff>
        </xdr:from>
        <xdr:to>
          <xdr:col>8</xdr:col>
          <xdr:colOff>171450</xdr:colOff>
          <xdr:row>60</xdr:row>
          <xdr:rowOff>142875</xdr:rowOff>
        </xdr:to>
        <xdr:sp macro="" textlink="">
          <xdr:nvSpPr>
            <xdr:cNvPr id="16554" name="Object 11434" hidden="1">
              <a:extLst>
                <a:ext uri="{63B3BB69-23CF-44E3-9099-C40C66FF867C}">
                  <a14:compatExt spid="_x0000_s165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126</xdr:row>
          <xdr:rowOff>142875</xdr:rowOff>
        </xdr:from>
        <xdr:to>
          <xdr:col>5</xdr:col>
          <xdr:colOff>581025</xdr:colOff>
          <xdr:row>128</xdr:row>
          <xdr:rowOff>38100</xdr:rowOff>
        </xdr:to>
        <xdr:sp macro="" textlink="">
          <xdr:nvSpPr>
            <xdr:cNvPr id="19148" name="Object 14028" hidden="1">
              <a:extLst>
                <a:ext uri="{63B3BB69-23CF-44E3-9099-C40C66FF867C}">
                  <a14:compatExt spid="_x0000_s19148"/>
                </a:ext>
              </a:extLst>
            </xdr:cNvPr>
            <xdr:cNvSpPr/>
          </xdr:nvSpPr>
          <xdr:spPr>
            <a:xfrm>
              <a:off x="0" y="0"/>
              <a:ext cx="0" cy="0"/>
            </a:xfrm>
            <a:prstGeom prst="rect">
              <a:avLst/>
            </a:prstGeom>
          </xdr:spPr>
        </xdr:sp>
        <xdr:clientData/>
      </xdr:twoCellAnchor>
    </mc:Choice>
    <mc:Fallback/>
  </mc:AlternateContent>
  <xdr:twoCellAnchor>
    <xdr:from>
      <xdr:col>6</xdr:col>
      <xdr:colOff>779350</xdr:colOff>
      <xdr:row>30</xdr:row>
      <xdr:rowOff>140675</xdr:rowOff>
    </xdr:from>
    <xdr:to>
      <xdr:col>6</xdr:col>
      <xdr:colOff>1036260</xdr:colOff>
      <xdr:row>38</xdr:row>
      <xdr:rowOff>181772</xdr:rowOff>
    </xdr:to>
    <xdr:sp macro="" textlink="">
      <xdr:nvSpPr>
        <xdr:cNvPr id="93" name="Rechteck 92">
          <a:extLst>
            <a:ext uri="{FF2B5EF4-FFF2-40B4-BE49-F238E27FC236}">
              <a16:creationId xmlns="" xmlns:a16="http://schemas.microsoft.com/office/drawing/2014/main" id="{00000000-0008-0000-0000-00005D000000}"/>
            </a:ext>
          </a:extLst>
        </xdr:cNvPr>
        <xdr:cNvSpPr/>
      </xdr:nvSpPr>
      <xdr:spPr>
        <a:xfrm rot="18903626">
          <a:off x="9099146" y="7196951"/>
          <a:ext cx="256910" cy="1683673"/>
        </a:xfrm>
        <a:prstGeom prst="rect">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418101</xdr:colOff>
      <xdr:row>28</xdr:row>
      <xdr:rowOff>37096</xdr:rowOff>
    </xdr:from>
    <xdr:to>
      <xdr:col>7</xdr:col>
      <xdr:colOff>716886</xdr:colOff>
      <xdr:row>29</xdr:row>
      <xdr:rowOff>195512</xdr:rowOff>
    </xdr:to>
    <xdr:sp macro="" textlink="">
      <xdr:nvSpPr>
        <xdr:cNvPr id="94" name="Rechteck 93">
          <a:extLst>
            <a:ext uri="{FF2B5EF4-FFF2-40B4-BE49-F238E27FC236}">
              <a16:creationId xmlns="" xmlns:a16="http://schemas.microsoft.com/office/drawing/2014/main" id="{00000000-0008-0000-0000-00005E000000}"/>
            </a:ext>
          </a:extLst>
        </xdr:cNvPr>
        <xdr:cNvSpPr/>
      </xdr:nvSpPr>
      <xdr:spPr>
        <a:xfrm rot="16200000">
          <a:off x="9136985" y="7958387"/>
          <a:ext cx="339391" cy="1413210"/>
        </a:xfrm>
        <a:prstGeom prst="rect">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10026</xdr:colOff>
      <xdr:row>28</xdr:row>
      <xdr:rowOff>40106</xdr:rowOff>
    </xdr:from>
    <xdr:to>
      <xdr:col>6</xdr:col>
      <xdr:colOff>427654</xdr:colOff>
      <xdr:row>37</xdr:row>
      <xdr:rowOff>272143</xdr:rowOff>
    </xdr:to>
    <xdr:sp macro="" textlink="">
      <xdr:nvSpPr>
        <xdr:cNvPr id="95" name="Rechteck 94">
          <a:extLst>
            <a:ext uri="{FF2B5EF4-FFF2-40B4-BE49-F238E27FC236}">
              <a16:creationId xmlns="" xmlns:a16="http://schemas.microsoft.com/office/drawing/2014/main" id="{00000000-0008-0000-0000-00005F000000}"/>
            </a:ext>
          </a:extLst>
        </xdr:cNvPr>
        <xdr:cNvSpPr/>
      </xdr:nvSpPr>
      <xdr:spPr>
        <a:xfrm>
          <a:off x="8192001" y="8498306"/>
          <a:ext cx="417628" cy="2003687"/>
        </a:xfrm>
        <a:prstGeom prst="rect">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311530</xdr:colOff>
      <xdr:row>28</xdr:row>
      <xdr:rowOff>72026</xdr:rowOff>
    </xdr:from>
    <xdr:to>
      <xdr:col>6</xdr:col>
      <xdr:colOff>592267</xdr:colOff>
      <xdr:row>30</xdr:row>
      <xdr:rowOff>184670</xdr:rowOff>
    </xdr:to>
    <xdr:sp macro="" textlink="">
      <xdr:nvSpPr>
        <xdr:cNvPr id="96" name="Bogen 95">
          <a:extLst>
            <a:ext uri="{FF2B5EF4-FFF2-40B4-BE49-F238E27FC236}">
              <a16:creationId xmlns="" xmlns:a16="http://schemas.microsoft.com/office/drawing/2014/main" id="{00000000-0008-0000-0000-000060000000}"/>
            </a:ext>
          </a:extLst>
        </xdr:cNvPr>
        <xdr:cNvSpPr/>
      </xdr:nvSpPr>
      <xdr:spPr>
        <a:xfrm rot="7114114">
          <a:off x="8387052" y="8636679"/>
          <a:ext cx="493644" cy="280737"/>
        </a:xfrm>
        <a:prstGeom prst="arc">
          <a:avLst>
            <a:gd name="adj1" fmla="val 16377890"/>
            <a:gd name="adj2" fmla="val 2023903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de-DE" sz="1100"/>
        </a:p>
      </xdr:txBody>
    </xdr:sp>
    <xdr:clientData/>
  </xdr:twoCellAnchor>
  <xdr:twoCellAnchor>
    <xdr:from>
      <xdr:col>6</xdr:col>
      <xdr:colOff>502776</xdr:colOff>
      <xdr:row>33</xdr:row>
      <xdr:rowOff>138921</xdr:rowOff>
    </xdr:from>
    <xdr:to>
      <xdr:col>6</xdr:col>
      <xdr:colOff>745180</xdr:colOff>
      <xdr:row>37</xdr:row>
      <xdr:rowOff>103114</xdr:rowOff>
    </xdr:to>
    <xdr:sp macro="" textlink="">
      <xdr:nvSpPr>
        <xdr:cNvPr id="97" name="Bogen 96">
          <a:extLst>
            <a:ext uri="{FF2B5EF4-FFF2-40B4-BE49-F238E27FC236}">
              <a16:creationId xmlns="" xmlns:a16="http://schemas.microsoft.com/office/drawing/2014/main" id="{00000000-0008-0000-0000-000061000000}"/>
            </a:ext>
          </a:extLst>
        </xdr:cNvPr>
        <xdr:cNvSpPr/>
      </xdr:nvSpPr>
      <xdr:spPr>
        <a:xfrm rot="7114114">
          <a:off x="8543744" y="7882239"/>
          <a:ext cx="800060" cy="242404"/>
        </a:xfrm>
        <a:prstGeom prst="arc">
          <a:avLst>
            <a:gd name="adj1" fmla="val 12980474"/>
            <a:gd name="adj2" fmla="val 2159775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180975</xdr:colOff>
          <xdr:row>10</xdr:row>
          <xdr:rowOff>142875</xdr:rowOff>
        </xdr:from>
        <xdr:to>
          <xdr:col>4</xdr:col>
          <xdr:colOff>533400</xdr:colOff>
          <xdr:row>12</xdr:row>
          <xdr:rowOff>76200</xdr:rowOff>
        </xdr:to>
        <xdr:sp macro="" textlink="">
          <xdr:nvSpPr>
            <xdr:cNvPr id="23554" name="Object 2" hidden="1">
              <a:extLst>
                <a:ext uri="{63B3BB69-23CF-44E3-9099-C40C66FF867C}">
                  <a14:compatExt spid="_x0000_s23554"/>
                </a:ext>
              </a:extLst>
            </xdr:cNvPr>
            <xdr:cNvSpPr/>
          </xdr:nvSpPr>
          <xdr:spPr>
            <a:xfrm>
              <a:off x="0" y="0"/>
              <a:ext cx="0" cy="0"/>
            </a:xfrm>
            <a:prstGeom prst="rect">
              <a:avLst/>
            </a:prstGeom>
          </xdr:spPr>
        </xdr:sp>
        <xdr:clientData/>
      </xdr:twoCellAnchor>
    </mc:Choice>
    <mc:Fallback/>
  </mc:AlternateContent>
  <xdr:oneCellAnchor>
    <xdr:from>
      <xdr:col>6</xdr:col>
      <xdr:colOff>152011</xdr:colOff>
      <xdr:row>71</xdr:row>
      <xdr:rowOff>123630</xdr:rowOff>
    </xdr:from>
    <xdr:ext cx="5408256" cy="7445827"/>
    <xdr:pic>
      <xdr:nvPicPr>
        <xdr:cNvPr id="3" name="Grafik 4">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40186" y="11801280"/>
          <a:ext cx="5408256" cy="7445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34</xdr:row>
          <xdr:rowOff>9525</xdr:rowOff>
        </xdr:from>
        <xdr:to>
          <xdr:col>5</xdr:col>
          <xdr:colOff>676275</xdr:colOff>
          <xdr:row>35</xdr:row>
          <xdr:rowOff>38100</xdr:rowOff>
        </xdr:to>
        <xdr:sp macro="" textlink="">
          <xdr:nvSpPr>
            <xdr:cNvPr id="3075" name="Object 3" hidden="1">
              <a:extLst>
                <a:ext uri="{63B3BB69-23CF-44E3-9099-C40C66FF867C}">
                  <a14:compatExt spid="_x0000_s3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657225</xdr:colOff>
          <xdr:row>70</xdr:row>
          <xdr:rowOff>95250</xdr:rowOff>
        </xdr:from>
        <xdr:to>
          <xdr:col>11</xdr:col>
          <xdr:colOff>514350</xdr:colOff>
          <xdr:row>79</xdr:row>
          <xdr:rowOff>85725</xdr:rowOff>
        </xdr:to>
        <xdr:sp macro="" textlink="">
          <xdr:nvSpPr>
            <xdr:cNvPr id="3077" name="Object 5" hidden="1">
              <a:extLst>
                <a:ext uri="{63B3BB69-23CF-44E3-9099-C40C66FF867C}">
                  <a14:compatExt spid="_x0000_s3077"/>
                </a:ext>
              </a:extLst>
            </xdr:cNvPr>
            <xdr:cNvSpPr/>
          </xdr:nvSpPr>
          <xdr:spPr>
            <a:xfrm>
              <a:off x="0" y="0"/>
              <a:ext cx="0" cy="0"/>
            </a:xfrm>
            <a:prstGeom prst="rect">
              <a:avLst/>
            </a:prstGeom>
          </xdr:spPr>
        </xdr:sp>
        <xdr:clientData/>
      </xdr:twoCellAnchor>
    </mc:Choice>
    <mc:Fallback/>
  </mc:AlternateContent>
  <xdr:oneCellAnchor>
    <xdr:from>
      <xdr:col>4</xdr:col>
      <xdr:colOff>28575</xdr:colOff>
      <xdr:row>32</xdr:row>
      <xdr:rowOff>33702</xdr:rowOff>
    </xdr:from>
    <xdr:ext cx="1514476" cy="369140"/>
    <mc:AlternateContent xmlns:mc="http://schemas.openxmlformats.org/markup-compatibility/2006" xmlns:a14="http://schemas.microsoft.com/office/drawing/2010/main">
      <mc:Choice Requires="a14">
        <xdr:sp macro="" textlink="">
          <xdr:nvSpPr>
            <xdr:cNvPr id="10" name="Textfeld 9"/>
            <xdr:cNvSpPr txBox="1"/>
          </xdr:nvSpPr>
          <xdr:spPr>
            <a:xfrm>
              <a:off x="4333875" y="7006002"/>
              <a:ext cx="1514476" cy="369140"/>
            </a:xfrm>
            <a:prstGeom prst="rect">
              <a:avLst/>
            </a:prstGeom>
            <a:no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t>f</a:t>
              </a:r>
              <a:r>
                <a:rPr lang="de-DE" sz="1100" baseline="-25000"/>
                <a:t>h,J,k</a:t>
              </a:r>
              <a:r>
                <a:rPr lang="de-DE" sz="1100"/>
                <a:t>=</a:t>
              </a:r>
              <a14:m>
                <m:oMath xmlns:m="http://schemas.openxmlformats.org/officeDocument/2006/math">
                  <m:f>
                    <m:fPr>
                      <m:ctrlPr>
                        <a:rPr lang="de-DE" sz="1100" i="1">
                          <a:latin typeface="Cambria Math"/>
                        </a:rPr>
                      </m:ctrlPr>
                    </m:fPr>
                    <m:num>
                      <m:r>
                        <a:rPr lang="de-DE" sz="1100" b="0" i="1">
                          <a:latin typeface="Cambria Math"/>
                        </a:rPr>
                        <m:t>0,082 </m:t>
                      </m:r>
                      <m:r>
                        <a:rPr lang="de-DE" sz="1100" b="0" i="1">
                          <a:latin typeface="Cambria Math"/>
                          <a:ea typeface="Cambria Math"/>
                        </a:rPr>
                        <m:t>∙</m:t>
                      </m:r>
                      <m:sSub>
                        <m:sSubPr>
                          <m:ctrlPr>
                            <a:rPr lang="de-DE" sz="1100" b="0" i="1">
                              <a:latin typeface="Cambria Math"/>
                              <a:ea typeface="Cambria Math"/>
                            </a:rPr>
                          </m:ctrlPr>
                        </m:sSubPr>
                        <m:e>
                          <m:r>
                            <a:rPr lang="de-DE" sz="1100" b="0" i="1">
                              <a:latin typeface="Cambria Math"/>
                              <a:ea typeface="Cambria Math"/>
                            </a:rPr>
                            <m:t>𝜌</m:t>
                          </m:r>
                        </m:e>
                        <m:sub>
                          <m:r>
                            <a:rPr lang="de-DE" sz="1100" b="0" i="1">
                              <a:latin typeface="Cambria Math"/>
                              <a:ea typeface="Cambria Math"/>
                            </a:rPr>
                            <m:t>𝑘</m:t>
                          </m:r>
                        </m:sub>
                      </m:sSub>
                      <m:r>
                        <a:rPr lang="de-DE" sz="1100" b="0" i="1">
                          <a:latin typeface="Cambria Math"/>
                          <a:ea typeface="Cambria Math"/>
                        </a:rPr>
                        <m:t>∙</m:t>
                      </m:r>
                      <m:sSup>
                        <m:sSupPr>
                          <m:ctrlPr>
                            <a:rPr lang="de-DE" sz="1100" b="0" i="1">
                              <a:latin typeface="Cambria Math"/>
                              <a:ea typeface="Cambria Math"/>
                            </a:rPr>
                          </m:ctrlPr>
                        </m:sSupPr>
                        <m:e>
                          <m:r>
                            <a:rPr lang="de-DE" sz="1100" b="0" i="1">
                              <a:latin typeface="Cambria Math"/>
                              <a:ea typeface="Cambria Math"/>
                            </a:rPr>
                            <m:t>𝑑</m:t>
                          </m:r>
                        </m:e>
                        <m:sup>
                          <m:r>
                            <a:rPr lang="de-DE" sz="1100" b="0" i="1">
                              <a:latin typeface="Cambria Math"/>
                              <a:ea typeface="Cambria Math"/>
                            </a:rPr>
                            <m:t>−0,3</m:t>
                          </m:r>
                        </m:sup>
                      </m:sSup>
                    </m:num>
                    <m:den>
                      <m:r>
                        <a:rPr lang="de-DE" sz="1100" b="0" i="1">
                          <a:latin typeface="Cambria Math"/>
                        </a:rPr>
                        <m:t>2,5</m:t>
                      </m:r>
                      <m:r>
                        <a:rPr lang="de-DE" sz="1100" b="0" i="1">
                          <a:latin typeface="Cambria Math"/>
                          <a:ea typeface="Cambria Math"/>
                        </a:rPr>
                        <m:t>∙</m:t>
                      </m:r>
                      <m:func>
                        <m:funcPr>
                          <m:ctrlPr>
                            <a:rPr lang="de-DE" sz="1100" b="0" i="1">
                              <a:latin typeface="Cambria Math"/>
                              <a:ea typeface="Cambria Math"/>
                            </a:rPr>
                          </m:ctrlPr>
                        </m:funcPr>
                        <m:fName>
                          <m:r>
                            <m:rPr>
                              <m:sty m:val="p"/>
                            </m:rPr>
                            <a:rPr lang="de-DE" sz="1100" b="0" i="0">
                              <a:latin typeface="Cambria Math"/>
                              <a:ea typeface="Cambria Math"/>
                            </a:rPr>
                            <m:t>cos</m:t>
                          </m:r>
                          <m:r>
                            <a:rPr lang="de-DE" sz="1100" b="0" i="1">
                              <a:latin typeface="Cambria Math"/>
                              <a:ea typeface="Cambria Math"/>
                            </a:rPr>
                            <m:t>²</m:t>
                          </m:r>
                        </m:fName>
                        <m:e>
                          <m:r>
                            <a:rPr lang="de-DE" sz="1100" b="0" i="1">
                              <a:latin typeface="Cambria Math"/>
                              <a:ea typeface="Cambria Math"/>
                            </a:rPr>
                            <m:t>𝛼</m:t>
                          </m:r>
                          <m:r>
                            <a:rPr lang="de-DE" sz="1100" b="0" i="1">
                              <a:latin typeface="Cambria Math"/>
                              <a:ea typeface="Cambria Math"/>
                            </a:rPr>
                            <m:t>+</m:t>
                          </m:r>
                          <m:func>
                            <m:funcPr>
                              <m:ctrlPr>
                                <a:rPr lang="de-DE" sz="1100" b="0" i="1">
                                  <a:latin typeface="Cambria Math"/>
                                  <a:ea typeface="Cambria Math"/>
                                </a:rPr>
                              </m:ctrlPr>
                            </m:funcPr>
                            <m:fName>
                              <m:r>
                                <m:rPr>
                                  <m:sty m:val="p"/>
                                </m:rPr>
                                <a:rPr lang="de-DE" sz="1100" b="0" i="0">
                                  <a:latin typeface="Cambria Math"/>
                                  <a:ea typeface="Cambria Math"/>
                                </a:rPr>
                                <m:t>sin</m:t>
                              </m:r>
                              <m:r>
                                <a:rPr lang="de-DE" sz="1100" b="0" i="1">
                                  <a:latin typeface="Cambria Math"/>
                                  <a:ea typeface="Cambria Math"/>
                                </a:rPr>
                                <m:t>²</m:t>
                              </m:r>
                            </m:fName>
                            <m:e>
                              <m:r>
                                <a:rPr lang="de-DE" sz="1100" b="0" i="1">
                                  <a:latin typeface="Cambria Math"/>
                                  <a:ea typeface="Cambria Math"/>
                                </a:rPr>
                                <m:t>𝛼</m:t>
                              </m:r>
                            </m:e>
                          </m:func>
                        </m:e>
                      </m:func>
                    </m:den>
                  </m:f>
                </m:oMath>
              </a14:m>
              <a:endParaRPr lang="de-DE" sz="1100"/>
            </a:p>
          </xdr:txBody>
        </xdr:sp>
      </mc:Choice>
      <mc:Fallback xmlns="">
        <xdr:sp macro="" textlink="">
          <xdr:nvSpPr>
            <xdr:cNvPr id="10" name="Textfeld 9"/>
            <xdr:cNvSpPr txBox="1"/>
          </xdr:nvSpPr>
          <xdr:spPr>
            <a:xfrm>
              <a:off x="4333875" y="7006002"/>
              <a:ext cx="1514476" cy="369140"/>
            </a:xfrm>
            <a:prstGeom prst="rect">
              <a:avLst/>
            </a:prstGeom>
            <a:no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t>f</a:t>
              </a:r>
              <a:r>
                <a:rPr lang="de-DE" sz="1100" baseline="-25000"/>
                <a:t>h,J,k</a:t>
              </a:r>
              <a:r>
                <a:rPr lang="de-DE" sz="1100"/>
                <a:t>=</a:t>
              </a:r>
              <a:r>
                <a:rPr lang="de-DE" sz="1100" i="0">
                  <a:latin typeface="Cambria Math"/>
                </a:rPr>
                <a:t>(</a:t>
              </a:r>
              <a:r>
                <a:rPr lang="de-DE" sz="1100" b="0" i="0">
                  <a:latin typeface="Cambria Math"/>
                </a:rPr>
                <a:t>0,082 </a:t>
              </a:r>
              <a:r>
                <a:rPr lang="de-DE" sz="1100" b="0" i="0">
                  <a:latin typeface="Cambria Math"/>
                  <a:ea typeface="Cambria Math"/>
                </a:rPr>
                <a:t>∙𝜌_𝑘∙𝑑^(−0,3))/(</a:t>
              </a:r>
              <a:r>
                <a:rPr lang="de-DE" sz="1100" b="0" i="0">
                  <a:latin typeface="Cambria Math"/>
                </a:rPr>
                <a:t>2,5</a:t>
              </a:r>
              <a:r>
                <a:rPr lang="de-DE" sz="1100" b="0" i="0">
                  <a:latin typeface="Cambria Math"/>
                  <a:ea typeface="Cambria Math"/>
                </a:rPr>
                <a:t>∙cos²⁡〖𝛼+sin²⁡𝛼 〗 )</a:t>
              </a:r>
              <a:endParaRPr lang="de-DE" sz="1100"/>
            </a:p>
          </xdr:txBody>
        </xdr:sp>
      </mc:Fallback>
    </mc:AlternateContent>
    <xdr:clientData/>
  </xdr:oneCellAnchor>
  <xdr:oneCellAnchor>
    <xdr:from>
      <xdr:col>7</xdr:col>
      <xdr:colOff>808891</xdr:colOff>
      <xdr:row>24</xdr:row>
      <xdr:rowOff>47625</xdr:rowOff>
    </xdr:from>
    <xdr:ext cx="2694844" cy="359386"/>
    <mc:AlternateContent xmlns:mc="http://schemas.openxmlformats.org/markup-compatibility/2006" xmlns:a14="http://schemas.microsoft.com/office/drawing/2010/main">
      <mc:Choice Requires="a14">
        <xdr:sp macro="" textlink="">
          <xdr:nvSpPr>
            <xdr:cNvPr id="11" name="Textfeld 10"/>
            <xdr:cNvSpPr txBox="1"/>
          </xdr:nvSpPr>
          <xdr:spPr>
            <a:xfrm>
              <a:off x="7628791" y="5114925"/>
              <a:ext cx="2694844" cy="359386"/>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14:m>
                <m:oMath xmlns:m="http://schemas.openxmlformats.org/officeDocument/2006/math">
                  <m:r>
                    <m:rPr>
                      <m:nor/>
                    </m:rPr>
                    <a:rPr lang="de-DE" sz="1100" b="0" i="0">
                      <a:latin typeface="Cambria Math"/>
                    </a:rPr>
                    <m:t>F</m:t>
                  </m:r>
                  <m:r>
                    <m:rPr>
                      <m:nor/>
                    </m:rPr>
                    <a:rPr lang="de-DE" sz="1100" b="0" i="0" baseline="-25000">
                      <a:latin typeface="Cambria Math"/>
                    </a:rPr>
                    <m:t>ax</m:t>
                  </m:r>
                  <m:r>
                    <m:rPr>
                      <m:nor/>
                    </m:rPr>
                    <a:rPr lang="de-DE" sz="1100" b="0" i="0" baseline="-25000">
                      <a:latin typeface="Cambria Math"/>
                    </a:rPr>
                    <m:t>,</m:t>
                  </m:r>
                  <m:r>
                    <m:rPr>
                      <m:nor/>
                    </m:rPr>
                    <a:rPr lang="de-DE" sz="1100" b="0" i="0" baseline="-25000">
                      <a:latin typeface="Cambria Math"/>
                    </a:rPr>
                    <m:t>J</m:t>
                  </m:r>
                  <m:r>
                    <m:rPr>
                      <m:nor/>
                    </m:rPr>
                    <a:rPr lang="de-DE" sz="1100" b="0" i="0" baseline="-25000">
                      <a:latin typeface="Cambria Math"/>
                    </a:rPr>
                    <m:t>,</m:t>
                  </m:r>
                  <m:r>
                    <m:rPr>
                      <m:nor/>
                    </m:rPr>
                    <a:rPr lang="de-DE" sz="1100" b="0" i="0" baseline="-25000">
                      <a:latin typeface="Cambria Math"/>
                    </a:rPr>
                    <m:t>H</m:t>
                  </m:r>
                  <m:r>
                    <m:rPr>
                      <m:nor/>
                    </m:rPr>
                    <a:rPr lang="de-DE" sz="1100" b="0" i="0" baseline="-25000">
                      <a:latin typeface="Cambria Math"/>
                    </a:rPr>
                    <m:t>,</m:t>
                  </m:r>
                  <m:r>
                    <m:rPr>
                      <m:nor/>
                    </m:rPr>
                    <a:rPr lang="de-DE" sz="1100" b="0" i="0" baseline="-25000">
                      <a:latin typeface="Cambria Math"/>
                    </a:rPr>
                    <m:t>Rk</m:t>
                  </m:r>
                  <m:r>
                    <m:rPr>
                      <m:nor/>
                    </m:rPr>
                    <a:rPr lang="de-DE" sz="1100" b="0" i="0">
                      <a:latin typeface="Cambria Math"/>
                    </a:rPr>
                    <m:t> =</m:t>
                  </m:r>
                </m:oMath>
              </a14:m>
              <a:r>
                <a:rPr lang="de-DE" sz="1100"/>
                <a:t> </a:t>
              </a:r>
              <a14:m>
                <m:oMath xmlns:m="http://schemas.openxmlformats.org/officeDocument/2006/math">
                  <m:sSub>
                    <m:sSubPr>
                      <m:ctrlPr>
                        <a:rPr lang="de-DE" sz="1100" i="1">
                          <a:latin typeface="Cambria Math"/>
                        </a:rPr>
                      </m:ctrlPr>
                    </m:sSubPr>
                    <m:e>
                      <m:r>
                        <a:rPr lang="de-DE" sz="1100" b="0" i="1">
                          <a:latin typeface="Cambria Math"/>
                        </a:rPr>
                        <m:t>𝑘</m:t>
                      </m:r>
                    </m:e>
                    <m:sub>
                      <m:r>
                        <a:rPr lang="de-DE" sz="1100" b="0" i="1">
                          <a:latin typeface="Cambria Math"/>
                        </a:rPr>
                        <m:t>𝑎𝑥</m:t>
                      </m:r>
                      <m:r>
                        <a:rPr lang="de-DE" sz="1100" b="0" i="1">
                          <a:latin typeface="Cambria Math"/>
                        </a:rPr>
                        <m:t> </m:t>
                      </m:r>
                    </m:sub>
                  </m:sSub>
                  <m:r>
                    <a:rPr lang="de-DE" sz="1100" i="1">
                      <a:latin typeface="Cambria Math"/>
                      <a:ea typeface="Cambria Math"/>
                    </a:rPr>
                    <m:t>∙</m:t>
                  </m:r>
                  <m:r>
                    <a:rPr lang="de-DE" sz="1100" b="0" i="1">
                      <a:latin typeface="Cambria Math"/>
                      <a:ea typeface="Cambria Math"/>
                    </a:rPr>
                    <m:t>0,52 ∙</m:t>
                  </m:r>
                  <m:rad>
                    <m:radPr>
                      <m:degHide m:val="on"/>
                      <m:ctrlPr>
                        <a:rPr lang="de-DE" sz="1100" b="0" i="1">
                          <a:latin typeface="Cambria Math"/>
                          <a:ea typeface="Cambria Math"/>
                        </a:rPr>
                      </m:ctrlPr>
                    </m:radPr>
                    <m:deg/>
                    <m:e>
                      <m:r>
                        <a:rPr lang="de-DE" sz="1100" b="0" i="1">
                          <a:latin typeface="Cambria Math"/>
                          <a:ea typeface="Cambria Math"/>
                        </a:rPr>
                        <m:t>𝑑</m:t>
                      </m:r>
                    </m:e>
                  </m:rad>
                  <m:r>
                    <a:rPr lang="de-DE" sz="1100" b="0" i="1">
                      <a:latin typeface="Cambria Math"/>
                      <a:ea typeface="Cambria Math"/>
                    </a:rPr>
                    <m:t>∙</m:t>
                  </m:r>
                  <m:sSubSup>
                    <m:sSubSupPr>
                      <m:ctrlPr>
                        <a:rPr lang="de-DE" sz="1100" b="0" i="1">
                          <a:latin typeface="Cambria Math"/>
                          <a:ea typeface="Cambria Math"/>
                        </a:rPr>
                      </m:ctrlPr>
                    </m:sSubSupPr>
                    <m:e>
                      <m:r>
                        <a:rPr lang="de-DE" sz="1100" b="0" i="1">
                          <a:latin typeface="Cambria Math"/>
                          <a:ea typeface="Cambria Math"/>
                        </a:rPr>
                        <m:t>𝑙𝑒𝑓</m:t>
                      </m:r>
                    </m:e>
                    <m:sub/>
                    <m:sup>
                      <m:r>
                        <a:rPr lang="de-DE" sz="1100" b="0" i="1">
                          <a:latin typeface="Cambria Math"/>
                          <a:ea typeface="Cambria Math"/>
                        </a:rPr>
                        <m:t>0,9</m:t>
                      </m:r>
                    </m:sup>
                  </m:sSubSup>
                </m:oMath>
              </a14:m>
              <a:r>
                <a:rPr lang="de-DE" sz="1100"/>
                <a:t> </a:t>
              </a:r>
              <a14:m>
                <m:oMath xmlns:m="http://schemas.openxmlformats.org/officeDocument/2006/math">
                  <m:r>
                    <a:rPr lang="de-DE" sz="1100" i="1">
                      <a:latin typeface="Cambria Math"/>
                      <a:ea typeface="Cambria Math"/>
                    </a:rPr>
                    <m:t>∙</m:t>
                  </m:r>
                  <m:r>
                    <a:rPr lang="de-DE" sz="1100" b="0" i="1">
                      <a:latin typeface="Cambria Math"/>
                      <a:ea typeface="Cambria Math"/>
                    </a:rPr>
                    <m:t> </m:t>
                  </m:r>
                  <m:sSup>
                    <m:sSupPr>
                      <m:ctrlPr>
                        <a:rPr lang="de-DE" sz="1100" b="0" i="1">
                          <a:latin typeface="Cambria Math"/>
                          <a:ea typeface="Cambria Math"/>
                        </a:rPr>
                      </m:ctrlPr>
                    </m:sSupPr>
                    <m:e>
                      <m:r>
                        <a:rPr lang="de-DE" sz="1100" b="0" i="1">
                          <a:latin typeface="Cambria Math"/>
                          <a:ea typeface="Cambria Math"/>
                        </a:rPr>
                        <m:t>𝜌</m:t>
                      </m:r>
                      <m:r>
                        <a:rPr lang="de-DE" sz="1100" b="0" i="1">
                          <a:latin typeface="Cambria Math"/>
                          <a:ea typeface="Cambria Math"/>
                        </a:rPr>
                        <m:t>𝑘</m:t>
                      </m:r>
                    </m:e>
                    <m:sup>
                      <m:r>
                        <a:rPr lang="de-DE" sz="1100" b="0" i="1">
                          <a:latin typeface="Cambria Math"/>
                          <a:ea typeface="Cambria Math"/>
                        </a:rPr>
                        <m:t>0,8</m:t>
                      </m:r>
                    </m:sup>
                  </m:sSup>
                </m:oMath>
              </a14:m>
              <a:r>
                <a:rPr lang="de-DE" sz="1100"/>
                <a:t> </a:t>
              </a:r>
            </a:p>
          </xdr:txBody>
        </xdr:sp>
      </mc:Choice>
      <mc:Fallback xmlns="">
        <xdr:sp macro="" textlink="">
          <xdr:nvSpPr>
            <xdr:cNvPr id="11" name="Textfeld 10"/>
            <xdr:cNvSpPr txBox="1"/>
          </xdr:nvSpPr>
          <xdr:spPr>
            <a:xfrm>
              <a:off x="7628791" y="5114925"/>
              <a:ext cx="2694844" cy="359386"/>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1100" b="0" i="0">
                  <a:latin typeface="Cambria Math"/>
                </a:rPr>
                <a:t>"F</a:t>
              </a:r>
              <a:r>
                <a:rPr lang="de-DE" sz="1100" b="0" i="0" baseline="-25000">
                  <a:latin typeface="Cambria Math"/>
                </a:rPr>
                <a:t>ax,J,H,Rk</a:t>
              </a:r>
              <a:r>
                <a:rPr lang="de-DE" sz="1100" b="0" i="0">
                  <a:latin typeface="Cambria Math"/>
                </a:rPr>
                <a:t> ="</a:t>
              </a:r>
              <a:r>
                <a:rPr lang="de-DE" sz="1100"/>
                <a:t> </a:t>
              </a:r>
              <a:r>
                <a:rPr lang="de-DE" sz="1100" b="0" i="0">
                  <a:latin typeface="Cambria Math"/>
                </a:rPr>
                <a:t>𝑘_(𝑎𝑥 )</a:t>
              </a:r>
              <a:r>
                <a:rPr lang="de-DE" sz="1100" i="0">
                  <a:latin typeface="Cambria Math"/>
                  <a:ea typeface="Cambria Math"/>
                </a:rPr>
                <a:t>∙</a:t>
              </a:r>
              <a:r>
                <a:rPr lang="de-DE" sz="1100" b="0" i="0">
                  <a:latin typeface="Cambria Math"/>
                  <a:ea typeface="Cambria Math"/>
                </a:rPr>
                <a:t>0,52 ∙√𝑑∙〖𝑙𝑒𝑓〗_^0,9</a:t>
              </a:r>
              <a:r>
                <a:rPr lang="de-DE" sz="1100"/>
                <a:t> </a:t>
              </a:r>
              <a:r>
                <a:rPr lang="de-DE" sz="1100" i="0">
                  <a:latin typeface="Cambria Math"/>
                  <a:ea typeface="Cambria Math"/>
                </a:rPr>
                <a:t>∙</a:t>
              </a:r>
              <a:r>
                <a:rPr lang="de-DE" sz="1100" b="0" i="0">
                  <a:latin typeface="Cambria Math"/>
                  <a:ea typeface="Cambria Math"/>
                </a:rPr>
                <a:t> 〖𝜌𝑘〗^0,8</a:t>
              </a:r>
              <a:r>
                <a:rPr lang="de-DE" sz="1100"/>
                <a:t> </a:t>
              </a:r>
            </a:p>
          </xdr:txBody>
        </xdr:sp>
      </mc:Fallback>
    </mc:AlternateContent>
    <xdr:clientData/>
  </xdr:oneCellAnchor>
  <xdr:oneCellAnchor>
    <xdr:from>
      <xdr:col>7</xdr:col>
      <xdr:colOff>789841</xdr:colOff>
      <xdr:row>25</xdr:row>
      <xdr:rowOff>198927</xdr:rowOff>
    </xdr:from>
    <xdr:ext cx="2296259" cy="332783"/>
    <mc:AlternateContent xmlns:mc="http://schemas.openxmlformats.org/markup-compatibility/2006" xmlns:a14="http://schemas.microsoft.com/office/drawing/2010/main">
      <mc:Choice Requires="a14">
        <xdr:sp macro="" textlink="">
          <xdr:nvSpPr>
            <xdr:cNvPr id="12" name="Textfeld 11"/>
            <xdr:cNvSpPr txBox="1"/>
          </xdr:nvSpPr>
          <xdr:spPr>
            <a:xfrm>
              <a:off x="7609741" y="5504352"/>
              <a:ext cx="2296259" cy="332783"/>
            </a:xfrm>
            <a:prstGeom prst="rect">
              <a:avLst/>
            </a:prstGeom>
            <a:noFill/>
            <a:ln w="31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de-DE" sz="1100" b="0" i="1">
                      <a:latin typeface="Cambria Math"/>
                    </a:rPr>
                    <m:t>𝑘</m:t>
                  </m:r>
                  <m:r>
                    <a:rPr lang="de-DE" sz="1100" b="0" i="1" baseline="-25000">
                      <a:latin typeface="Cambria Math"/>
                    </a:rPr>
                    <m:t>𝑎𝑥</m:t>
                  </m:r>
                  <m:r>
                    <a:rPr lang="de-DE" sz="1100" b="0" i="1">
                      <a:latin typeface="Cambria Math"/>
                    </a:rPr>
                    <m:t>=0,3+</m:t>
                  </m:r>
                  <m:f>
                    <m:fPr>
                      <m:ctrlPr>
                        <a:rPr lang="de-DE" sz="1100" b="0" i="1">
                          <a:latin typeface="Cambria Math"/>
                        </a:rPr>
                      </m:ctrlPr>
                    </m:fPr>
                    <m:num>
                      <m:r>
                        <a:rPr lang="de-DE" sz="1100" b="0" i="1">
                          <a:latin typeface="Cambria Math"/>
                        </a:rPr>
                        <m:t>0,7</m:t>
                      </m:r>
                      <m:r>
                        <a:rPr lang="de-DE" sz="1100" b="0" i="1">
                          <a:latin typeface="Cambria Math"/>
                          <a:ea typeface="Cambria Math"/>
                        </a:rPr>
                        <m:t>∙</m:t>
                      </m:r>
                      <m:r>
                        <a:rPr lang="de-DE" sz="1100" b="0" i="1">
                          <a:latin typeface="Cambria Math"/>
                          <a:ea typeface="Cambria Math"/>
                        </a:rPr>
                        <m:t>𝛼</m:t>
                      </m:r>
                    </m:num>
                    <m:den>
                      <m:r>
                        <a:rPr lang="de-DE" sz="1100" b="0" i="1">
                          <a:latin typeface="Cambria Math"/>
                        </a:rPr>
                        <m:t>45° </m:t>
                      </m:r>
                    </m:den>
                  </m:f>
                </m:oMath>
              </a14:m>
              <a:r>
                <a:rPr lang="de-DE" sz="1100"/>
                <a:t> for </a:t>
              </a:r>
              <a14:m>
                <m:oMath xmlns:m="http://schemas.openxmlformats.org/officeDocument/2006/math">
                  <m:r>
                    <a:rPr lang="de-DE" sz="1100" b="0" i="0">
                      <a:latin typeface="Cambria Math"/>
                      <a:ea typeface="Cambria Math"/>
                    </a:rPr>
                    <m:t>0°</m:t>
                  </m:r>
                  <m:r>
                    <a:rPr lang="de-DE" sz="1100" b="0" i="1">
                      <a:latin typeface="Cambria Math"/>
                      <a:ea typeface="Cambria Math"/>
                    </a:rPr>
                    <m:t>≤</m:t>
                  </m:r>
                  <m:r>
                    <a:rPr lang="de-DE" sz="1100" i="1">
                      <a:latin typeface="Cambria Math"/>
                      <a:ea typeface="Cambria Math"/>
                    </a:rPr>
                    <m:t>𝛼</m:t>
                  </m:r>
                  <m:r>
                    <a:rPr lang="de-DE" sz="1100" i="1">
                      <a:latin typeface="Cambria Math"/>
                      <a:ea typeface="Cambria Math"/>
                    </a:rPr>
                    <m:t>≤45°</m:t>
                  </m:r>
                </m:oMath>
              </a14:m>
              <a:endParaRPr lang="de-DE" sz="1100"/>
            </a:p>
          </xdr:txBody>
        </xdr:sp>
      </mc:Choice>
      <mc:Fallback xmlns="">
        <xdr:sp macro="" textlink="">
          <xdr:nvSpPr>
            <xdr:cNvPr id="12" name="Textfeld 11"/>
            <xdr:cNvSpPr txBox="1"/>
          </xdr:nvSpPr>
          <xdr:spPr>
            <a:xfrm>
              <a:off x="7609741" y="5504352"/>
              <a:ext cx="2296259" cy="332783"/>
            </a:xfrm>
            <a:prstGeom prst="rect">
              <a:avLst/>
            </a:prstGeom>
            <a:noFill/>
            <a:ln w="31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b="0" i="0">
                  <a:latin typeface="Cambria Math"/>
                </a:rPr>
                <a:t>𝑘</a:t>
              </a:r>
              <a:r>
                <a:rPr lang="de-DE" sz="1100" b="0" i="0" baseline="-25000">
                  <a:latin typeface="Cambria Math"/>
                </a:rPr>
                <a:t>𝑎𝑥</a:t>
              </a:r>
              <a:r>
                <a:rPr lang="de-DE" sz="1100" b="0" i="0">
                  <a:latin typeface="Cambria Math"/>
                </a:rPr>
                <a:t>=0,3+(0,7</a:t>
              </a:r>
              <a:r>
                <a:rPr lang="de-DE" sz="1100" b="0" i="0">
                  <a:latin typeface="Cambria Math"/>
                  <a:ea typeface="Cambria Math"/>
                </a:rPr>
                <a:t>∙𝛼)/(</a:t>
              </a:r>
              <a:r>
                <a:rPr lang="de-DE" sz="1100" b="0" i="0">
                  <a:latin typeface="Cambria Math"/>
                </a:rPr>
                <a:t>45° )</a:t>
              </a:r>
              <a:r>
                <a:rPr lang="de-DE" sz="1100"/>
                <a:t> for </a:t>
              </a:r>
              <a:r>
                <a:rPr lang="de-DE" sz="1100" b="0" i="0">
                  <a:latin typeface="Cambria Math"/>
                  <a:ea typeface="Cambria Math"/>
                </a:rPr>
                <a:t>0°≤</a:t>
              </a:r>
              <a:r>
                <a:rPr lang="de-DE" sz="1100" i="0">
                  <a:latin typeface="Cambria Math"/>
                  <a:ea typeface="Cambria Math"/>
                </a:rPr>
                <a:t>𝛼≤</a:t>
              </a:r>
              <a:r>
                <a:rPr lang="de-DE" sz="1100" b="0" i="0">
                  <a:latin typeface="Cambria Math"/>
                  <a:ea typeface="Cambria Math"/>
                </a:rPr>
                <a:t>45°</a:t>
              </a:r>
              <a:endParaRPr lang="de-DE" sz="1100"/>
            </a:p>
          </xdr:txBody>
        </xdr:sp>
      </mc:Fallback>
    </mc:AlternateContent>
    <xdr:clientData/>
  </xdr:oneCellAnchor>
  <xdr:oneCellAnchor>
    <xdr:from>
      <xdr:col>7</xdr:col>
      <xdr:colOff>788375</xdr:colOff>
      <xdr:row>27</xdr:row>
      <xdr:rowOff>45062</xdr:rowOff>
    </xdr:from>
    <xdr:ext cx="2296259" cy="264560"/>
    <mc:AlternateContent xmlns:mc="http://schemas.openxmlformats.org/markup-compatibility/2006" xmlns:a14="http://schemas.microsoft.com/office/drawing/2010/main">
      <mc:Choice Requires="a14">
        <xdr:sp macro="" textlink="">
          <xdr:nvSpPr>
            <xdr:cNvPr id="13" name="Textfeld 12"/>
            <xdr:cNvSpPr txBox="1"/>
          </xdr:nvSpPr>
          <xdr:spPr>
            <a:xfrm>
              <a:off x="7608275" y="5883887"/>
              <a:ext cx="2296259" cy="264560"/>
            </a:xfrm>
            <a:prstGeom prst="rect">
              <a:avLst/>
            </a:prstGeom>
            <a:noFill/>
            <a:ln w="31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de-DE" sz="1100" b="0" i="1">
                      <a:latin typeface="Cambria Math"/>
                    </a:rPr>
                    <m:t>𝑘</m:t>
                  </m:r>
                  <m:r>
                    <a:rPr lang="de-DE" sz="1100" b="0" i="1" baseline="-25000">
                      <a:latin typeface="Cambria Math"/>
                    </a:rPr>
                    <m:t>𝑎𝑥</m:t>
                  </m:r>
                  <m:r>
                    <a:rPr lang="de-DE" sz="1100" b="0" i="1">
                      <a:latin typeface="Cambria Math"/>
                    </a:rPr>
                    <m:t>=1,0 </m:t>
                  </m:r>
                </m:oMath>
              </a14:m>
              <a:r>
                <a:rPr lang="de-DE" sz="1100"/>
                <a:t>for </a:t>
              </a:r>
              <a14:m>
                <m:oMath xmlns:m="http://schemas.openxmlformats.org/officeDocument/2006/math">
                  <m:r>
                    <a:rPr lang="de-DE" sz="1100" b="0" i="0">
                      <a:latin typeface="Cambria Math"/>
                      <a:ea typeface="Cambria Math"/>
                    </a:rPr>
                    <m:t>45°</m:t>
                  </m:r>
                  <m:r>
                    <a:rPr lang="de-DE" sz="1100" b="0" i="1">
                      <a:latin typeface="Cambria Math"/>
                      <a:ea typeface="Cambria Math"/>
                    </a:rPr>
                    <m:t>≤</m:t>
                  </m:r>
                  <m:r>
                    <a:rPr lang="de-DE" sz="1100" i="1">
                      <a:latin typeface="Cambria Math"/>
                      <a:ea typeface="Cambria Math"/>
                    </a:rPr>
                    <m:t>𝛼</m:t>
                  </m:r>
                  <m:r>
                    <a:rPr lang="de-DE" sz="1100" i="1">
                      <a:latin typeface="Cambria Math"/>
                      <a:ea typeface="Cambria Math"/>
                    </a:rPr>
                    <m:t>≤90°</m:t>
                  </m:r>
                </m:oMath>
              </a14:m>
              <a:endParaRPr lang="de-DE" sz="1100"/>
            </a:p>
          </xdr:txBody>
        </xdr:sp>
      </mc:Choice>
      <mc:Fallback xmlns="">
        <xdr:sp macro="" textlink="">
          <xdr:nvSpPr>
            <xdr:cNvPr id="13" name="Textfeld 12"/>
            <xdr:cNvSpPr txBox="1"/>
          </xdr:nvSpPr>
          <xdr:spPr>
            <a:xfrm>
              <a:off x="7608275" y="5883887"/>
              <a:ext cx="2296259" cy="264560"/>
            </a:xfrm>
            <a:prstGeom prst="rect">
              <a:avLst/>
            </a:prstGeom>
            <a:noFill/>
            <a:ln w="31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b="0" i="0">
                  <a:latin typeface="Cambria Math"/>
                </a:rPr>
                <a:t>𝑘</a:t>
              </a:r>
              <a:r>
                <a:rPr lang="de-DE" sz="1100" b="0" i="0" baseline="-25000">
                  <a:latin typeface="Cambria Math"/>
                </a:rPr>
                <a:t>𝑎𝑥</a:t>
              </a:r>
              <a:r>
                <a:rPr lang="de-DE" sz="1100" b="0" i="0">
                  <a:latin typeface="Cambria Math"/>
                </a:rPr>
                <a:t>=1,0 </a:t>
              </a:r>
              <a:r>
                <a:rPr lang="de-DE" sz="1100"/>
                <a:t>for </a:t>
              </a:r>
              <a:r>
                <a:rPr lang="de-DE" sz="1100" b="0" i="0">
                  <a:latin typeface="Cambria Math"/>
                  <a:ea typeface="Cambria Math"/>
                </a:rPr>
                <a:t>45°≤</a:t>
              </a:r>
              <a:r>
                <a:rPr lang="de-DE" sz="1100" i="0">
                  <a:latin typeface="Cambria Math"/>
                  <a:ea typeface="Cambria Math"/>
                </a:rPr>
                <a:t>𝛼≤</a:t>
              </a:r>
              <a:r>
                <a:rPr lang="de-DE" sz="1100" b="0" i="0">
                  <a:latin typeface="Cambria Math"/>
                  <a:ea typeface="Cambria Math"/>
                </a:rPr>
                <a:t>90°</a:t>
              </a:r>
              <a:endParaRPr lang="de-DE" sz="1100"/>
            </a:p>
          </xdr:txBody>
        </xdr:sp>
      </mc:Fallback>
    </mc:AlternateContent>
    <xdr:clientData/>
  </xdr:oneCellAnchor>
  <xdr:oneCellAnchor>
    <xdr:from>
      <xdr:col>7</xdr:col>
      <xdr:colOff>785446</xdr:colOff>
      <xdr:row>28</xdr:row>
      <xdr:rowOff>146906</xdr:rowOff>
    </xdr:from>
    <xdr:ext cx="2461848" cy="286810"/>
    <mc:AlternateContent xmlns:mc="http://schemas.openxmlformats.org/markup-compatibility/2006" xmlns:a14="http://schemas.microsoft.com/office/drawing/2010/main">
      <mc:Choice Requires="a14">
        <xdr:sp macro="" textlink="">
          <xdr:nvSpPr>
            <xdr:cNvPr id="14" name="Textfeld 13"/>
            <xdr:cNvSpPr txBox="1"/>
          </xdr:nvSpPr>
          <xdr:spPr>
            <a:xfrm>
              <a:off x="7605346" y="6185756"/>
              <a:ext cx="2461848" cy="28681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t>F</a:t>
              </a:r>
              <a:r>
                <a:rPr lang="de-DE" sz="1100" baseline="-25000"/>
                <a:t>1,Rd</a:t>
              </a:r>
              <a:r>
                <a:rPr lang="de-DE" sz="1100"/>
                <a:t> =</a:t>
              </a:r>
              <a14:m>
                <m:oMath xmlns:m="http://schemas.openxmlformats.org/officeDocument/2006/math">
                  <m:sSub>
                    <m:sSubPr>
                      <m:ctrlPr>
                        <a:rPr lang="de-DE" sz="1100" i="1">
                          <a:latin typeface="Cambria Math"/>
                        </a:rPr>
                      </m:ctrlPr>
                    </m:sSubPr>
                    <m:e>
                      <m:r>
                        <a:rPr lang="de-DE" sz="1100" b="0" i="1">
                          <a:latin typeface="Cambria Math"/>
                        </a:rPr>
                        <m:t> </m:t>
                      </m:r>
                      <m:r>
                        <a:rPr lang="de-DE" sz="1100" b="0" i="1">
                          <a:latin typeface="Cambria Math"/>
                        </a:rPr>
                        <m:t>𝑛</m:t>
                      </m:r>
                    </m:e>
                    <m:sub>
                      <m:r>
                        <a:rPr lang="de-DE" sz="1100" b="0" i="1">
                          <a:latin typeface="Cambria Math"/>
                        </a:rPr>
                        <m:t>𝑒𝑓</m:t>
                      </m:r>
                    </m:sub>
                  </m:sSub>
                  <m:r>
                    <a:rPr lang="de-DE" sz="1100" i="1">
                      <a:latin typeface="Cambria Math"/>
                      <a:ea typeface="Cambria Math"/>
                    </a:rPr>
                    <m:t>∙</m:t>
                  </m:r>
                  <m:r>
                    <a:rPr lang="de-DE" sz="1100" b="0" i="1">
                      <a:latin typeface="Cambria Math"/>
                      <a:ea typeface="Cambria Math"/>
                    </a:rPr>
                    <m:t>𝑚𝑖𝑛</m:t>
                  </m:r>
                  <m:d>
                    <m:dPr>
                      <m:begChr m:val="{"/>
                      <m:endChr m:val="}"/>
                      <m:ctrlPr>
                        <a:rPr lang="de-DE" sz="1100" b="0" i="1">
                          <a:latin typeface="Cambria Math"/>
                          <a:ea typeface="Cambria Math"/>
                        </a:rPr>
                      </m:ctrlPr>
                    </m:dPr>
                    <m:e>
                      <m:sSub>
                        <m:sSubPr>
                          <m:ctrlPr>
                            <a:rPr lang="de-DE" sz="1100" b="0" i="1">
                              <a:latin typeface="Cambria Math"/>
                              <a:ea typeface="Cambria Math"/>
                            </a:rPr>
                          </m:ctrlPr>
                        </m:sSubPr>
                        <m:e>
                          <m:r>
                            <a:rPr lang="de-DE" sz="1100" b="0" i="1">
                              <a:latin typeface="Cambria Math"/>
                              <a:ea typeface="Cambria Math"/>
                            </a:rPr>
                            <m:t>𝐹</m:t>
                          </m:r>
                        </m:e>
                        <m:sub>
                          <m:r>
                            <a:rPr lang="de-DE" sz="1100" b="0" i="1">
                              <a:latin typeface="Cambria Math"/>
                              <a:ea typeface="Cambria Math"/>
                            </a:rPr>
                            <m:t>𝑎𝑥</m:t>
                          </m:r>
                          <m:r>
                            <a:rPr lang="de-DE" sz="1100" b="0" i="1">
                              <a:latin typeface="Cambria Math"/>
                              <a:ea typeface="Cambria Math"/>
                            </a:rPr>
                            <m:t>,</m:t>
                          </m:r>
                          <m:r>
                            <a:rPr lang="de-DE" sz="1100" b="0" i="1">
                              <a:latin typeface="Cambria Math"/>
                              <a:ea typeface="Cambria Math"/>
                            </a:rPr>
                            <m:t>𝑅𝑑</m:t>
                          </m:r>
                        </m:sub>
                      </m:sSub>
                      <m:r>
                        <a:rPr lang="de-DE" sz="1100" b="0" i="1">
                          <a:latin typeface="Cambria Math"/>
                          <a:ea typeface="Cambria Math"/>
                        </a:rPr>
                        <m:t>;</m:t>
                      </m:r>
                      <m:sSub>
                        <m:sSubPr>
                          <m:ctrlPr>
                            <a:rPr lang="de-DE" sz="1100" b="0" i="1">
                              <a:latin typeface="Cambria Math"/>
                              <a:ea typeface="Cambria Math"/>
                            </a:rPr>
                          </m:ctrlPr>
                        </m:sSubPr>
                        <m:e>
                          <m:r>
                            <a:rPr lang="de-DE" sz="1100" b="0" i="1">
                              <a:latin typeface="Cambria Math"/>
                              <a:ea typeface="Cambria Math"/>
                            </a:rPr>
                            <m:t>𝐹</m:t>
                          </m:r>
                        </m:e>
                        <m:sub>
                          <m:r>
                            <a:rPr lang="de-DE" sz="1100" b="0" i="1">
                              <a:latin typeface="Cambria Math"/>
                              <a:ea typeface="Cambria Math"/>
                            </a:rPr>
                            <m:t>𝑡</m:t>
                          </m:r>
                          <m:r>
                            <a:rPr lang="de-DE" sz="1100" b="0" i="1">
                              <a:latin typeface="Cambria Math"/>
                              <a:ea typeface="Cambria Math"/>
                            </a:rPr>
                            <m:t>,</m:t>
                          </m:r>
                          <m:r>
                            <a:rPr lang="de-DE" sz="1100" b="0" i="1">
                              <a:latin typeface="Cambria Math"/>
                              <a:ea typeface="Cambria Math"/>
                            </a:rPr>
                            <m:t>𝑅𝑑</m:t>
                          </m:r>
                        </m:sub>
                      </m:sSub>
                      <m:r>
                        <a:rPr lang="de-DE" sz="1100" b="0" i="1">
                          <a:latin typeface="Cambria Math"/>
                          <a:ea typeface="Cambria Math"/>
                        </a:rPr>
                        <m:t>;</m:t>
                      </m:r>
                      <m:sSub>
                        <m:sSubPr>
                          <m:ctrlPr>
                            <a:rPr lang="de-DE" sz="1100" b="0" i="1">
                              <a:latin typeface="Cambria Math"/>
                              <a:ea typeface="Cambria Math"/>
                            </a:rPr>
                          </m:ctrlPr>
                        </m:sSubPr>
                        <m:e>
                          <m:r>
                            <a:rPr lang="de-DE" sz="1100" b="0" i="1">
                              <a:latin typeface="Cambria Math"/>
                              <a:ea typeface="Cambria Math"/>
                            </a:rPr>
                            <m:t>𝐹</m:t>
                          </m:r>
                        </m:e>
                        <m:sub>
                          <m:r>
                            <a:rPr lang="de-DE" sz="1100" b="0" i="1">
                              <a:latin typeface="Cambria Math"/>
                              <a:ea typeface="Cambria Math"/>
                            </a:rPr>
                            <m:t>1,</m:t>
                          </m:r>
                          <m:r>
                            <a:rPr lang="de-DE" sz="1100" b="0" i="1">
                              <a:latin typeface="Cambria Math"/>
                              <a:ea typeface="Cambria Math"/>
                            </a:rPr>
                            <m:t>𝐾𝐶𝐶</m:t>
                          </m:r>
                          <m:r>
                            <a:rPr lang="de-DE" sz="1100" b="0" i="1">
                              <a:latin typeface="Cambria Math"/>
                              <a:ea typeface="Cambria Math"/>
                            </a:rPr>
                            <m:t>,</m:t>
                          </m:r>
                          <m:r>
                            <a:rPr lang="de-DE" sz="1100" b="0" i="1">
                              <a:latin typeface="Cambria Math"/>
                              <a:ea typeface="Cambria Math"/>
                            </a:rPr>
                            <m:t>𝑅𝑑</m:t>
                          </m:r>
                        </m:sub>
                      </m:sSub>
                    </m:e>
                  </m:d>
                </m:oMath>
              </a14:m>
              <a:endParaRPr lang="de-DE" sz="1100"/>
            </a:p>
          </xdr:txBody>
        </xdr:sp>
      </mc:Choice>
      <mc:Fallback xmlns="">
        <xdr:sp macro="" textlink="">
          <xdr:nvSpPr>
            <xdr:cNvPr id="14" name="Textfeld 13"/>
            <xdr:cNvSpPr txBox="1"/>
          </xdr:nvSpPr>
          <xdr:spPr>
            <a:xfrm>
              <a:off x="7605346" y="6185756"/>
              <a:ext cx="2461848" cy="28681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t>F</a:t>
              </a:r>
              <a:r>
                <a:rPr lang="de-DE" sz="1100" baseline="-25000"/>
                <a:t>1,Rd</a:t>
              </a:r>
              <a:r>
                <a:rPr lang="de-DE" sz="1100"/>
                <a:t> =</a:t>
              </a:r>
              <a:r>
                <a:rPr lang="de-DE" sz="1100" i="0">
                  <a:latin typeface="Cambria Math"/>
                </a:rPr>
                <a:t>〖</a:t>
              </a:r>
              <a:r>
                <a:rPr lang="de-DE" sz="1100" b="0" i="0">
                  <a:latin typeface="Cambria Math"/>
                </a:rPr>
                <a:t> 𝑛〗_𝑒𝑓</a:t>
              </a:r>
              <a:r>
                <a:rPr lang="de-DE" sz="1100" i="0">
                  <a:latin typeface="Cambria Math"/>
                  <a:ea typeface="Cambria Math"/>
                </a:rPr>
                <a:t>∙</a:t>
              </a:r>
              <a:r>
                <a:rPr lang="de-DE" sz="1100" b="0" i="0">
                  <a:latin typeface="Cambria Math"/>
                  <a:ea typeface="Cambria Math"/>
                </a:rPr>
                <a:t>𝑚𝑖𝑛{𝐹_(𝑎𝑥,𝑅𝑑);𝐹_(𝑡,𝑅𝑑);𝐹_(1,𝐾𝐶𝐶,𝑅𝑑) }</a:t>
              </a:r>
              <a:endParaRPr lang="de-DE" sz="1100"/>
            </a:p>
          </xdr:txBody>
        </xdr:sp>
      </mc:Fallback>
    </mc:AlternateContent>
    <xdr:clientData/>
  </xdr:oneCellAnchor>
  <xdr:oneCellAnchor>
    <xdr:from>
      <xdr:col>5</xdr:col>
      <xdr:colOff>200025</xdr:colOff>
      <xdr:row>160</xdr:row>
      <xdr:rowOff>66675</xdr:rowOff>
    </xdr:from>
    <xdr:ext cx="4341350" cy="1832897"/>
    <mc:AlternateContent xmlns:mc="http://schemas.openxmlformats.org/markup-compatibility/2006" xmlns:a14="http://schemas.microsoft.com/office/drawing/2010/main">
      <mc:Choice Requires="a14">
        <xdr:sp macro="" textlink="">
          <xdr:nvSpPr>
            <xdr:cNvPr id="16" name="Textfeld 15"/>
            <xdr:cNvSpPr txBox="1"/>
          </xdr:nvSpPr>
          <xdr:spPr>
            <a:xfrm>
              <a:off x="5343525" y="33270825"/>
              <a:ext cx="4341350" cy="1832897"/>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14:m>
                <m:oMathPara xmlns:m="http://schemas.openxmlformats.org/officeDocument/2006/math">
                  <m:oMathParaPr>
                    <m:jc m:val="left"/>
                  </m:oMathParaPr>
                  <m:oMath xmlns:m="http://schemas.openxmlformats.org/officeDocument/2006/math">
                    <m:sSub>
                      <m:sSubPr>
                        <m:ctrlPr>
                          <a:rPr lang="de-DE" sz="1100" b="0" i="1">
                            <a:latin typeface="Cambria Math"/>
                          </a:rPr>
                        </m:ctrlPr>
                      </m:sSubPr>
                      <m:e>
                        <m:r>
                          <a:rPr lang="de-DE" sz="1100" b="0" i="1">
                            <a:latin typeface="Cambria Math"/>
                          </a:rPr>
                          <m:t>𝐹</m:t>
                        </m:r>
                      </m:e>
                      <m:sub>
                        <m:r>
                          <a:rPr lang="de-DE" sz="1100" b="0" i="1">
                            <a:latin typeface="Cambria Math"/>
                          </a:rPr>
                          <m:t>45,</m:t>
                        </m:r>
                        <m:r>
                          <a:rPr lang="de-DE" sz="1100" b="0" i="1">
                            <a:latin typeface="Cambria Math"/>
                          </a:rPr>
                          <m:t>𝑅𝑑</m:t>
                        </m:r>
                      </m:sub>
                    </m:sSub>
                    <m:r>
                      <a:rPr lang="de-DE" sz="1100" i="1">
                        <a:latin typeface="Cambria Math"/>
                      </a:rPr>
                      <m:t>=</m:t>
                    </m:r>
                    <m:func>
                      <m:funcPr>
                        <m:ctrlPr>
                          <a:rPr lang="de-DE" sz="1100" b="0" i="1">
                            <a:latin typeface="Cambria Math"/>
                          </a:rPr>
                        </m:ctrlPr>
                      </m:funcPr>
                      <m:fName>
                        <m:r>
                          <m:rPr>
                            <m:sty m:val="p"/>
                          </m:rPr>
                          <a:rPr lang="de-DE" sz="1100" b="0" i="1">
                            <a:latin typeface="Cambria Math"/>
                          </a:rPr>
                          <m:t>min</m:t>
                        </m:r>
                      </m:fName>
                      <m:e>
                        <m:d>
                          <m:dPr>
                            <m:begChr m:val="{"/>
                            <m:endChr m:val=""/>
                            <m:ctrlPr>
                              <a:rPr lang="de-DE" sz="1100" b="0" i="1">
                                <a:latin typeface="Cambria Math"/>
                              </a:rPr>
                            </m:ctrlPr>
                          </m:dPr>
                          <m:e>
                            <m:eqArr>
                              <m:eqArrPr>
                                <m:ctrlPr>
                                  <a:rPr lang="de-DE" sz="1100" b="0" i="1">
                                    <a:latin typeface="Cambria Math"/>
                                  </a:rPr>
                                </m:ctrlPr>
                              </m:eqArrPr>
                              <m:e>
                                <m:f>
                                  <m:fPr>
                                    <m:ctrlPr>
                                      <a:rPr lang="de-DE" sz="1100" b="0" i="1">
                                        <a:latin typeface="Cambria Math"/>
                                      </a:rPr>
                                    </m:ctrlPr>
                                  </m:fPr>
                                  <m:num>
                                    <m:sSub>
                                      <m:sSubPr>
                                        <m:ctrlPr>
                                          <a:rPr lang="de-DE" sz="1100" b="0" i="1">
                                            <a:latin typeface="Cambria Math"/>
                                          </a:rPr>
                                        </m:ctrlPr>
                                      </m:sSubPr>
                                      <m:e>
                                        <m:r>
                                          <a:rPr lang="de-DE" sz="1100" b="0" i="1">
                                            <a:latin typeface="Cambria Math"/>
                                          </a:rPr>
                                          <m:t>𝐹</m:t>
                                        </m:r>
                                      </m:e>
                                      <m:sub>
                                        <m:r>
                                          <a:rPr lang="de-DE" sz="1100" b="0" i="1">
                                            <a:latin typeface="Cambria Math"/>
                                          </a:rPr>
                                          <m:t>𝑣</m:t>
                                        </m:r>
                                        <m:r>
                                          <a:rPr lang="de-DE" sz="1100" b="0" i="1">
                                            <a:latin typeface="Cambria Math"/>
                                          </a:rPr>
                                          <m:t>,</m:t>
                                        </m:r>
                                        <m:r>
                                          <a:rPr lang="de-DE" sz="1100" b="0" i="1">
                                            <a:latin typeface="Cambria Math"/>
                                          </a:rPr>
                                          <m:t>𝐽</m:t>
                                        </m:r>
                                        <m:r>
                                          <a:rPr lang="de-DE" sz="1100" b="0" i="1">
                                            <a:latin typeface="Cambria Math"/>
                                          </a:rPr>
                                          <m:t>,</m:t>
                                        </m:r>
                                        <m:r>
                                          <a:rPr lang="de-DE" sz="1100" b="0" i="1">
                                            <a:latin typeface="Cambria Math"/>
                                          </a:rPr>
                                          <m:t>𝑅𝑑</m:t>
                                        </m:r>
                                      </m:sub>
                                    </m:sSub>
                                  </m:num>
                                  <m:den>
                                    <m:rad>
                                      <m:radPr>
                                        <m:degHide m:val="on"/>
                                        <m:ctrlPr>
                                          <a:rPr lang="de-DE" sz="1100" b="0" i="1">
                                            <a:latin typeface="Cambria Math"/>
                                          </a:rPr>
                                        </m:ctrlPr>
                                      </m:radPr>
                                      <m:deg/>
                                      <m:e>
                                        <m:sSup>
                                          <m:sSupPr>
                                            <m:ctrlPr>
                                              <a:rPr lang="de-DE" sz="1100" b="0" i="1">
                                                <a:solidFill>
                                                  <a:schemeClr val="tx1"/>
                                                </a:solidFill>
                                                <a:effectLst/>
                                                <a:latin typeface="Cambria Math"/>
                                                <a:ea typeface="+mn-ea"/>
                                                <a:cs typeface="+mn-cs"/>
                                              </a:rPr>
                                            </m:ctrlPr>
                                          </m:sSupPr>
                                          <m:e>
                                            <m:d>
                                              <m:dPr>
                                                <m:ctrlPr>
                                                  <a:rPr lang="de-DE" sz="1100" b="0" i="1">
                                                    <a:latin typeface="Cambria Math"/>
                                                  </a:rPr>
                                                </m:ctrlPr>
                                              </m:dPr>
                                              <m:e>
                                                <m:f>
                                                  <m:fPr>
                                                    <m:ctrlPr>
                                                      <a:rPr lang="de-DE" sz="1100" b="0" i="1">
                                                        <a:solidFill>
                                                          <a:schemeClr val="tx1"/>
                                                        </a:solidFill>
                                                        <a:effectLst/>
                                                        <a:latin typeface="Cambria Math"/>
                                                        <a:ea typeface="+mn-ea"/>
                                                        <a:cs typeface="+mn-cs"/>
                                                      </a:rPr>
                                                    </m:ctrlPr>
                                                  </m:fPr>
                                                  <m:num>
                                                    <m:r>
                                                      <a:rPr lang="de-DE" sz="1100" b="0" i="1">
                                                        <a:solidFill>
                                                          <a:schemeClr val="tx1"/>
                                                        </a:solidFill>
                                                        <a:effectLst/>
                                                        <a:latin typeface="Cambria Math"/>
                                                        <a:ea typeface="+mn-ea"/>
                                                        <a:cs typeface="+mn-cs"/>
                                                      </a:rPr>
                                                      <m:t>1</m:t>
                                                    </m:r>
                                                  </m:num>
                                                  <m:den>
                                                    <m:sSub>
                                                      <m:sSubPr>
                                                        <m:ctrlPr>
                                                          <a:rPr lang="de-DE" sz="1100" b="0" i="1">
                                                            <a:solidFill>
                                                              <a:schemeClr val="tx1"/>
                                                            </a:solidFill>
                                                            <a:effectLst/>
                                                            <a:latin typeface="Cambria Math"/>
                                                            <a:ea typeface="+mn-ea"/>
                                                            <a:cs typeface="+mn-cs"/>
                                                          </a:rPr>
                                                        </m:ctrlPr>
                                                      </m:sSubPr>
                                                      <m:e>
                                                        <m:r>
                                                          <a:rPr lang="de-DE" sz="1100" b="0" i="1">
                                                            <a:solidFill>
                                                              <a:schemeClr val="tx1"/>
                                                            </a:solidFill>
                                                            <a:effectLst/>
                                                            <a:latin typeface="Cambria Math"/>
                                                            <a:ea typeface="+mn-ea"/>
                                                            <a:cs typeface="+mn-cs"/>
                                                          </a:rPr>
                                                          <m:t>𝑛</m:t>
                                                        </m:r>
                                                      </m:e>
                                                      <m:sub>
                                                        <m:r>
                                                          <a:rPr lang="de-DE" sz="1100" b="0" i="1">
                                                            <a:solidFill>
                                                              <a:schemeClr val="tx1"/>
                                                            </a:solidFill>
                                                            <a:effectLst/>
                                                            <a:latin typeface="Cambria Math"/>
                                                            <a:ea typeface="+mn-ea"/>
                                                            <a:cs typeface="+mn-cs"/>
                                                          </a:rPr>
                                                          <m:t>45</m:t>
                                                        </m:r>
                                                      </m:sub>
                                                    </m:sSub>
                                                  </m:den>
                                                </m:f>
                                                <m:r>
                                                  <a:rPr lang="de-DE" sz="1100" b="0" i="1">
                                                    <a:solidFill>
                                                      <a:schemeClr val="tx1"/>
                                                    </a:solidFill>
                                                    <a:effectLst/>
                                                    <a:latin typeface="Cambria Math"/>
                                                    <a:ea typeface="+mn-ea"/>
                                                    <a:cs typeface="+mn-cs"/>
                                                  </a:rPr>
                                                  <m:t>+</m:t>
                                                </m:r>
                                                <m:f>
                                                  <m:fPr>
                                                    <m:ctrlPr>
                                                      <a:rPr lang="de-DE" sz="1100" b="0" i="1">
                                                        <a:solidFill>
                                                          <a:schemeClr val="tx1"/>
                                                        </a:solidFill>
                                                        <a:effectLst/>
                                                        <a:latin typeface="Cambria Math"/>
                                                        <a:ea typeface="+mn-ea"/>
                                                        <a:cs typeface="+mn-cs"/>
                                                      </a:rPr>
                                                    </m:ctrlPr>
                                                  </m:fPr>
                                                  <m:num>
                                                    <m:sSub>
                                                      <m:sSubPr>
                                                        <m:ctrlPr>
                                                          <a:rPr lang="de-DE" sz="1100" b="0" i="1">
                                                            <a:solidFill>
                                                              <a:schemeClr val="tx1"/>
                                                            </a:solidFill>
                                                            <a:effectLst/>
                                                            <a:latin typeface="Cambria Math"/>
                                                            <a:ea typeface="+mn-ea"/>
                                                            <a:cs typeface="+mn-cs"/>
                                                          </a:rPr>
                                                        </m:ctrlPr>
                                                      </m:sSubPr>
                                                      <m:e>
                                                        <m:r>
                                                          <a:rPr lang="de-DE" sz="1100" b="0" i="1">
                                                            <a:solidFill>
                                                              <a:schemeClr val="tx1"/>
                                                            </a:solidFill>
                                                            <a:effectLst/>
                                                            <a:latin typeface="Cambria Math"/>
                                                            <a:ea typeface="+mn-ea"/>
                                                            <a:cs typeface="+mn-cs"/>
                                                          </a:rPr>
                                                          <m:t>𝑒</m:t>
                                                        </m:r>
                                                      </m:e>
                                                      <m:sub>
                                                        <m:r>
                                                          <a:rPr lang="de-DE" sz="1100" b="0" i="1">
                                                            <a:solidFill>
                                                              <a:schemeClr val="tx1"/>
                                                            </a:solidFill>
                                                            <a:effectLst/>
                                                            <a:latin typeface="Cambria Math"/>
                                                            <a:ea typeface="+mn-ea"/>
                                                            <a:cs typeface="+mn-cs"/>
                                                          </a:rPr>
                                                          <m:t>𝐽</m:t>
                                                        </m:r>
                                                        <m:r>
                                                          <a:rPr lang="de-DE" sz="1100" b="0" i="1">
                                                            <a:solidFill>
                                                              <a:schemeClr val="tx1"/>
                                                            </a:solidFill>
                                                            <a:effectLst/>
                                                            <a:latin typeface="Cambria Math"/>
                                                            <a:ea typeface="+mn-ea"/>
                                                            <a:cs typeface="+mn-cs"/>
                                                          </a:rPr>
                                                          <m:t>,45</m:t>
                                                        </m:r>
                                                      </m:sub>
                                                    </m:sSub>
                                                  </m:num>
                                                  <m:den>
                                                    <m:sSub>
                                                      <m:sSubPr>
                                                        <m:ctrlPr>
                                                          <a:rPr lang="de-DE" sz="1100" b="0" i="1">
                                                            <a:solidFill>
                                                              <a:schemeClr val="tx1"/>
                                                            </a:solidFill>
                                                            <a:effectLst/>
                                                            <a:latin typeface="Cambria Math"/>
                                                            <a:ea typeface="+mn-ea"/>
                                                            <a:cs typeface="+mn-cs"/>
                                                          </a:rPr>
                                                        </m:ctrlPr>
                                                      </m:sSubPr>
                                                      <m:e>
                                                        <m:r>
                                                          <a:rPr lang="de-DE" sz="1100" b="0" i="1">
                                                            <a:solidFill>
                                                              <a:schemeClr val="tx1"/>
                                                            </a:solidFill>
                                                            <a:effectLst/>
                                                            <a:latin typeface="Cambria Math"/>
                                                            <a:ea typeface="+mn-ea"/>
                                                            <a:cs typeface="+mn-cs"/>
                                                          </a:rPr>
                                                          <m:t>𝑎</m:t>
                                                        </m:r>
                                                      </m:e>
                                                      <m:sub>
                                                        <m:r>
                                                          <a:rPr lang="de-DE" sz="1100" b="0" i="1">
                                                            <a:solidFill>
                                                              <a:schemeClr val="tx1"/>
                                                            </a:solidFill>
                                                            <a:effectLst/>
                                                            <a:latin typeface="Cambria Math"/>
                                                            <a:ea typeface="+mn-ea"/>
                                                            <a:cs typeface="+mn-cs"/>
                                                          </a:rPr>
                                                          <m:t>2</m:t>
                                                        </m:r>
                                                      </m:sub>
                                                    </m:sSub>
                                                  </m:den>
                                                </m:f>
                                              </m:e>
                                            </m:d>
                                          </m:e>
                                          <m:sup>
                                            <m:r>
                                              <a:rPr lang="de-DE" sz="1100" b="0" i="1">
                                                <a:latin typeface="Cambria Math"/>
                                              </a:rPr>
                                              <m:t>2</m:t>
                                            </m:r>
                                          </m:sup>
                                        </m:sSup>
                                        <m:r>
                                          <a:rPr lang="de-DE" sz="1100" b="0" i="1">
                                            <a:latin typeface="Cambria Math"/>
                                          </a:rPr>
                                          <m:t>+</m:t>
                                        </m:r>
                                        <m:sSup>
                                          <m:sSupPr>
                                            <m:ctrlPr>
                                              <a:rPr lang="de-DE" sz="1100" b="0" i="1">
                                                <a:solidFill>
                                                  <a:schemeClr val="tx1"/>
                                                </a:solidFill>
                                                <a:effectLst/>
                                                <a:latin typeface="Cambria Math"/>
                                                <a:ea typeface="+mn-ea"/>
                                                <a:cs typeface="+mn-cs"/>
                                              </a:rPr>
                                            </m:ctrlPr>
                                          </m:sSupPr>
                                          <m:e>
                                            <m:d>
                                              <m:dPr>
                                                <m:ctrlPr>
                                                  <a:rPr lang="de-DE" sz="1100" b="0" i="1">
                                                    <a:solidFill>
                                                      <a:schemeClr val="tx1"/>
                                                    </a:solidFill>
                                                    <a:effectLst/>
                                                    <a:latin typeface="Cambria Math"/>
                                                    <a:ea typeface="+mn-ea"/>
                                                    <a:cs typeface="+mn-cs"/>
                                                  </a:rPr>
                                                </m:ctrlPr>
                                              </m:dPr>
                                              <m:e>
                                                <m:f>
                                                  <m:fPr>
                                                    <m:ctrlPr>
                                                      <a:rPr lang="de-DE" sz="1100" b="0" i="1">
                                                        <a:solidFill>
                                                          <a:schemeClr val="tx1"/>
                                                        </a:solidFill>
                                                        <a:effectLst/>
                                                        <a:latin typeface="Cambria Math"/>
                                                        <a:ea typeface="+mn-ea"/>
                                                        <a:cs typeface="+mn-cs"/>
                                                      </a:rPr>
                                                    </m:ctrlPr>
                                                  </m:fPr>
                                                  <m:num>
                                                    <m:sSub>
                                                      <m:sSubPr>
                                                        <m:ctrlPr>
                                                          <a:rPr lang="de-DE" sz="1100" b="0" i="1">
                                                            <a:solidFill>
                                                              <a:schemeClr val="tx1"/>
                                                            </a:solidFill>
                                                            <a:effectLst/>
                                                            <a:latin typeface="Cambria Math"/>
                                                            <a:ea typeface="+mn-ea"/>
                                                            <a:cs typeface="+mn-cs"/>
                                                          </a:rPr>
                                                        </m:ctrlPr>
                                                      </m:sSubPr>
                                                      <m:e>
                                                        <m:r>
                                                          <a:rPr lang="de-DE" sz="1100" b="0" i="1">
                                                            <a:latin typeface="Cambria Math"/>
                                                          </a:rPr>
                                                          <m:t>𝑒</m:t>
                                                        </m:r>
                                                      </m:e>
                                                      <m:sub>
                                                        <m:r>
                                                          <a:rPr lang="de-DE" sz="1100" b="0" i="1">
                                                            <a:latin typeface="Cambria Math"/>
                                                          </a:rPr>
                                                          <m:t>𝐽</m:t>
                                                        </m:r>
                                                        <m:r>
                                                          <a:rPr lang="de-DE" sz="1100" b="0" i="1">
                                                            <a:latin typeface="Cambria Math"/>
                                                          </a:rPr>
                                                          <m:t>,45</m:t>
                                                        </m:r>
                                                      </m:sub>
                                                    </m:sSub>
                                                  </m:num>
                                                  <m:den>
                                                    <m:sSub>
                                                      <m:sSubPr>
                                                        <m:ctrlPr>
                                                          <a:rPr lang="de-DE" sz="1100" b="0" i="1">
                                                            <a:latin typeface="Cambria Math"/>
                                                          </a:rPr>
                                                        </m:ctrlPr>
                                                      </m:sSubPr>
                                                      <m:e>
                                                        <m:r>
                                                          <a:rPr lang="de-DE" sz="1100" b="0" i="1">
                                                            <a:latin typeface="Cambria Math"/>
                                                          </a:rPr>
                                                          <m:t>𝑎</m:t>
                                                        </m:r>
                                                      </m:e>
                                                      <m:sub>
                                                        <m:r>
                                                          <a:rPr lang="de-DE" sz="1100" b="0" i="1">
                                                            <a:latin typeface="Cambria Math"/>
                                                          </a:rPr>
                                                          <m:t>2</m:t>
                                                        </m:r>
                                                      </m:sub>
                                                    </m:sSub>
                                                  </m:den>
                                                </m:f>
                                              </m:e>
                                            </m:d>
                                          </m:e>
                                          <m:sup>
                                            <m:r>
                                              <a:rPr lang="de-DE" sz="1100" b="0" i="1">
                                                <a:latin typeface="Cambria Math"/>
                                              </a:rPr>
                                              <m:t>2</m:t>
                                            </m:r>
                                          </m:sup>
                                        </m:sSup>
                                      </m:e>
                                    </m:rad>
                                  </m:den>
                                </m:f>
                              </m:e>
                              <m:e>
                                <m:f>
                                  <m:fPr>
                                    <m:ctrlPr>
                                      <a:rPr lang="de-DE" sz="1100" b="0" i="1">
                                        <a:latin typeface="Cambria Math"/>
                                      </a:rPr>
                                    </m:ctrlPr>
                                  </m:fPr>
                                  <m:num>
                                    <m:sSub>
                                      <m:sSubPr>
                                        <m:ctrlPr>
                                          <a:rPr lang="de-DE" sz="1100" b="0" i="1">
                                            <a:latin typeface="Cambria Math"/>
                                          </a:rPr>
                                        </m:ctrlPr>
                                      </m:sSubPr>
                                      <m:e>
                                        <m:r>
                                          <a:rPr lang="de-DE" b="0" i="1">
                                            <a:latin typeface="Cambria Math"/>
                                          </a:rPr>
                                          <m:t>𝐹</m:t>
                                        </m:r>
                                      </m:e>
                                      <m:sub>
                                        <m:r>
                                          <a:rPr lang="de-DE" b="0" i="1">
                                            <a:latin typeface="Cambria Math"/>
                                          </a:rPr>
                                          <m:t>𝑣</m:t>
                                        </m:r>
                                        <m:r>
                                          <a:rPr lang="de-DE" b="0" i="1">
                                            <a:latin typeface="Cambria Math"/>
                                          </a:rPr>
                                          <m:t>,</m:t>
                                        </m:r>
                                        <m:r>
                                          <a:rPr lang="de-DE" b="0" i="1">
                                            <a:latin typeface="Cambria Math"/>
                                          </a:rPr>
                                          <m:t>𝐻</m:t>
                                        </m:r>
                                        <m:r>
                                          <a:rPr lang="de-DE" b="0" i="1">
                                            <a:latin typeface="Cambria Math"/>
                                          </a:rPr>
                                          <m:t>,</m:t>
                                        </m:r>
                                        <m:r>
                                          <a:rPr lang="de-DE" b="0" i="1">
                                            <a:latin typeface="Cambria Math"/>
                                          </a:rPr>
                                          <m:t>𝑅𝑑</m:t>
                                        </m:r>
                                      </m:sub>
                                    </m:sSub>
                                  </m:num>
                                  <m:den>
                                    <m:rad>
                                      <m:radPr>
                                        <m:degHide m:val="on"/>
                                        <m:ctrlPr>
                                          <a:rPr lang="de-DE" b="0" i="1">
                                            <a:latin typeface="Cambria Math"/>
                                          </a:rPr>
                                        </m:ctrlPr>
                                      </m:radPr>
                                      <m:deg/>
                                      <m:e>
                                        <m:sSup>
                                          <m:sSupPr>
                                            <m:ctrlPr>
                                              <a:rPr lang="de-DE" sz="1100" b="0" i="1">
                                                <a:solidFill>
                                                  <a:schemeClr val="tx1"/>
                                                </a:solidFill>
                                                <a:effectLst/>
                                                <a:latin typeface="Cambria Math"/>
                                                <a:ea typeface="+mn-ea"/>
                                                <a:cs typeface="+mn-cs"/>
                                              </a:rPr>
                                            </m:ctrlPr>
                                          </m:sSupPr>
                                          <m:e>
                                            <m:d>
                                              <m:dPr>
                                                <m:ctrlPr>
                                                  <a:rPr lang="de-DE" b="0" i="1">
                                                    <a:latin typeface="Cambria Math"/>
                                                  </a:rPr>
                                                </m:ctrlPr>
                                              </m:dPr>
                                              <m:e>
                                                <m:f>
                                                  <m:fPr>
                                                    <m:ctrlPr>
                                                      <a:rPr lang="de-DE" sz="1100" b="0" i="1">
                                                        <a:solidFill>
                                                          <a:schemeClr val="tx1"/>
                                                        </a:solidFill>
                                                        <a:effectLst/>
                                                        <a:latin typeface="Cambria Math"/>
                                                        <a:ea typeface="+mn-ea"/>
                                                        <a:cs typeface="+mn-cs"/>
                                                      </a:rPr>
                                                    </m:ctrlPr>
                                                  </m:fPr>
                                                  <m:num>
                                                    <m:r>
                                                      <a:rPr lang="de-DE" sz="1100" b="0" i="1">
                                                        <a:solidFill>
                                                          <a:schemeClr val="tx1"/>
                                                        </a:solidFill>
                                                        <a:effectLst/>
                                                        <a:latin typeface="Cambria Math"/>
                                                        <a:ea typeface="+mn-ea"/>
                                                        <a:cs typeface="+mn-cs"/>
                                                      </a:rPr>
                                                      <m:t>1</m:t>
                                                    </m:r>
                                                  </m:num>
                                                  <m:den>
                                                    <m:sSub>
                                                      <m:sSubPr>
                                                        <m:ctrlPr>
                                                          <a:rPr lang="de-DE" sz="1100" b="0" i="1">
                                                            <a:solidFill>
                                                              <a:schemeClr val="tx1"/>
                                                            </a:solidFill>
                                                            <a:effectLst/>
                                                            <a:latin typeface="Cambria Math"/>
                                                            <a:ea typeface="+mn-ea"/>
                                                            <a:cs typeface="+mn-cs"/>
                                                          </a:rPr>
                                                        </m:ctrlPr>
                                                      </m:sSubPr>
                                                      <m:e>
                                                        <m:r>
                                                          <a:rPr lang="de-DE" sz="1100" b="0" i="1">
                                                            <a:solidFill>
                                                              <a:schemeClr val="tx1"/>
                                                            </a:solidFill>
                                                            <a:effectLst/>
                                                            <a:latin typeface="Cambria Math"/>
                                                            <a:ea typeface="+mn-ea"/>
                                                            <a:cs typeface="+mn-cs"/>
                                                          </a:rPr>
                                                          <m:t>𝑛</m:t>
                                                        </m:r>
                                                      </m:e>
                                                      <m:sub>
                                                        <m:r>
                                                          <a:rPr lang="de-DE" sz="1100" b="0" i="1">
                                                            <a:solidFill>
                                                              <a:schemeClr val="tx1"/>
                                                            </a:solidFill>
                                                            <a:effectLst/>
                                                            <a:latin typeface="Cambria Math"/>
                                                            <a:ea typeface="+mn-ea"/>
                                                            <a:cs typeface="+mn-cs"/>
                                                          </a:rPr>
                                                          <m:t>45</m:t>
                                                        </m:r>
                                                      </m:sub>
                                                    </m:sSub>
                                                  </m:den>
                                                </m:f>
                                                <m:r>
                                                  <a:rPr lang="de-DE" sz="1100" b="0" i="1">
                                                    <a:solidFill>
                                                      <a:schemeClr val="tx1"/>
                                                    </a:solidFill>
                                                    <a:effectLst/>
                                                    <a:latin typeface="Cambria Math"/>
                                                    <a:ea typeface="+mn-ea"/>
                                                    <a:cs typeface="+mn-cs"/>
                                                  </a:rPr>
                                                  <m:t>+</m:t>
                                                </m:r>
                                                <m:f>
                                                  <m:fPr>
                                                    <m:ctrlPr>
                                                      <a:rPr lang="de-DE" sz="1100" b="0" i="1">
                                                        <a:solidFill>
                                                          <a:schemeClr val="tx1"/>
                                                        </a:solidFill>
                                                        <a:effectLst/>
                                                        <a:latin typeface="Cambria Math"/>
                                                        <a:ea typeface="+mn-ea"/>
                                                        <a:cs typeface="+mn-cs"/>
                                                      </a:rPr>
                                                    </m:ctrlPr>
                                                  </m:fPr>
                                                  <m:num>
                                                    <m:sSub>
                                                      <m:sSubPr>
                                                        <m:ctrlPr>
                                                          <a:rPr lang="de-DE" sz="1100" b="0" i="1">
                                                            <a:solidFill>
                                                              <a:schemeClr val="tx1"/>
                                                            </a:solidFill>
                                                            <a:effectLst/>
                                                            <a:latin typeface="Cambria Math"/>
                                                            <a:ea typeface="+mn-ea"/>
                                                            <a:cs typeface="+mn-cs"/>
                                                          </a:rPr>
                                                        </m:ctrlPr>
                                                      </m:sSubPr>
                                                      <m:e>
                                                        <m:r>
                                                          <a:rPr lang="de-DE" sz="1100" b="0" i="1">
                                                            <a:solidFill>
                                                              <a:schemeClr val="tx1"/>
                                                            </a:solidFill>
                                                            <a:effectLst/>
                                                            <a:latin typeface="Cambria Math"/>
                                                            <a:ea typeface="+mn-ea"/>
                                                            <a:cs typeface="+mn-cs"/>
                                                          </a:rPr>
                                                          <m:t>𝑒</m:t>
                                                        </m:r>
                                                      </m:e>
                                                      <m:sub>
                                                        <m:r>
                                                          <a:rPr lang="de-DE" sz="1100" b="0" i="1">
                                                            <a:solidFill>
                                                              <a:schemeClr val="tx1"/>
                                                            </a:solidFill>
                                                            <a:effectLst/>
                                                            <a:latin typeface="Cambria Math"/>
                                                            <a:ea typeface="+mn-ea"/>
                                                            <a:cs typeface="+mn-cs"/>
                                                          </a:rPr>
                                                          <m:t>𝐻</m:t>
                                                        </m:r>
                                                        <m:r>
                                                          <a:rPr lang="de-DE" sz="1100" b="0" i="1">
                                                            <a:solidFill>
                                                              <a:schemeClr val="tx1"/>
                                                            </a:solidFill>
                                                            <a:effectLst/>
                                                            <a:latin typeface="Cambria Math"/>
                                                            <a:ea typeface="+mn-ea"/>
                                                            <a:cs typeface="+mn-cs"/>
                                                          </a:rPr>
                                                          <m:t>,45</m:t>
                                                        </m:r>
                                                      </m:sub>
                                                    </m:sSub>
                                                  </m:num>
                                                  <m:den>
                                                    <m:sSub>
                                                      <m:sSubPr>
                                                        <m:ctrlPr>
                                                          <a:rPr lang="de-DE" sz="1100" b="0" i="1">
                                                            <a:solidFill>
                                                              <a:schemeClr val="tx1"/>
                                                            </a:solidFill>
                                                            <a:effectLst/>
                                                            <a:latin typeface="Cambria Math"/>
                                                            <a:ea typeface="+mn-ea"/>
                                                            <a:cs typeface="+mn-cs"/>
                                                          </a:rPr>
                                                        </m:ctrlPr>
                                                      </m:sSubPr>
                                                      <m:e>
                                                        <m:r>
                                                          <a:rPr lang="de-DE" sz="1100" b="0" i="1">
                                                            <a:solidFill>
                                                              <a:schemeClr val="tx1"/>
                                                            </a:solidFill>
                                                            <a:effectLst/>
                                                            <a:latin typeface="Cambria Math"/>
                                                            <a:ea typeface="+mn-ea"/>
                                                            <a:cs typeface="+mn-cs"/>
                                                          </a:rPr>
                                                          <m:t>𝑎</m:t>
                                                        </m:r>
                                                      </m:e>
                                                      <m:sub>
                                                        <m:r>
                                                          <a:rPr lang="de-DE" sz="1100" b="0" i="1">
                                                            <a:solidFill>
                                                              <a:schemeClr val="tx1"/>
                                                            </a:solidFill>
                                                            <a:effectLst/>
                                                            <a:latin typeface="Cambria Math"/>
                                                            <a:ea typeface="+mn-ea"/>
                                                            <a:cs typeface="+mn-cs"/>
                                                          </a:rPr>
                                                          <m:t>2</m:t>
                                                        </m:r>
                                                      </m:sub>
                                                    </m:sSub>
                                                  </m:den>
                                                </m:f>
                                              </m:e>
                                            </m:d>
                                          </m:e>
                                          <m:sup>
                                            <m:r>
                                              <a:rPr lang="de-DE" b="0" i="1">
                                                <a:latin typeface="Cambria Math"/>
                                              </a:rPr>
                                              <m:t>2</m:t>
                                            </m:r>
                                          </m:sup>
                                        </m:sSup>
                                        <m:r>
                                          <a:rPr lang="de-DE" b="0" i="1">
                                            <a:latin typeface="Cambria Math"/>
                                          </a:rPr>
                                          <m:t>+</m:t>
                                        </m:r>
                                        <m:sSup>
                                          <m:sSupPr>
                                            <m:ctrlPr>
                                              <a:rPr lang="de-DE" sz="1100" b="0" i="1">
                                                <a:solidFill>
                                                  <a:schemeClr val="tx1"/>
                                                </a:solidFill>
                                                <a:effectLst/>
                                                <a:latin typeface="Cambria Math"/>
                                                <a:ea typeface="+mn-ea"/>
                                                <a:cs typeface="+mn-cs"/>
                                              </a:rPr>
                                            </m:ctrlPr>
                                          </m:sSupPr>
                                          <m:e>
                                            <m:d>
                                              <m:dPr>
                                                <m:ctrlPr>
                                                  <a:rPr lang="de-DE" sz="1100" b="0" i="1">
                                                    <a:solidFill>
                                                      <a:schemeClr val="tx1"/>
                                                    </a:solidFill>
                                                    <a:effectLst/>
                                                    <a:latin typeface="Cambria Math"/>
                                                    <a:ea typeface="+mn-ea"/>
                                                    <a:cs typeface="+mn-cs"/>
                                                  </a:rPr>
                                                </m:ctrlPr>
                                              </m:dPr>
                                              <m:e>
                                                <m:f>
                                                  <m:fPr>
                                                    <m:ctrlPr>
                                                      <a:rPr lang="de-DE" sz="1100" b="0" i="1">
                                                        <a:solidFill>
                                                          <a:schemeClr val="tx1"/>
                                                        </a:solidFill>
                                                        <a:effectLst/>
                                                        <a:latin typeface="Cambria Math"/>
                                                        <a:ea typeface="+mn-ea"/>
                                                        <a:cs typeface="+mn-cs"/>
                                                      </a:rPr>
                                                    </m:ctrlPr>
                                                  </m:fPr>
                                                  <m:num>
                                                    <m:sSub>
                                                      <m:sSubPr>
                                                        <m:ctrlPr>
                                                          <a:rPr lang="de-DE" sz="1100" b="0" i="1">
                                                            <a:solidFill>
                                                              <a:schemeClr val="tx1"/>
                                                            </a:solidFill>
                                                            <a:effectLst/>
                                                            <a:latin typeface="Cambria Math"/>
                                                            <a:ea typeface="+mn-ea"/>
                                                            <a:cs typeface="+mn-cs"/>
                                                          </a:rPr>
                                                        </m:ctrlPr>
                                                      </m:sSubPr>
                                                      <m:e>
                                                        <m:r>
                                                          <a:rPr lang="de-DE" b="0" i="1">
                                                            <a:latin typeface="Cambria Math"/>
                                                          </a:rPr>
                                                          <m:t>𝑒</m:t>
                                                        </m:r>
                                                      </m:e>
                                                      <m:sub>
                                                        <m:r>
                                                          <a:rPr lang="de-DE" b="0" i="1">
                                                            <a:latin typeface="Cambria Math"/>
                                                          </a:rPr>
                                                          <m:t>𝐻</m:t>
                                                        </m:r>
                                                        <m:r>
                                                          <a:rPr lang="de-DE" b="0" i="1">
                                                            <a:latin typeface="Cambria Math"/>
                                                          </a:rPr>
                                                          <m:t>,45</m:t>
                                                        </m:r>
                                                      </m:sub>
                                                    </m:sSub>
                                                  </m:num>
                                                  <m:den>
                                                    <m:sSub>
                                                      <m:sSubPr>
                                                        <m:ctrlPr>
                                                          <a:rPr lang="de-DE" b="0" i="1">
                                                            <a:latin typeface="Cambria Math"/>
                                                          </a:rPr>
                                                        </m:ctrlPr>
                                                      </m:sSubPr>
                                                      <m:e>
                                                        <m:r>
                                                          <a:rPr lang="de-DE" b="0" i="1">
                                                            <a:latin typeface="Cambria Math"/>
                                                          </a:rPr>
                                                          <m:t>𝑎</m:t>
                                                        </m:r>
                                                      </m:e>
                                                      <m:sub>
                                                        <m:r>
                                                          <a:rPr lang="de-DE" b="0" i="1">
                                                            <a:latin typeface="Cambria Math"/>
                                                          </a:rPr>
                                                          <m:t>2</m:t>
                                                        </m:r>
                                                      </m:sub>
                                                    </m:sSub>
                                                  </m:den>
                                                </m:f>
                                              </m:e>
                                            </m:d>
                                          </m:e>
                                          <m:sup>
                                            <m:r>
                                              <a:rPr lang="de-DE" b="0" i="1">
                                                <a:latin typeface="Cambria Math"/>
                                              </a:rPr>
                                              <m:t>2</m:t>
                                            </m:r>
                                          </m:sup>
                                        </m:sSup>
                                        <m:r>
                                          <a:rPr lang="de-DE" b="0" i="1">
                                            <a:latin typeface="Cambria Math"/>
                                          </a:rPr>
                                          <m:t>+</m:t>
                                        </m:r>
                                        <m:sSup>
                                          <m:sSupPr>
                                            <m:ctrlPr>
                                              <a:rPr lang="de-DE" b="0" i="1">
                                                <a:latin typeface="Cambria Math"/>
                                                <a:ea typeface="Cambria Math"/>
                                              </a:rPr>
                                            </m:ctrlPr>
                                          </m:sSupPr>
                                          <m:e>
                                            <m:d>
                                              <m:dPr>
                                                <m:ctrlPr>
                                                  <a:rPr lang="de-DE" b="0" i="1">
                                                    <a:latin typeface="Cambria Math"/>
                                                  </a:rPr>
                                                </m:ctrlPr>
                                              </m:dPr>
                                              <m:e>
                                                <m:f>
                                                  <m:fPr>
                                                    <m:ctrlPr>
                                                      <a:rPr lang="de-DE" b="0" i="1">
                                                        <a:latin typeface="Cambria Math"/>
                                                      </a:rPr>
                                                    </m:ctrlPr>
                                                  </m:fPr>
                                                  <m:num>
                                                    <m:sSub>
                                                      <m:sSubPr>
                                                        <m:ctrlPr>
                                                          <a:rPr lang="de-DE" b="0" i="1">
                                                            <a:latin typeface="Cambria Math"/>
                                                          </a:rPr>
                                                        </m:ctrlPr>
                                                      </m:sSubPr>
                                                      <m:e>
                                                        <m:r>
                                                          <a:rPr lang="de-DE" b="0" i="1">
                                                            <a:latin typeface="Cambria Math"/>
                                                          </a:rPr>
                                                          <m:t>𝐹</m:t>
                                                        </m:r>
                                                      </m:e>
                                                      <m:sub>
                                                        <m:r>
                                                          <a:rPr lang="de-DE" b="0" i="1">
                                                            <a:latin typeface="Cambria Math"/>
                                                          </a:rPr>
                                                          <m:t>𝑉</m:t>
                                                        </m:r>
                                                        <m:r>
                                                          <a:rPr lang="de-DE" b="0" i="1">
                                                            <a:latin typeface="Cambria Math"/>
                                                          </a:rPr>
                                                          <m:t>,</m:t>
                                                        </m:r>
                                                        <m:r>
                                                          <a:rPr lang="de-DE" b="0" i="1">
                                                            <a:latin typeface="Cambria Math"/>
                                                          </a:rPr>
                                                          <m:t>𝐻</m:t>
                                                        </m:r>
                                                        <m:r>
                                                          <a:rPr lang="de-DE" b="0" i="1">
                                                            <a:latin typeface="Cambria Math"/>
                                                          </a:rPr>
                                                          <m:t>,</m:t>
                                                        </m:r>
                                                        <m:r>
                                                          <a:rPr lang="de-DE" b="0" i="1">
                                                            <a:latin typeface="Cambria Math"/>
                                                          </a:rPr>
                                                          <m:t>𝑅𝑑</m:t>
                                                        </m:r>
                                                      </m:sub>
                                                    </m:sSub>
                                                  </m:num>
                                                  <m:den>
                                                    <m:sSub>
                                                      <m:sSubPr>
                                                        <m:ctrlPr>
                                                          <a:rPr lang="de-DE" b="0" i="1">
                                                            <a:latin typeface="Cambria Math"/>
                                                          </a:rPr>
                                                        </m:ctrlPr>
                                                      </m:sSubPr>
                                                      <m:e>
                                                        <m:r>
                                                          <a:rPr lang="de-DE" b="0" i="1">
                                                            <a:latin typeface="Cambria Math"/>
                                                          </a:rPr>
                                                          <m:t>𝑘</m:t>
                                                        </m:r>
                                                      </m:e>
                                                      <m:sub>
                                                        <m:r>
                                                          <a:rPr lang="de-DE" b="0" i="1">
                                                            <a:latin typeface="Cambria Math"/>
                                                          </a:rPr>
                                                          <m:t>h</m:t>
                                                        </m:r>
                                                        <m:r>
                                                          <a:rPr lang="de-DE" b="0" i="1">
                                                            <a:latin typeface="Cambria Math"/>
                                                          </a:rPr>
                                                          <m:t>,45</m:t>
                                                        </m:r>
                                                      </m:sub>
                                                    </m:sSub>
                                                    <m:r>
                                                      <a:rPr lang="de-DE" b="0" i="1">
                                                        <a:latin typeface="Cambria Math"/>
                                                        <a:ea typeface="Cambria Math"/>
                                                      </a:rPr>
                                                      <m:t>∙</m:t>
                                                    </m:r>
                                                    <m:sSub>
                                                      <m:sSubPr>
                                                        <m:ctrlPr>
                                                          <a:rPr lang="de-DE" b="0" i="1">
                                                            <a:latin typeface="Cambria Math"/>
                                                            <a:ea typeface="Cambria Math"/>
                                                          </a:rPr>
                                                        </m:ctrlPr>
                                                      </m:sSubPr>
                                                      <m:e>
                                                        <m:r>
                                                          <a:rPr lang="de-DE" b="0" i="1">
                                                            <a:latin typeface="Cambria Math"/>
                                                            <a:ea typeface="Cambria Math"/>
                                                          </a:rPr>
                                                          <m:t>𝐹</m:t>
                                                        </m:r>
                                                      </m:e>
                                                      <m:sub>
                                                        <m:r>
                                                          <a:rPr lang="de-DE" b="0" i="1">
                                                            <a:latin typeface="Cambria Math"/>
                                                            <a:ea typeface="Cambria Math"/>
                                                          </a:rPr>
                                                          <m:t>𝑎𝑥</m:t>
                                                        </m:r>
                                                        <m:r>
                                                          <a:rPr lang="de-DE" b="0" i="1">
                                                            <a:latin typeface="Cambria Math"/>
                                                            <a:ea typeface="Cambria Math"/>
                                                          </a:rPr>
                                                          <m:t>,</m:t>
                                                        </m:r>
                                                        <m:r>
                                                          <a:rPr lang="de-DE" b="0" i="1">
                                                            <a:latin typeface="Cambria Math"/>
                                                            <a:ea typeface="Cambria Math"/>
                                                          </a:rPr>
                                                          <m:t>𝐻</m:t>
                                                        </m:r>
                                                        <m:r>
                                                          <a:rPr lang="de-DE" b="0" i="1">
                                                            <a:latin typeface="Cambria Math"/>
                                                            <a:ea typeface="Cambria Math"/>
                                                          </a:rPr>
                                                          <m:t>,</m:t>
                                                        </m:r>
                                                        <m:r>
                                                          <a:rPr lang="de-DE" b="0" i="1">
                                                            <a:latin typeface="Cambria Math"/>
                                                            <a:ea typeface="Cambria Math"/>
                                                          </a:rPr>
                                                          <m:t>𝑅𝑑</m:t>
                                                        </m:r>
                                                      </m:sub>
                                                    </m:sSub>
                                                  </m:den>
                                                </m:f>
                                              </m:e>
                                            </m:d>
                                          </m:e>
                                          <m:sup>
                                            <m:r>
                                              <a:rPr lang="de-DE" b="0" i="1">
                                                <a:latin typeface="Cambria Math"/>
                                              </a:rPr>
                                              <m:t>2</m:t>
                                            </m:r>
                                          </m:sup>
                                        </m:sSup>
                                      </m:e>
                                    </m:rad>
                                  </m:den>
                                </m:f>
                              </m:e>
                              <m:e>
                                <m:sSub>
                                  <m:sSubPr>
                                    <m:ctrlPr>
                                      <a:rPr lang="de-DE" b="0" i="1">
                                        <a:latin typeface="Cambria Math"/>
                                        <a:ea typeface="Cambria Math"/>
                                      </a:rPr>
                                    </m:ctrlPr>
                                  </m:sSubPr>
                                  <m:e>
                                    <m:r>
                                      <a:rPr lang="de-DE" b="0" i="1">
                                        <a:latin typeface="Cambria Math"/>
                                      </a:rPr>
                                      <m:t>𝐹</m:t>
                                    </m:r>
                                  </m:e>
                                  <m:sub>
                                    <m:r>
                                      <a:rPr lang="de-DE" b="0" i="1">
                                        <a:latin typeface="Cambria Math"/>
                                      </a:rPr>
                                      <m:t>45,</m:t>
                                    </m:r>
                                    <m:r>
                                      <a:rPr lang="de-DE" b="0" i="1">
                                        <a:latin typeface="Cambria Math"/>
                                      </a:rPr>
                                      <m:t>𝐾𝐶𝐶</m:t>
                                    </m:r>
                                    <m:r>
                                      <a:rPr lang="de-DE" b="0" i="1">
                                        <a:latin typeface="Cambria Math"/>
                                      </a:rPr>
                                      <m:t>,</m:t>
                                    </m:r>
                                    <m:r>
                                      <a:rPr lang="de-DE" b="0" i="1">
                                        <a:latin typeface="Cambria Math"/>
                                      </a:rPr>
                                      <m:t>𝑅𝑑</m:t>
                                    </m:r>
                                  </m:sub>
                                </m:sSub>
                              </m:e>
                            </m:eqArr>
                          </m:e>
                        </m:d>
                      </m:e>
                    </m:func>
                  </m:oMath>
                </m:oMathPara>
              </a14:m>
              <a:endParaRPr lang="de-DE" sz="1100"/>
            </a:p>
          </xdr:txBody>
        </xdr:sp>
      </mc:Choice>
      <mc:Fallback xmlns="">
        <xdr:sp macro="" textlink="">
          <xdr:nvSpPr>
            <xdr:cNvPr id="16" name="Textfeld 15"/>
            <xdr:cNvSpPr txBox="1"/>
          </xdr:nvSpPr>
          <xdr:spPr>
            <a:xfrm>
              <a:off x="5343525" y="33270825"/>
              <a:ext cx="4341350" cy="1832897"/>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r>
                <a:rPr lang="de-DE" sz="1100" b="0" i="0">
                  <a:latin typeface="Cambria Math"/>
                </a:rPr>
                <a:t>𝐹_(45,𝑅𝑑)</a:t>
              </a:r>
              <a:r>
                <a:rPr lang="de-DE" sz="1100" i="0">
                  <a:latin typeface="Cambria Math"/>
                </a:rPr>
                <a:t>=</a:t>
              </a:r>
              <a:r>
                <a:rPr lang="de-DE" sz="1100" b="0" i="0">
                  <a:latin typeface="Cambria Math"/>
                </a:rPr>
                <a:t>min⁡{█(𝐹_(𝑣,𝐽,𝑅𝑑)/√((</a:t>
              </a:r>
              <a:r>
                <a:rPr lang="de-DE" sz="1100" b="0" i="0">
                  <a:solidFill>
                    <a:schemeClr val="tx1"/>
                  </a:solidFill>
                  <a:effectLst/>
                  <a:latin typeface="+mn-lt"/>
                  <a:ea typeface="+mn-ea"/>
                  <a:cs typeface="+mn-cs"/>
                </a:rPr>
                <a:t>1</a:t>
              </a:r>
              <a:r>
                <a:rPr lang="de-DE" sz="1100" b="0" i="0">
                  <a:solidFill>
                    <a:schemeClr val="tx1"/>
                  </a:solidFill>
                  <a:effectLst/>
                  <a:latin typeface="Cambria Math"/>
                  <a:ea typeface="+mn-ea"/>
                  <a:cs typeface="+mn-cs"/>
                </a:rPr>
                <a:t>/</a:t>
              </a:r>
              <a:r>
                <a:rPr lang="de-DE" sz="1100" b="0" i="0">
                  <a:solidFill>
                    <a:schemeClr val="tx1"/>
                  </a:solidFill>
                  <a:effectLst/>
                  <a:latin typeface="+mn-lt"/>
                  <a:ea typeface="+mn-ea"/>
                  <a:cs typeface="+mn-cs"/>
                </a:rPr>
                <a:t>𝑛</a:t>
              </a:r>
              <a:r>
                <a:rPr lang="de-DE" sz="1100" b="0" i="0">
                  <a:solidFill>
                    <a:schemeClr val="tx1"/>
                  </a:solidFill>
                  <a:effectLst/>
                  <a:latin typeface="Cambria Math"/>
                  <a:ea typeface="+mn-ea"/>
                  <a:cs typeface="+mn-cs"/>
                </a:rPr>
                <a:t>_</a:t>
              </a:r>
              <a:r>
                <a:rPr lang="de-DE" sz="1100" b="0" i="0">
                  <a:solidFill>
                    <a:schemeClr val="tx1"/>
                  </a:solidFill>
                  <a:effectLst/>
                  <a:latin typeface="+mn-lt"/>
                  <a:ea typeface="+mn-ea"/>
                  <a:cs typeface="+mn-cs"/>
                </a:rPr>
                <a:t>45</a:t>
              </a:r>
              <a:r>
                <a:rPr lang="de-DE" sz="1100" b="0" i="0">
                  <a:solidFill>
                    <a:schemeClr val="tx1"/>
                  </a:solidFill>
                  <a:effectLst/>
                  <a:latin typeface="Cambria Math"/>
                  <a:ea typeface="+mn-ea"/>
                  <a:cs typeface="+mn-cs"/>
                </a:rPr>
                <a:t> </a:t>
              </a:r>
              <a:r>
                <a:rPr lang="de-DE" sz="1100" b="0" i="0">
                  <a:solidFill>
                    <a:schemeClr val="tx1"/>
                  </a:solidFill>
                  <a:effectLst/>
                  <a:latin typeface="+mn-lt"/>
                  <a:ea typeface="+mn-ea"/>
                  <a:cs typeface="+mn-cs"/>
                </a:rPr>
                <a:t>+𝑒</a:t>
              </a:r>
              <a:r>
                <a:rPr lang="de-DE" sz="1100" b="0" i="0">
                  <a:solidFill>
                    <a:schemeClr val="tx1"/>
                  </a:solidFill>
                  <a:effectLst/>
                  <a:latin typeface="Cambria Math"/>
                  <a:ea typeface="+mn-ea"/>
                  <a:cs typeface="+mn-cs"/>
                </a:rPr>
                <a:t>_(</a:t>
              </a:r>
              <a:r>
                <a:rPr lang="de-DE" sz="1100" b="0" i="0">
                  <a:solidFill>
                    <a:schemeClr val="tx1"/>
                  </a:solidFill>
                  <a:effectLst/>
                  <a:latin typeface="+mn-lt"/>
                  <a:ea typeface="+mn-ea"/>
                  <a:cs typeface="+mn-cs"/>
                </a:rPr>
                <a:t>𝐽,45</a:t>
              </a:r>
              <a:r>
                <a:rPr lang="de-DE" sz="1100" b="0" i="0">
                  <a:solidFill>
                    <a:schemeClr val="tx1"/>
                  </a:solidFill>
                  <a:effectLst/>
                  <a:latin typeface="Cambria Math"/>
                  <a:ea typeface="+mn-ea"/>
                  <a:cs typeface="+mn-cs"/>
                </a:rPr>
                <a:t>)/</a:t>
              </a:r>
              <a:r>
                <a:rPr lang="de-DE" sz="1100" b="0" i="0">
                  <a:solidFill>
                    <a:schemeClr val="tx1"/>
                  </a:solidFill>
                  <a:effectLst/>
                  <a:latin typeface="+mn-lt"/>
                  <a:ea typeface="+mn-ea"/>
                  <a:cs typeface="+mn-cs"/>
                </a:rPr>
                <a:t>𝑎</a:t>
              </a:r>
              <a:r>
                <a:rPr lang="de-DE" sz="1100" b="0" i="0">
                  <a:solidFill>
                    <a:schemeClr val="tx1"/>
                  </a:solidFill>
                  <a:effectLst/>
                  <a:latin typeface="Cambria Math"/>
                  <a:ea typeface="+mn-ea"/>
                  <a:cs typeface="+mn-cs"/>
                </a:rPr>
                <a:t>_</a:t>
              </a:r>
              <a:r>
                <a:rPr lang="de-DE" sz="1100" b="0" i="0">
                  <a:solidFill>
                    <a:schemeClr val="tx1"/>
                  </a:solidFill>
                  <a:effectLst/>
                  <a:latin typeface="+mn-lt"/>
                  <a:ea typeface="+mn-ea"/>
                  <a:cs typeface="+mn-cs"/>
                </a:rPr>
                <a:t>2</a:t>
              </a:r>
              <a:r>
                <a:rPr lang="de-DE" sz="1100" b="0" i="0">
                  <a:solidFill>
                    <a:schemeClr val="tx1"/>
                  </a:solidFill>
                  <a:effectLst/>
                  <a:latin typeface="Cambria Math"/>
                  <a:ea typeface="+mn-ea"/>
                  <a:cs typeface="+mn-cs"/>
                </a:rPr>
                <a:t> )^</a:t>
              </a:r>
              <a:r>
                <a:rPr lang="de-DE" sz="1100" b="0" i="0">
                  <a:latin typeface="Cambria Math"/>
                </a:rPr>
                <a:t>2+</a:t>
              </a:r>
              <a:r>
                <a:rPr lang="de-DE" sz="1100" b="0" i="0">
                  <a:solidFill>
                    <a:schemeClr val="tx1"/>
                  </a:solidFill>
                  <a:effectLst/>
                  <a:latin typeface="Cambria Math"/>
                  <a:ea typeface="+mn-ea"/>
                  <a:cs typeface="+mn-cs"/>
                </a:rPr>
                <a:t>(</a:t>
              </a:r>
              <a:r>
                <a:rPr lang="de-DE" sz="1100" b="0" i="0">
                  <a:latin typeface="Cambria Math"/>
                </a:rPr>
                <a:t>𝑒</a:t>
              </a:r>
              <a:r>
                <a:rPr lang="de-DE" sz="1100" b="0" i="0">
                  <a:solidFill>
                    <a:schemeClr val="tx1"/>
                  </a:solidFill>
                  <a:effectLst/>
                  <a:latin typeface="Cambria Math"/>
                  <a:ea typeface="+mn-ea"/>
                  <a:cs typeface="+mn-cs"/>
                </a:rPr>
                <a:t>_(</a:t>
              </a:r>
              <a:r>
                <a:rPr lang="de-DE" sz="1100" b="0" i="0">
                  <a:latin typeface="Cambria Math"/>
                </a:rPr>
                <a:t>𝐽,45</a:t>
              </a:r>
              <a:r>
                <a:rPr lang="de-DE" sz="1100" b="0" i="0">
                  <a:solidFill>
                    <a:schemeClr val="tx1"/>
                  </a:solidFill>
                  <a:effectLst/>
                  <a:latin typeface="Cambria Math"/>
                  <a:ea typeface="+mn-ea"/>
                  <a:cs typeface="+mn-cs"/>
                </a:rPr>
                <a:t>)/</a:t>
              </a:r>
              <a:r>
                <a:rPr lang="de-DE" sz="1100" b="0" i="0">
                  <a:latin typeface="Cambria Math"/>
                </a:rPr>
                <a:t>𝑎_2 )</a:t>
              </a:r>
              <a:r>
                <a:rPr lang="de-DE" sz="1100" b="0" i="0">
                  <a:solidFill>
                    <a:schemeClr val="tx1"/>
                  </a:solidFill>
                  <a:effectLst/>
                  <a:latin typeface="Cambria Math"/>
                  <a:ea typeface="+mn-ea"/>
                  <a:cs typeface="+mn-cs"/>
                </a:rPr>
                <a:t>^</a:t>
              </a:r>
              <a:r>
                <a:rPr lang="de-DE" sz="1100" b="0" i="0">
                  <a:latin typeface="Cambria Math"/>
                </a:rPr>
                <a:t>2 )@</a:t>
              </a:r>
              <a:r>
                <a:rPr lang="de-DE" b="0" i="0">
                  <a:latin typeface="Cambria Math"/>
                </a:rPr>
                <a:t>𝐹</a:t>
              </a:r>
              <a:r>
                <a:rPr lang="de-DE" sz="1100" b="0" i="0">
                  <a:latin typeface="Cambria Math"/>
                </a:rPr>
                <a:t>_(</a:t>
              </a:r>
              <a:r>
                <a:rPr lang="de-DE" b="0" i="0">
                  <a:latin typeface="Cambria Math"/>
                </a:rPr>
                <a:t>𝑣,𝐻,𝑅𝑑</a:t>
              </a:r>
              <a:r>
                <a:rPr lang="de-DE" sz="1100" b="0" i="0">
                  <a:latin typeface="Cambria Math"/>
                </a:rPr>
                <a:t>)/√((</a:t>
              </a:r>
              <a:r>
                <a:rPr lang="de-DE" sz="1100" b="0" i="0">
                  <a:solidFill>
                    <a:schemeClr val="tx1"/>
                  </a:solidFill>
                  <a:effectLst/>
                  <a:latin typeface="+mn-lt"/>
                  <a:ea typeface="+mn-ea"/>
                  <a:cs typeface="+mn-cs"/>
                </a:rPr>
                <a:t>1</a:t>
              </a:r>
              <a:r>
                <a:rPr lang="de-DE" sz="1100" b="0" i="0">
                  <a:solidFill>
                    <a:schemeClr val="tx1"/>
                  </a:solidFill>
                  <a:effectLst/>
                  <a:latin typeface="Cambria Math"/>
                  <a:ea typeface="+mn-ea"/>
                  <a:cs typeface="+mn-cs"/>
                </a:rPr>
                <a:t>/</a:t>
              </a:r>
              <a:r>
                <a:rPr lang="de-DE" sz="1100" b="0" i="0">
                  <a:solidFill>
                    <a:schemeClr val="tx1"/>
                  </a:solidFill>
                  <a:effectLst/>
                  <a:latin typeface="+mn-lt"/>
                  <a:ea typeface="+mn-ea"/>
                  <a:cs typeface="+mn-cs"/>
                </a:rPr>
                <a:t>𝑛</a:t>
              </a:r>
              <a:r>
                <a:rPr lang="de-DE" sz="1100" b="0" i="0">
                  <a:solidFill>
                    <a:schemeClr val="tx1"/>
                  </a:solidFill>
                  <a:effectLst/>
                  <a:latin typeface="Cambria Math"/>
                  <a:ea typeface="+mn-ea"/>
                  <a:cs typeface="+mn-cs"/>
                </a:rPr>
                <a:t>_</a:t>
              </a:r>
              <a:r>
                <a:rPr lang="de-DE" sz="1100" b="0" i="0">
                  <a:solidFill>
                    <a:schemeClr val="tx1"/>
                  </a:solidFill>
                  <a:effectLst/>
                  <a:latin typeface="+mn-lt"/>
                  <a:ea typeface="+mn-ea"/>
                  <a:cs typeface="+mn-cs"/>
                </a:rPr>
                <a:t>45</a:t>
              </a:r>
              <a:r>
                <a:rPr lang="de-DE" sz="1100" b="0" i="0">
                  <a:solidFill>
                    <a:schemeClr val="tx1"/>
                  </a:solidFill>
                  <a:effectLst/>
                  <a:latin typeface="Cambria Math"/>
                  <a:ea typeface="+mn-ea"/>
                  <a:cs typeface="+mn-cs"/>
                </a:rPr>
                <a:t> </a:t>
              </a:r>
              <a:r>
                <a:rPr lang="de-DE" sz="1100" b="0" i="0">
                  <a:solidFill>
                    <a:schemeClr val="tx1"/>
                  </a:solidFill>
                  <a:effectLst/>
                  <a:latin typeface="+mn-lt"/>
                  <a:ea typeface="+mn-ea"/>
                  <a:cs typeface="+mn-cs"/>
                </a:rPr>
                <a:t>+𝑒</a:t>
              </a:r>
              <a:r>
                <a:rPr lang="de-DE" sz="1100" b="0" i="0">
                  <a:solidFill>
                    <a:schemeClr val="tx1"/>
                  </a:solidFill>
                  <a:effectLst/>
                  <a:latin typeface="Cambria Math"/>
                  <a:ea typeface="+mn-ea"/>
                  <a:cs typeface="+mn-cs"/>
                </a:rPr>
                <a:t>_(𝐻</a:t>
              </a:r>
              <a:r>
                <a:rPr lang="de-DE" sz="1100" b="0" i="0">
                  <a:solidFill>
                    <a:schemeClr val="tx1"/>
                  </a:solidFill>
                  <a:effectLst/>
                  <a:latin typeface="+mn-lt"/>
                  <a:ea typeface="+mn-ea"/>
                  <a:cs typeface="+mn-cs"/>
                </a:rPr>
                <a:t>,45</a:t>
              </a:r>
              <a:r>
                <a:rPr lang="de-DE" sz="1100" b="0" i="0">
                  <a:solidFill>
                    <a:schemeClr val="tx1"/>
                  </a:solidFill>
                  <a:effectLst/>
                  <a:latin typeface="Cambria Math"/>
                  <a:ea typeface="+mn-ea"/>
                  <a:cs typeface="+mn-cs"/>
                </a:rPr>
                <a:t>)/</a:t>
              </a:r>
              <a:r>
                <a:rPr lang="de-DE" sz="1100" b="0" i="0">
                  <a:solidFill>
                    <a:schemeClr val="tx1"/>
                  </a:solidFill>
                  <a:effectLst/>
                  <a:latin typeface="+mn-lt"/>
                  <a:ea typeface="+mn-ea"/>
                  <a:cs typeface="+mn-cs"/>
                </a:rPr>
                <a:t>𝑎</a:t>
              </a:r>
              <a:r>
                <a:rPr lang="de-DE" sz="1100" b="0" i="0">
                  <a:solidFill>
                    <a:schemeClr val="tx1"/>
                  </a:solidFill>
                  <a:effectLst/>
                  <a:latin typeface="Cambria Math"/>
                  <a:ea typeface="+mn-ea"/>
                  <a:cs typeface="+mn-cs"/>
                </a:rPr>
                <a:t>_</a:t>
              </a:r>
              <a:r>
                <a:rPr lang="de-DE" sz="1100" b="0" i="0">
                  <a:solidFill>
                    <a:schemeClr val="tx1"/>
                  </a:solidFill>
                  <a:effectLst/>
                  <a:latin typeface="+mn-lt"/>
                  <a:ea typeface="+mn-ea"/>
                  <a:cs typeface="+mn-cs"/>
                </a:rPr>
                <a:t>2</a:t>
              </a:r>
              <a:r>
                <a:rPr lang="de-DE" sz="1100" b="0" i="0">
                  <a:solidFill>
                    <a:schemeClr val="tx1"/>
                  </a:solidFill>
                  <a:effectLst/>
                  <a:latin typeface="Cambria Math"/>
                  <a:ea typeface="+mn-ea"/>
                  <a:cs typeface="+mn-cs"/>
                </a:rPr>
                <a:t> )^</a:t>
              </a:r>
              <a:r>
                <a:rPr lang="de-DE" b="0" i="0">
                  <a:latin typeface="Cambria Math"/>
                </a:rPr>
                <a:t>2+</a:t>
              </a:r>
              <a:r>
                <a:rPr lang="de-DE" sz="1100" b="0" i="0">
                  <a:solidFill>
                    <a:schemeClr val="tx1"/>
                  </a:solidFill>
                  <a:effectLst/>
                  <a:latin typeface="Cambria Math"/>
                  <a:ea typeface="+mn-ea"/>
                  <a:cs typeface="+mn-cs"/>
                </a:rPr>
                <a:t>(</a:t>
              </a:r>
              <a:r>
                <a:rPr lang="de-DE" b="0" i="0">
                  <a:latin typeface="Cambria Math"/>
                </a:rPr>
                <a:t>𝑒</a:t>
              </a:r>
              <a:r>
                <a:rPr lang="de-DE" sz="1100" b="0" i="0">
                  <a:solidFill>
                    <a:schemeClr val="tx1"/>
                  </a:solidFill>
                  <a:effectLst/>
                  <a:latin typeface="Cambria Math"/>
                  <a:ea typeface="+mn-ea"/>
                  <a:cs typeface="+mn-cs"/>
                </a:rPr>
                <a:t>_(</a:t>
              </a:r>
              <a:r>
                <a:rPr lang="de-DE" b="0" i="0">
                  <a:latin typeface="Cambria Math"/>
                </a:rPr>
                <a:t>𝐻,45</a:t>
              </a:r>
              <a:r>
                <a:rPr lang="de-DE" sz="1100" b="0" i="0">
                  <a:solidFill>
                    <a:schemeClr val="tx1"/>
                  </a:solidFill>
                  <a:effectLst/>
                  <a:latin typeface="Cambria Math"/>
                  <a:ea typeface="+mn-ea"/>
                  <a:cs typeface="+mn-cs"/>
                </a:rPr>
                <a:t>)/</a:t>
              </a:r>
              <a:r>
                <a:rPr lang="de-DE" b="0" i="0">
                  <a:latin typeface="Cambria Math"/>
                </a:rPr>
                <a:t>𝑎_2 )</a:t>
              </a:r>
              <a:r>
                <a:rPr lang="de-DE" sz="1100" b="0" i="0">
                  <a:solidFill>
                    <a:schemeClr val="tx1"/>
                  </a:solidFill>
                  <a:effectLst/>
                  <a:latin typeface="Cambria Math"/>
                  <a:ea typeface="+mn-ea"/>
                  <a:cs typeface="+mn-cs"/>
                </a:rPr>
                <a:t>^</a:t>
              </a:r>
              <a:r>
                <a:rPr lang="de-DE" b="0" i="0">
                  <a:latin typeface="Cambria Math"/>
                </a:rPr>
                <a:t>2+(𝐹_(𝑉,𝐻,𝑅𝑑)/(𝑘_(ℎ,45)</a:t>
              </a:r>
              <a:r>
                <a:rPr lang="de-DE" b="0" i="0">
                  <a:latin typeface="Cambria Math"/>
                  <a:ea typeface="Cambria Math"/>
                </a:rPr>
                <a:t>∙𝐹_(𝑎𝑥,𝐻,𝑅𝑑) ))^</a:t>
              </a:r>
              <a:r>
                <a:rPr lang="de-DE" b="0" i="0">
                  <a:latin typeface="Cambria Math"/>
                </a:rPr>
                <a:t>2</a:t>
              </a:r>
              <a:r>
                <a:rPr lang="de-DE" b="0" i="0">
                  <a:latin typeface="Cambria Math"/>
                  <a:ea typeface="Cambria Math"/>
                </a:rPr>
                <a:t> )@</a:t>
              </a:r>
              <a:r>
                <a:rPr lang="de-DE" b="0" i="0">
                  <a:latin typeface="Cambria Math"/>
                </a:rPr>
                <a:t>𝐹</a:t>
              </a:r>
              <a:r>
                <a:rPr lang="de-DE" b="0" i="0">
                  <a:latin typeface="Cambria Math"/>
                  <a:ea typeface="Cambria Math"/>
                </a:rPr>
                <a:t>_(</a:t>
              </a:r>
              <a:r>
                <a:rPr lang="de-DE" b="0" i="0">
                  <a:latin typeface="Cambria Math"/>
                </a:rPr>
                <a:t>45,𝐾𝐶𝐶,𝑅𝑑</a:t>
              </a:r>
              <a:r>
                <a:rPr lang="de-DE" b="0" i="0">
                  <a:latin typeface="Cambria Math"/>
                  <a:ea typeface="Cambria Math"/>
                </a:rPr>
                <a:t>) )</a:t>
              </a:r>
              <a:r>
                <a:rPr lang="de-DE" sz="1100" b="0" i="0">
                  <a:latin typeface="Cambria Math"/>
                  <a:ea typeface="Cambria Math"/>
                </a:rPr>
                <a:t>┤</a:t>
              </a:r>
              <a:endParaRPr lang="de-DE" sz="1100"/>
            </a:p>
          </xdr:txBody>
        </xdr:sp>
      </mc:Fallback>
    </mc:AlternateContent>
    <xdr:clientData/>
  </xdr:one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image" Target="../media/image5.emf"/><Relationship Id="rId18" Type="http://schemas.openxmlformats.org/officeDocument/2006/relationships/oleObject" Target="../embeddings/oleObject8.bin"/><Relationship Id="rId3" Type="http://schemas.openxmlformats.org/officeDocument/2006/relationships/vmlDrawing" Target="../drawings/vmlDrawing1.vml"/><Relationship Id="rId21" Type="http://schemas.openxmlformats.org/officeDocument/2006/relationships/image" Target="../media/image9.emf"/><Relationship Id="rId7" Type="http://schemas.openxmlformats.org/officeDocument/2006/relationships/image" Target="../media/image2.emf"/><Relationship Id="rId12" Type="http://schemas.openxmlformats.org/officeDocument/2006/relationships/oleObject" Target="../embeddings/oleObject5.bin"/><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oleObject" Target="../embeddings/oleObject4.bin"/><Relationship Id="rId19" Type="http://schemas.openxmlformats.org/officeDocument/2006/relationships/image" Target="../media/image8.emf"/><Relationship Id="rId4" Type="http://schemas.openxmlformats.org/officeDocument/2006/relationships/oleObject" Target="../embeddings/oleObject1.bin"/><Relationship Id="rId9" Type="http://schemas.openxmlformats.org/officeDocument/2006/relationships/image" Target="../media/image3.emf"/><Relationship Id="rId14" Type="http://schemas.openxmlformats.org/officeDocument/2006/relationships/oleObject" Target="../embeddings/oleObject6.bin"/><Relationship Id="rId22"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image" Target="../media/image11.emf"/><Relationship Id="rId4" Type="http://schemas.openxmlformats.org/officeDocument/2006/relationships/oleObject" Target="../embeddings/oleObject10.bin"/></Relationships>
</file>

<file path=xl/worksheets/_rels/sheet3.xml.rels><?xml version="1.0" encoding="UTF-8" standalone="yes"?>
<Relationships xmlns="http://schemas.openxmlformats.org/package/2006/relationships"><Relationship Id="rId8" Type="http://schemas.openxmlformats.org/officeDocument/2006/relationships/comments" Target="../comments3.xml"/><Relationship Id="rId3" Type="http://schemas.openxmlformats.org/officeDocument/2006/relationships/vmlDrawing" Target="../drawings/vmlDrawing3.vml"/><Relationship Id="rId7" Type="http://schemas.openxmlformats.org/officeDocument/2006/relationships/image" Target="../media/image14.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12.bin"/><Relationship Id="rId5" Type="http://schemas.openxmlformats.org/officeDocument/2006/relationships/image" Target="../media/image13.emf"/><Relationship Id="rId4" Type="http://schemas.openxmlformats.org/officeDocument/2006/relationships/oleObject" Target="../embeddings/oleObject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40"/>
  <sheetViews>
    <sheetView showGridLines="0" showRowColHeaders="0" tabSelected="1" zoomScale="98" zoomScaleNormal="98" workbookViewId="0">
      <selection activeCell="B4" sqref="B4:D4"/>
    </sheetView>
  </sheetViews>
  <sheetFormatPr baseColWidth="10" defaultColWidth="11" defaultRowHeight="15.75"/>
  <cols>
    <col min="1" max="2" width="18.5" style="1" customWidth="1"/>
    <col min="3" max="3" width="16.75" style="1" customWidth="1"/>
    <col min="4" max="5" width="15.625" style="1" customWidth="1"/>
    <col min="6" max="6" width="12.625" style="1" customWidth="1"/>
    <col min="7" max="7" width="14.375" style="1" customWidth="1"/>
    <col min="8" max="8" width="11" style="1"/>
    <col min="9" max="9" width="15.25" style="1" customWidth="1"/>
    <col min="10" max="10" width="11" style="1"/>
    <col min="11" max="11" width="21.125" style="1" customWidth="1"/>
    <col min="12" max="12" width="12.375" style="1" customWidth="1"/>
    <col min="13" max="13" width="12" style="1" customWidth="1"/>
    <col min="14" max="14" width="11" style="1"/>
    <col min="15" max="15" width="12" style="1" customWidth="1"/>
    <col min="16" max="16" width="14" style="1" customWidth="1"/>
    <col min="17" max="17" width="14.75" style="1" customWidth="1"/>
    <col min="18" max="18" width="13.75" style="1" customWidth="1"/>
    <col min="19" max="19" width="14.5" style="1" customWidth="1"/>
    <col min="20" max="20" width="13.5" style="1" customWidth="1"/>
    <col min="21" max="21" width="13.125" style="1" bestFit="1" customWidth="1"/>
    <col min="22" max="22" width="11" style="1"/>
    <col min="23" max="23" width="11.625" style="1" customWidth="1"/>
    <col min="24" max="16384" width="11" style="1"/>
  </cols>
  <sheetData>
    <row r="1" spans="1:11" ht="23.25">
      <c r="A1" s="378" t="s">
        <v>275</v>
      </c>
      <c r="B1" s="378"/>
      <c r="C1" s="378"/>
      <c r="D1" s="378"/>
      <c r="E1" s="378"/>
      <c r="F1" s="378"/>
      <c r="G1" s="378"/>
      <c r="H1" s="378"/>
      <c r="I1" s="183" t="s">
        <v>148</v>
      </c>
    </row>
    <row r="2" spans="1:11" ht="18.75">
      <c r="A2" s="379" t="s">
        <v>200</v>
      </c>
      <c r="B2" s="380"/>
      <c r="C2" s="380"/>
      <c r="D2" s="380"/>
      <c r="E2" s="380"/>
      <c r="F2" s="380"/>
      <c r="G2" s="380"/>
      <c r="H2" s="380"/>
      <c r="I2" s="184" t="s">
        <v>278</v>
      </c>
    </row>
    <row r="3" spans="1:11" ht="26.25">
      <c r="A3" s="19"/>
      <c r="B3"/>
      <c r="C3" s="186"/>
      <c r="D3"/>
      <c r="E3"/>
      <c r="F3"/>
      <c r="G3"/>
      <c r="H3"/>
      <c r="I3" s="185">
        <v>43749</v>
      </c>
      <c r="K3" s="360" t="s">
        <v>264</v>
      </c>
    </row>
    <row r="4" spans="1:11">
      <c r="A4" s="20" t="s">
        <v>19</v>
      </c>
      <c r="B4" s="381"/>
      <c r="C4" s="382"/>
      <c r="D4" s="382"/>
      <c r="E4"/>
      <c r="F4"/>
      <c r="G4"/>
      <c r="H4"/>
      <c r="K4" s="361" t="s">
        <v>265</v>
      </c>
    </row>
    <row r="5" spans="1:11">
      <c r="A5" s="20" t="s">
        <v>20</v>
      </c>
      <c r="B5" s="381"/>
      <c r="C5" s="382"/>
      <c r="D5" s="382"/>
      <c r="E5"/>
      <c r="F5"/>
      <c r="G5"/>
      <c r="H5"/>
      <c r="K5" s="362" t="s">
        <v>266</v>
      </c>
    </row>
    <row r="6" spans="1:11">
      <c r="A6" s="20" t="s">
        <v>21</v>
      </c>
      <c r="B6" s="383"/>
      <c r="C6" s="382"/>
      <c r="D6" s="382"/>
      <c r="E6"/>
      <c r="F6"/>
      <c r="H6"/>
    </row>
    <row r="7" spans="1:11">
      <c r="A7" s="21" t="s">
        <v>22</v>
      </c>
      <c r="B7" s="381"/>
      <c r="C7" s="382"/>
      <c r="D7" s="382"/>
      <c r="E7"/>
      <c r="F7"/>
      <c r="G7"/>
      <c r="H7"/>
    </row>
    <row r="8" spans="1:11">
      <c r="A8" s="21" t="s">
        <v>23</v>
      </c>
      <c r="B8" s="384"/>
      <c r="C8" s="385"/>
      <c r="D8" s="386"/>
      <c r="E8"/>
      <c r="F8"/>
      <c r="G8"/>
      <c r="H8"/>
    </row>
    <row r="10" spans="1:11">
      <c r="A10" s="16"/>
      <c r="B10" s="16"/>
      <c r="C10" s="16"/>
      <c r="D10" s="16"/>
      <c r="E10" s="16"/>
      <c r="F10" s="16"/>
      <c r="G10" s="16"/>
    </row>
    <row r="11" spans="1:11" ht="23.25">
      <c r="A11" s="18" t="s">
        <v>277</v>
      </c>
    </row>
    <row r="12" spans="1:11" ht="18.75">
      <c r="A12" s="262" t="s">
        <v>226</v>
      </c>
      <c r="B12" s="41"/>
      <c r="C12" s="39"/>
      <c r="D12" s="40"/>
      <c r="E12" s="39"/>
      <c r="F12" s="39"/>
    </row>
    <row r="14" spans="1:11" ht="23.25">
      <c r="A14" s="18" t="s">
        <v>112</v>
      </c>
    </row>
    <row r="16" spans="1:11" ht="21" customHeight="1">
      <c r="A16" s="34" t="s">
        <v>198</v>
      </c>
      <c r="C16" s="27"/>
      <c r="D16" s="27"/>
      <c r="E16" s="27"/>
    </row>
    <row r="17" spans="1:11">
      <c r="C17" s="27"/>
      <c r="D17" s="27"/>
      <c r="E17" s="27"/>
    </row>
    <row r="18" spans="1:11" ht="54" customHeight="1">
      <c r="A18" s="50" t="s">
        <v>199</v>
      </c>
      <c r="B18" s="51" t="s">
        <v>143</v>
      </c>
      <c r="C18" s="51" t="s">
        <v>111</v>
      </c>
      <c r="D18" s="51" t="s">
        <v>115</v>
      </c>
      <c r="E18" s="51" t="s">
        <v>110</v>
      </c>
      <c r="F18" s="10" t="s">
        <v>0</v>
      </c>
      <c r="G18" s="10" t="s">
        <v>1</v>
      </c>
      <c r="H18" s="6"/>
      <c r="I18" s="80"/>
    </row>
    <row r="19" spans="1:11">
      <c r="A19" s="32" t="s">
        <v>97</v>
      </c>
      <c r="B19" s="78"/>
      <c r="C19" s="78"/>
      <c r="D19" s="387"/>
      <c r="E19" s="78"/>
      <c r="F19" s="371" t="str">
        <f>Berechnungstabellen!G4</f>
        <v>ständig</v>
      </c>
      <c r="G19" s="354">
        <f>VLOOKUP(F19,Berechnungstabellen!G4:J4,Bemessung!F24+1,FALSE)</f>
        <v>0.6</v>
      </c>
      <c r="H19" s="28"/>
      <c r="I19" s="81"/>
    </row>
    <row r="20" spans="1:11">
      <c r="A20" s="32" t="s">
        <v>104</v>
      </c>
      <c r="B20" s="78"/>
      <c r="C20" s="78"/>
      <c r="D20" s="388"/>
      <c r="E20" s="78"/>
      <c r="F20" s="79" t="s">
        <v>3</v>
      </c>
      <c r="G20" s="354">
        <f>VLOOKUP(F20,Berechnungstabellen!G6:J7,Bemessung!F24+1,FALSE)</f>
        <v>0.9</v>
      </c>
      <c r="H20" s="28"/>
      <c r="I20" s="81"/>
    </row>
    <row r="21" spans="1:11">
      <c r="A21" s="11" t="s">
        <v>105</v>
      </c>
      <c r="B21" s="78"/>
      <c r="C21" s="78"/>
      <c r="D21" s="388"/>
      <c r="E21" s="78"/>
      <c r="F21" s="66" t="s">
        <v>108</v>
      </c>
      <c r="G21" s="355">
        <f>VLOOKUP(F21,Berechnungstabellen!G5:J7,Bemessung!F24+1,FALSE)</f>
        <v>0.8</v>
      </c>
      <c r="H21" s="28"/>
      <c r="I21" s="81"/>
    </row>
    <row r="22" spans="1:11">
      <c r="A22" s="11" t="s">
        <v>106</v>
      </c>
      <c r="B22" s="78"/>
      <c r="C22" s="78"/>
      <c r="D22" s="389"/>
      <c r="E22" s="78"/>
      <c r="F22" s="66" t="s">
        <v>224</v>
      </c>
      <c r="G22" s="354">
        <f>VLOOKUP(F22,Berechnungstabellen!G6:J87,Bemessung!F24+1,FALSE)</f>
        <v>1</v>
      </c>
      <c r="H22" s="28"/>
      <c r="I22" s="81"/>
    </row>
    <row r="23" spans="1:11">
      <c r="A23" s="11" t="s">
        <v>107</v>
      </c>
      <c r="B23" s="78"/>
      <c r="C23" s="77"/>
      <c r="D23" s="78"/>
      <c r="E23" s="78"/>
      <c r="F23" s="66" t="s">
        <v>224</v>
      </c>
      <c r="G23" s="354">
        <f>VLOOKUP(F23,Berechnungstabellen!G7:J8,Bemessung!F24+1,FALSE)</f>
        <v>1</v>
      </c>
      <c r="H23" s="13"/>
      <c r="I23" s="9"/>
    </row>
    <row r="24" spans="1:11">
      <c r="B24" s="2"/>
      <c r="C24" s="45"/>
      <c r="D24" s="45"/>
      <c r="E24" s="11" t="s">
        <v>229</v>
      </c>
      <c r="F24" s="352">
        <v>1</v>
      </c>
      <c r="G24" s="365" t="str">
        <f>VLOOKUP(F24,Berechnungstabellen!H11:I13,2,FALSE)</f>
        <v>Innenräume</v>
      </c>
      <c r="H24" s="350" t="str">
        <f>IF(AND(F24=3,B36=Berechnungstabellen!K17),"BauBuche ist nur für NKL 1+2 zugelassen!","")</f>
        <v/>
      </c>
    </row>
    <row r="25" spans="1:11">
      <c r="A25" s="1" t="s">
        <v>262</v>
      </c>
      <c r="B25" s="53" t="s">
        <v>263</v>
      </c>
      <c r="C25" s="356"/>
      <c r="D25" s="356"/>
      <c r="E25" s="7"/>
      <c r="F25" s="374"/>
      <c r="G25" s="7"/>
    </row>
    <row r="27" spans="1:11" ht="23.25">
      <c r="A27" s="18" t="s">
        <v>276</v>
      </c>
    </row>
    <row r="28" spans="1:11" ht="16.5" thickBot="1">
      <c r="F28" s="331"/>
      <c r="G28" s="1" t="s">
        <v>252</v>
      </c>
    </row>
    <row r="29" spans="1:11">
      <c r="A29" s="153" t="s">
        <v>83</v>
      </c>
      <c r="B29" s="154" t="s">
        <v>242</v>
      </c>
      <c r="C29" s="252">
        <v>1</v>
      </c>
      <c r="D29" s="155" t="s">
        <v>151</v>
      </c>
      <c r="E29" s="265" t="str">
        <f>IF(AND(D23&lt;0,C29=0),"Bitte Sperrbügelanzahl angeben !","")</f>
        <v/>
      </c>
      <c r="F29" s="331"/>
      <c r="J29" s="5"/>
    </row>
    <row r="30" spans="1:11" ht="22.5">
      <c r="A30" s="158" t="s">
        <v>154</v>
      </c>
      <c r="B30" s="31">
        <f>B35*VLOOKUP(B29,Berechnungstabellen!A21:B32,2,FALSE)</f>
        <v>2</v>
      </c>
      <c r="C30" s="7" t="str">
        <f>IF(B30=1,"A2 Senkschraube","A2 Senkschrauben")</f>
        <v>A2 Senkschrauben</v>
      </c>
      <c r="D30" s="31">
        <v>8</v>
      </c>
      <c r="E30" s="266">
        <v>50</v>
      </c>
      <c r="F30" s="44"/>
      <c r="I30" s="53" t="s">
        <v>253</v>
      </c>
      <c r="J30" s="5"/>
      <c r="K30" s="375"/>
    </row>
    <row r="31" spans="1:11">
      <c r="A31" s="158"/>
      <c r="B31" s="31">
        <f>B35*VLOOKUP(B29,Berechnungstabellen!A21:E32,5,FALSE)</f>
        <v>4</v>
      </c>
      <c r="C31" s="7" t="s">
        <v>227</v>
      </c>
      <c r="D31" s="31">
        <v>5</v>
      </c>
      <c r="E31" s="266">
        <v>50</v>
      </c>
      <c r="F31" s="402" t="s">
        <v>254</v>
      </c>
      <c r="G31" s="2" t="s">
        <v>255</v>
      </c>
      <c r="J31" s="5"/>
    </row>
    <row r="32" spans="1:11" ht="15.75" customHeight="1">
      <c r="A32" s="159" t="s">
        <v>155</v>
      </c>
      <c r="B32" s="31">
        <f>B35*VLOOKUP(Bemessung!B29,Berechnungstabellen!A21:H32,8,FALSE)</f>
        <v>2</v>
      </c>
      <c r="C32" s="7" t="str">
        <f>IF(B35=1,"A2 Senkschraube","A2 Senkschrauben")</f>
        <v>A2 Senkschraube</v>
      </c>
      <c r="D32" s="31">
        <v>8</v>
      </c>
      <c r="E32" s="327">
        <v>80</v>
      </c>
      <c r="F32" s="402"/>
      <c r="J32" s="5"/>
    </row>
    <row r="33" spans="1:10">
      <c r="A33" s="159"/>
      <c r="B33" s="31">
        <f>B35*VLOOKUP(B29,Berechnungstabellen!A21:K32,11,FALSE)</f>
        <v>4</v>
      </c>
      <c r="C33" s="7" t="s">
        <v>227</v>
      </c>
      <c r="D33" s="31">
        <v>5</v>
      </c>
      <c r="E33" s="266">
        <f>E32</f>
        <v>80</v>
      </c>
      <c r="F33" s="402"/>
      <c r="G33" s="403" t="s">
        <v>256</v>
      </c>
      <c r="H33" s="403"/>
      <c r="I33" s="7"/>
      <c r="J33" s="5"/>
    </row>
    <row r="34" spans="1:10">
      <c r="A34" s="159" t="s">
        <v>258</v>
      </c>
      <c r="B34" s="335">
        <v>90</v>
      </c>
      <c r="C34" s="353" t="str">
        <f>IF(B34&lt;83,"Bitte bei Schräganschlüsse auf die Schraubenlänge im NT achten!","")</f>
        <v/>
      </c>
      <c r="D34" s="31"/>
      <c r="E34" s="266"/>
      <c r="F34" s="402"/>
      <c r="G34" s="403"/>
      <c r="H34" s="403"/>
      <c r="I34" s="7"/>
      <c r="J34" s="5"/>
    </row>
    <row r="35" spans="1:10">
      <c r="A35" s="157" t="s">
        <v>184</v>
      </c>
      <c r="B35" s="235">
        <v>1</v>
      </c>
      <c r="C35" s="7" t="str">
        <f>IF(OR(B35=1,B35=2),"RICON® A2 Verbinder pro Haupt-Nebenträger-Anschluss","Bitte zwischen 1 + 2 auswählen!")</f>
        <v>RICON® A2 Verbinder pro Haupt-Nebenträger-Anschluss</v>
      </c>
      <c r="D35" s="7"/>
      <c r="E35" s="250"/>
      <c r="F35" s="402"/>
      <c r="G35" s="403"/>
      <c r="H35" s="403"/>
      <c r="J35" s="5"/>
    </row>
    <row r="36" spans="1:10">
      <c r="A36" s="157" t="s">
        <v>145</v>
      </c>
      <c r="B36" s="62" t="s">
        <v>149</v>
      </c>
      <c r="C36" s="29" t="s">
        <v>146</v>
      </c>
      <c r="D36" s="30"/>
      <c r="E36" s="250"/>
      <c r="F36" s="402"/>
      <c r="G36" s="403"/>
      <c r="H36" s="403"/>
      <c r="J36" s="5"/>
    </row>
    <row r="37" spans="1:10" ht="18.75">
      <c r="A37" s="157" t="s">
        <v>79</v>
      </c>
      <c r="B37" s="260">
        <f>VLOOKUP(B36,Berechnungstabellen!K2:L17,2,FALSE)</f>
        <v>385</v>
      </c>
      <c r="C37" s="29" t="str">
        <f>IF(B37&gt;590,"max. wird 590 kg/m³ gerechnet !","")</f>
        <v/>
      </c>
      <c r="D37" s="7"/>
      <c r="E37" s="250"/>
      <c r="F37" s="402"/>
      <c r="G37" s="403"/>
      <c r="H37" s="403"/>
      <c r="J37" s="5"/>
    </row>
    <row r="38" spans="1:10" ht="16.5" thickBot="1">
      <c r="A38" s="264"/>
      <c r="B38" s="160"/>
      <c r="C38" s="160"/>
      <c r="D38" s="160"/>
      <c r="E38" s="171"/>
      <c r="F38" s="332"/>
      <c r="G38" s="333" t="s">
        <v>257</v>
      </c>
      <c r="H38" s="334"/>
      <c r="I38" s="334"/>
      <c r="J38" s="5"/>
    </row>
    <row r="39" spans="1:10">
      <c r="J39" s="5"/>
    </row>
    <row r="40" spans="1:10">
      <c r="B40" s="401" t="s">
        <v>82</v>
      </c>
      <c r="C40" s="401"/>
      <c r="D40" s="401"/>
      <c r="E40" s="2"/>
    </row>
    <row r="41" spans="1:10" ht="18.75">
      <c r="A41" s="12" t="s">
        <v>1</v>
      </c>
      <c r="B41" s="26" t="s">
        <v>80</v>
      </c>
      <c r="C41" s="26" t="s">
        <v>24</v>
      </c>
      <c r="D41" s="26" t="s">
        <v>98</v>
      </c>
      <c r="E41" s="26" t="s">
        <v>81</v>
      </c>
    </row>
    <row r="42" spans="1:10">
      <c r="A42" s="56">
        <f>IF(OR($F$24=1,$F$24=2),0.6,0.5)</f>
        <v>0.6</v>
      </c>
      <c r="B42" s="26">
        <f>SUM(Berechnungstabellen!B37:B48)*$B$35</f>
        <v>0.90722617543842998</v>
      </c>
      <c r="C42" s="26">
        <f>SUM(Berechnungstabellen!B54:B65)*$B$35</f>
        <v>4.7683263376840959</v>
      </c>
      <c r="D42" s="397"/>
      <c r="E42" s="26">
        <f>SUM(Berechnungstabellen!B87:B98)*B35</f>
        <v>4.5</v>
      </c>
    </row>
    <row r="43" spans="1:10">
      <c r="A43" s="56">
        <f>IF(OR($F$24=1,$F$24=2),0.7,0.55)</f>
        <v>0.7</v>
      </c>
      <c r="B43" s="26">
        <f>SUM(Berechnungstabellen!C37:C48)*B35</f>
        <v>1.0584305380115018</v>
      </c>
      <c r="C43" s="26">
        <f>SUM(Berechnungstabellen!C54:C65)*B35</f>
        <v>5.5630473939647773</v>
      </c>
      <c r="D43" s="398"/>
      <c r="E43" s="26">
        <f>SUM(Berechnungstabellen!C87:C98)*B35</f>
        <v>4.5</v>
      </c>
    </row>
    <row r="44" spans="1:10">
      <c r="A44" s="56">
        <f>IF(OR($F$24=1,$F$24=2),0.8,0.65)</f>
        <v>0.8</v>
      </c>
      <c r="B44" s="26">
        <f>SUM(Berechnungstabellen!D37:D48)*B35</f>
        <v>1.2096349005845735</v>
      </c>
      <c r="C44" s="26">
        <f>SUM(Berechnungstabellen!D54:D65)*B35</f>
        <v>6.3577684502454606</v>
      </c>
      <c r="D44" s="399"/>
      <c r="E44" s="26">
        <f>SUM(Berechnungstabellen!D87:D98)*B35</f>
        <v>4.5</v>
      </c>
    </row>
    <row r="45" spans="1:10">
      <c r="A45" s="56">
        <f>IF(OR($F$24=1,$F$24=2),0.9,0.7)</f>
        <v>0.9</v>
      </c>
      <c r="B45" s="26">
        <f>SUM(Berechnungstabellen!E37:E48)*$B$35</f>
        <v>1.3608392631576454</v>
      </c>
      <c r="C45" s="26">
        <f>SUM(Berechnungstabellen!E54:E65)*$B$35</f>
        <v>7.1524895065261429</v>
      </c>
      <c r="D45" s="223">
        <f>$B$35*IF($C$29=0,0,IF($C$29=1,VLOOKUP($B$29,Berechnungstabellen!A71:C82,2,FALSE),IF($C$29=2,VLOOKUP($B$29,Berechnungstabellen!A71:D82,4,FALSE),"")))</f>
        <v>1.52</v>
      </c>
      <c r="E45" s="26">
        <f>SUM(Berechnungstabellen!E87:E98)*B35</f>
        <v>4.5</v>
      </c>
    </row>
    <row r="46" spans="1:10">
      <c r="A46" s="56">
        <f>IF(OR($F$24=1,$F$24=2),1,0.8)</f>
        <v>1</v>
      </c>
      <c r="B46" s="26">
        <f>SUM(Berechnungstabellen!F37:F48)*$B$35</f>
        <v>1.5120436257307168</v>
      </c>
      <c r="C46" s="26">
        <f>SUM(Berechnungstabellen!F54:F65)*$B$35</f>
        <v>7.9472105628068261</v>
      </c>
      <c r="D46" s="223">
        <f>$B$35*IF($C$29=0,0,IF($C$29=1,VLOOKUP($B$29,Berechnungstabellen!A71:C82,3,FALSE),IF($C$29=2,VLOOKUP($B$29,Berechnungstabellen!A71:E82,5,FALSE),"")))</f>
        <v>1.52</v>
      </c>
      <c r="E46" s="26">
        <f>SUM(Berechnungstabellen!F87:F98)*B35</f>
        <v>4.5</v>
      </c>
    </row>
    <row r="47" spans="1:10">
      <c r="B47" s="2"/>
      <c r="C47" s="4"/>
    </row>
    <row r="48" spans="1:10" ht="23.25">
      <c r="A48" s="18" t="s">
        <v>5</v>
      </c>
    </row>
    <row r="49" spans="1:9" ht="16.5" thickBot="1"/>
    <row r="50" spans="1:9" ht="37.5">
      <c r="A50" s="172" t="s">
        <v>96</v>
      </c>
      <c r="B50" s="173" t="s">
        <v>99</v>
      </c>
      <c r="C50" s="174" t="s">
        <v>102</v>
      </c>
      <c r="D50" s="174" t="s">
        <v>103</v>
      </c>
      <c r="E50" s="175" t="s">
        <v>100</v>
      </c>
      <c r="F50" s="43" t="s">
        <v>101</v>
      </c>
    </row>
    <row r="51" spans="1:9" ht="16.5" thickBot="1">
      <c r="A51" s="176" t="s">
        <v>97</v>
      </c>
      <c r="B51" s="47">
        <f>(B19/B42)^2</f>
        <v>0</v>
      </c>
      <c r="C51" s="47">
        <f>IF(OR(B51&gt;0,E51&gt;0),(C19/C42)^2,C19/C42)</f>
        <v>0</v>
      </c>
      <c r="D51" s="394"/>
      <c r="E51" s="177">
        <f>(E19/E42)^2</f>
        <v>0</v>
      </c>
      <c r="F51" s="60">
        <f>B51+C51+E51</f>
        <v>0</v>
      </c>
      <c r="G51" s="17" t="str">
        <f>IF(F51&gt;1,"&gt;1,0","&lt;=1,0")</f>
        <v>&lt;=1,0</v>
      </c>
    </row>
    <row r="52" spans="1:9" ht="17.25" thickTop="1" thickBot="1">
      <c r="A52" s="176" t="s">
        <v>104</v>
      </c>
      <c r="B52" s="47">
        <f>(B20/VLOOKUP(G20,A42:B45,2))^2</f>
        <v>0</v>
      </c>
      <c r="C52" s="47">
        <f>IF(B52&gt;0,(C20/VLOOKUP(G20,A42:E45,3))^2,(C20/VLOOKUP(G20,A42:E45,3)))</f>
        <v>0</v>
      </c>
      <c r="D52" s="395"/>
      <c r="E52" s="177">
        <f>(E20/VLOOKUP(G20,A42:E45,5))^2</f>
        <v>0</v>
      </c>
      <c r="F52" s="60">
        <f>B52+C52+E52</f>
        <v>0</v>
      </c>
      <c r="G52" s="17" t="str">
        <f>IF(F52&gt;1,"&gt;1,0","&lt;=1,0")</f>
        <v>&lt;=1,0</v>
      </c>
    </row>
    <row r="53" spans="1:9" ht="17.25" thickTop="1" thickBot="1">
      <c r="A53" s="178" t="s">
        <v>105</v>
      </c>
      <c r="B53" s="47">
        <f>(B21/VLOOKUP(G21,A42:E45,2))^2</f>
        <v>0</v>
      </c>
      <c r="C53" s="47">
        <f>IF(OR(B53&gt;0,E53&gt;0),(C21/VLOOKUP(G21,A42:C45,3))^2,C21/VLOOKUP(G21,A42:C45,3))</f>
        <v>0</v>
      </c>
      <c r="D53" s="395"/>
      <c r="E53" s="177">
        <f>(E21/VLOOKUP(G21,A42:E45,5))^2</f>
        <v>0</v>
      </c>
      <c r="F53" s="60">
        <f>B53+C53+E53</f>
        <v>0</v>
      </c>
      <c r="G53" s="17" t="str">
        <f>IF(F53&gt;1,"&gt;1,0","&lt;=1,0")</f>
        <v>&lt;=1,0</v>
      </c>
    </row>
    <row r="54" spans="1:9" ht="17.25" thickTop="1" thickBot="1">
      <c r="A54" s="178" t="s">
        <v>106</v>
      </c>
      <c r="B54" s="47">
        <f>(B22/VLOOKUP(G22,$A$42:$B$46,2))^2</f>
        <v>0</v>
      </c>
      <c r="C54" s="47">
        <f>IF(B54&gt;0,(C22/VLOOKUP(G22,A42:C46,3))^2,C22/VLOOKUP(G22,A42:C46,3))</f>
        <v>0</v>
      </c>
      <c r="D54" s="396"/>
      <c r="E54" s="177">
        <f>(E22/VLOOKUP(G22,$A$42:$E$46,5))^2</f>
        <v>0</v>
      </c>
      <c r="F54" s="60">
        <f>B54+C54+E54</f>
        <v>0</v>
      </c>
      <c r="G54" s="17" t="str">
        <f>IF(F54&gt;1,"&gt;1,0","&lt;=1,0")</f>
        <v>&lt;=1,0</v>
      </c>
    </row>
    <row r="55" spans="1:9" ht="17.25" thickTop="1" thickBot="1">
      <c r="A55" s="179" t="s">
        <v>107</v>
      </c>
      <c r="B55" s="180">
        <f>(B23/VLOOKUP(G23,$A$42:$B$46,2))^2</f>
        <v>0</v>
      </c>
      <c r="C55" s="181"/>
      <c r="D55" s="180">
        <f>IF(C29=0,0,IF(OR(B55&gt;0,E55&gt;0),(-D23/VLOOKUP(G23,A45:D46,4,FALSE))^2,(-D23/VLOOKUP(G23,A45:D46,4,FALSE))))</f>
        <v>0</v>
      </c>
      <c r="E55" s="182">
        <f>(E23/VLOOKUP(G23,$A$42:$E$46,5))^2</f>
        <v>0</v>
      </c>
      <c r="F55" s="60">
        <f>B55+D55+E55</f>
        <v>0</v>
      </c>
      <c r="G55" s="17" t="str">
        <f>IF(F55&gt;1,"&gt;1,0","&lt;=1,0")</f>
        <v>&lt;=1,0</v>
      </c>
    </row>
    <row r="56" spans="1:9">
      <c r="D56" s="5"/>
      <c r="F56" s="34" t="str">
        <f>IF(AND(F51&lt;=1,F52&lt;=1,F53&lt;=1,F54&lt;=1,F55&lt;=1),"Nachweise erbracht !","Nachweise nicht erbracht !")</f>
        <v>Nachweise erbracht !</v>
      </c>
    </row>
    <row r="57" spans="1:9">
      <c r="A57" s="34" t="s">
        <v>144</v>
      </c>
      <c r="D57" s="5"/>
      <c r="F57" s="34"/>
    </row>
    <row r="58" spans="1:9">
      <c r="D58" s="5"/>
      <c r="F58" s="34"/>
    </row>
    <row r="63" spans="1:9">
      <c r="A63" s="8"/>
      <c r="B63" s="8"/>
      <c r="C63" s="8"/>
      <c r="D63" s="8"/>
      <c r="E63" s="8"/>
      <c r="F63" s="8"/>
      <c r="G63" s="8"/>
      <c r="H63" s="8"/>
      <c r="I63" s="8"/>
    </row>
    <row r="65" spans="1:9" ht="23.25">
      <c r="A65" s="18" t="s">
        <v>25</v>
      </c>
    </row>
    <row r="67" spans="1:9" ht="18.75" customHeight="1">
      <c r="A67" s="400" t="s">
        <v>118</v>
      </c>
      <c r="B67" s="400"/>
      <c r="C67" s="400"/>
      <c r="D67" s="400"/>
      <c r="E67" s="400"/>
      <c r="F67" s="400"/>
      <c r="G67" s="400"/>
      <c r="H67" s="400"/>
      <c r="I67" s="400"/>
    </row>
    <row r="68" spans="1:9">
      <c r="A68" s="400"/>
      <c r="B68" s="400"/>
      <c r="C68" s="400"/>
      <c r="D68" s="400"/>
      <c r="E68" s="400"/>
      <c r="F68" s="400"/>
      <c r="G68" s="400"/>
      <c r="H68" s="400"/>
      <c r="I68" s="400"/>
    </row>
    <row r="70" spans="1:9">
      <c r="B70" s="1">
        <f>IF(B35=1,B35,"")</f>
        <v>1</v>
      </c>
      <c r="C70" s="232" t="str">
        <f>IF(B35=1,B29,"Zeichnung nicht maßgebend!")</f>
        <v>RICON 100/30 EA A2</v>
      </c>
      <c r="E70" s="1" t="str">
        <f>IF(B35=2,B35,"")</f>
        <v/>
      </c>
      <c r="F70" s="1" t="str">
        <f>IF(B35=2,B29,"Zeichnung nicht maßgebend !")</f>
        <v>Zeichnung nicht maßgebend !</v>
      </c>
    </row>
    <row r="72" spans="1:9" ht="18.75">
      <c r="B72" s="53" t="s">
        <v>185</v>
      </c>
      <c r="C72" s="2" t="s">
        <v>196</v>
      </c>
      <c r="D72" s="263"/>
      <c r="E72" s="261" t="str">
        <f>IF($B$35=2,VLOOKUP($B$29,Berechnungstabellen!$A$21:$P$32,16,FALSE)+G72,"")</f>
        <v/>
      </c>
      <c r="G72" s="237"/>
      <c r="H72" s="2"/>
    </row>
    <row r="73" spans="1:9">
      <c r="B73" s="236">
        <f>IF($B$35=1,VLOOKUP($B$29,Berechnungstabellen!$A$21:$P$32,16,FALSE)+D72,"")</f>
        <v>10</v>
      </c>
    </row>
    <row r="74" spans="1:9">
      <c r="A74" s="1" t="s">
        <v>7</v>
      </c>
    </row>
    <row r="75" spans="1:9">
      <c r="A75" s="1" t="s">
        <v>8</v>
      </c>
      <c r="B75" s="63">
        <f>IF($B$35=1,D72+D75-VLOOKUP(B29,Berechnungstabellen!$A$21:$Q$32,17,FALSE),"")</f>
        <v>80</v>
      </c>
      <c r="D75" s="254">
        <f>VLOOKUP(B29,Berechnungstabellen!A21:N32,14,FALSE)</f>
        <v>100</v>
      </c>
      <c r="E75" s="259" t="str">
        <f>IF($B$35=2,G72+G75-VLOOKUP(B29,Berechnungstabellen!$A$21:$Q$32,17,FALSE),"")</f>
        <v/>
      </c>
      <c r="G75" s="22">
        <f>VLOOKUP(B29,Berechnungstabellen!A21:N32,14,FALSE)</f>
        <v>100</v>
      </c>
    </row>
    <row r="76" spans="1:9">
      <c r="D76" s="258"/>
      <c r="H76" s="253">
        <v>200</v>
      </c>
    </row>
    <row r="79" spans="1:9">
      <c r="A79" s="1" t="s">
        <v>10</v>
      </c>
    </row>
    <row r="80" spans="1:9">
      <c r="A80" s="1" t="s">
        <v>9</v>
      </c>
      <c r="D80" s="255">
        <f>IF(B35=1,D76-D75-D72-D79,"")</f>
        <v>-100</v>
      </c>
      <c r="G80" s="23" t="str">
        <f>IF(B35=2,H76-G75-G72-G79,"")</f>
        <v/>
      </c>
      <c r="H80" s="404" t="str">
        <f>IF(B35=1,"",IF(G80&lt;10,"t ≥ 10mm sein!",""))</f>
        <v/>
      </c>
      <c r="I80" s="404"/>
    </row>
    <row r="81" spans="1:9">
      <c r="D81" s="23"/>
      <c r="G81" s="23"/>
    </row>
    <row r="82" spans="1:9">
      <c r="D82" s="350" t="str">
        <f>IF(D80&lt;10,"t ≥ 10mm sein!","")</f>
        <v>t ≥ 10mm sein!</v>
      </c>
      <c r="F82" s="348">
        <v>10</v>
      </c>
    </row>
    <row r="83" spans="1:9">
      <c r="B83" s="1">
        <f>IF(B35=1,(C84-C83)/2,"")</f>
        <v>10</v>
      </c>
      <c r="C83" s="52">
        <f>VLOOKUP(B29,Berechnungstabellen!A21:O32,15,FALSE)</f>
        <v>30</v>
      </c>
      <c r="D83" s="53">
        <f>IF(B35=1,(C84-C83)/2,"")</f>
        <v>10</v>
      </c>
      <c r="E83" s="5" t="str">
        <f>IF(B35=2,(F85-2*40-F82)/2,"")</f>
        <v/>
      </c>
      <c r="F83" s="256">
        <f>VLOOKUP(B29,Berechnungstabellen!A21:O32,15,FALSE)</f>
        <v>30</v>
      </c>
    </row>
    <row r="84" spans="1:9">
      <c r="C84" s="65">
        <v>50</v>
      </c>
      <c r="F84" s="349">
        <f>F83</f>
        <v>30</v>
      </c>
      <c r="G84" s="5" t="str">
        <f>IF(B35=2,E83,"")</f>
        <v/>
      </c>
    </row>
    <row r="85" spans="1:9">
      <c r="F85" s="65">
        <v>100</v>
      </c>
    </row>
    <row r="86" spans="1:9">
      <c r="A86" s="1" t="str">
        <f>IF(B35=1,IF(OR(D76&lt;80,D76&gt;320),"Mindestnebenträgerhöhe HN=80, max HN &lt;= 320 mm !",""),"")</f>
        <v>Mindestnebenträgerhöhe HN=80, max HN &lt;= 320 mm !</v>
      </c>
      <c r="E86" s="1" t="str">
        <f>IF(B35=2,IF(OR(H76&lt;80,H76&gt;320),"Mindestnebenträgerhöhe HN=80, max HN &lt;= 320 mm !",""),"")</f>
        <v/>
      </c>
    </row>
    <row r="87" spans="1:9">
      <c r="A87" s="346" t="str">
        <f>IF(B35=1,IF(AND($B$35=1,D76&gt;VLOOKUP(C70,Berechnungstabellen!A103:E114,5,FALSE)),"Bitte den nächst größeren Verbinder auswählen!",""),"")</f>
        <v/>
      </c>
      <c r="E87" s="346" t="str">
        <f>IF(B35=1,"",IF(B35=2,IF(AND($B$35=2,H76&gt;VLOOKUP(F70,Berechnungstabellen!A119:E130,5,FALSE)),"Bitte den nächst größeren Verbinder auswählen!",""),""))</f>
        <v/>
      </c>
    </row>
    <row r="88" spans="1:9">
      <c r="A88" s="347" t="str">
        <f>IF(B35=2,"",IF(AND($B$35=1,C84&gt;VLOOKUP(C70,Berechnungstabellen!A103:E114,4,FALSE)),"Die Nebenträgerbreite sollte nicht breiter als die maximale Breite sein!",""))</f>
        <v/>
      </c>
      <c r="E88" s="346" t="str">
        <f>IF(B35=1,"",IF(AND($B$35=2,F85&gt;VLOOKUP(F70,Berechnungstabellen!A119:E130,4,FALSE)),"Die Nebenträgerbreite sollte nicht breiter als die maximale Breite sein!",""))</f>
        <v/>
      </c>
    </row>
    <row r="89" spans="1:9">
      <c r="A89" s="347" t="str">
        <f>IF(B35=2,"",IF(C84=0,"",IF(AND($B$35=1,C84&lt;VLOOKUP(C70,Berechnungstabellen!A103:E114,2,FALSE)),"Die Nebenträgerbreite BN ≥50 mm sein!","")))</f>
        <v/>
      </c>
      <c r="E89" s="347" t="str">
        <f>IF(B35=1,"",IF(F85=0,"",IF(AND($B$35=2,F85&lt;VLOOKUP(F70,Berechnungstabellen!A119:E130,2,FALSE)),"Die Nebenträgerbreite BN &gt;=100 mm sein!","")))</f>
        <v/>
      </c>
    </row>
    <row r="91" spans="1:9" ht="18.75">
      <c r="A91" s="257" t="s">
        <v>137</v>
      </c>
    </row>
    <row r="92" spans="1:9" ht="19.5" thickBot="1">
      <c r="A92" s="76" t="s">
        <v>140</v>
      </c>
      <c r="B92" s="74" t="e">
        <f>IF(B35=1,B75/D76,IF(B35=2,E75/H76,""))</f>
        <v>#DIV/0!</v>
      </c>
      <c r="C92" s="75" t="e">
        <f>IF(B92&lt;0.7,"&lt;0,7",IF(B92=0.7,"=0,7","&gt;0,7"))</f>
        <v>#DIV/0!</v>
      </c>
      <c r="D92" s="370" t="e">
        <f>IF(B92&gt;0.7,"=&gt; Querzugnachweis entfällt!","=&gt; Querzugverstärkung erforderlich!")</f>
        <v>#DIV/0!</v>
      </c>
    </row>
    <row r="93" spans="1:9" ht="16.5" thickTop="1"/>
    <row r="94" spans="1:9" ht="16.5" thickBot="1"/>
    <row r="95" spans="1:9" ht="23.25">
      <c r="A95" s="376" t="s">
        <v>147</v>
      </c>
      <c r="B95" s="156"/>
      <c r="C95" s="161"/>
      <c r="D95" s="377" t="s">
        <v>4</v>
      </c>
      <c r="E95" s="162"/>
      <c r="F95" s="163"/>
      <c r="G95" s="164"/>
      <c r="H95" s="370" t="str">
        <f>IF(C95=0,"",IF(OR(AND(G95&lt;=B75,B35=1),AND(G95&lt;=E75,B35=2)),"Bitte Schraubenlänge erhöhen!",""))</f>
        <v/>
      </c>
    </row>
    <row r="96" spans="1:9">
      <c r="A96" s="157"/>
      <c r="B96" s="82" t="s">
        <v>138</v>
      </c>
      <c r="C96" s="83" t="s">
        <v>274</v>
      </c>
      <c r="D96" s="82" t="str">
        <f>IF(C96="Typ 1",Berechnungstabellen!B132,IF(C96="Typ 2",Berechnungstabellen!B136,Berechnungstabellen!B140))</f>
        <v>SWG [ ETA-12/0197]</v>
      </c>
      <c r="E96" s="7"/>
      <c r="F96" s="31"/>
      <c r="G96" s="165"/>
      <c r="H96" s="390" t="str">
        <f>IF(C95=0,"",IF(OR(AND(G95&gt;=D76,B35=1),AND(B35=2,G95&gt;=H76)),"Bitte kürzere Schraubenlänge wählen!",""))</f>
        <v/>
      </c>
      <c r="I96" s="391"/>
    </row>
    <row r="97" spans="1:10" ht="16.5" thickBot="1">
      <c r="A97" s="166" t="s">
        <v>6</v>
      </c>
      <c r="B97" s="167"/>
      <c r="C97" s="168">
        <f>IF(B35=1,C84,IF(B35=2,F85,""))</f>
        <v>50</v>
      </c>
      <c r="D97" s="169">
        <f>IF(B35=1,D76,IF(B35=2,H76,""))</f>
        <v>0</v>
      </c>
      <c r="E97" s="170" t="str">
        <f>B36</f>
        <v>GL24h</v>
      </c>
      <c r="F97" s="160"/>
      <c r="G97" s="171"/>
      <c r="H97" s="390"/>
      <c r="I97" s="391"/>
    </row>
    <row r="99" spans="1:10">
      <c r="B99" s="2" t="s">
        <v>11</v>
      </c>
      <c r="C99" s="54" t="str">
        <f>IF(C95=0,"",B92)</f>
        <v/>
      </c>
    </row>
    <row r="100" spans="1:10" ht="18.75">
      <c r="B100" s="2" t="s">
        <v>119</v>
      </c>
      <c r="C100" s="64" t="str">
        <f>IF(C95=0,"",MAX(C19:C23))</f>
        <v/>
      </c>
    </row>
    <row r="101" spans="1:10" ht="18.75">
      <c r="B101" s="2" t="s">
        <v>12</v>
      </c>
      <c r="C101" s="3" t="str">
        <f>IF(C95=0,"",(1-3*(C99^2)+2*C99^3)*C100)</f>
        <v/>
      </c>
    </row>
    <row r="103" spans="1:10" ht="18.75">
      <c r="B103" s="2" t="s">
        <v>13</v>
      </c>
      <c r="C103" s="14" t="str">
        <f>IF(C95=0,"",IF(B35=1,G95-B75,G95-E75))</f>
        <v/>
      </c>
    </row>
    <row r="104" spans="1:10" ht="18.75">
      <c r="B104" s="16" t="s">
        <v>127</v>
      </c>
      <c r="C104" s="59" t="str">
        <f>IF(C95=0,"",IF(C96="Typ 1",VLOOKUP(F95,Berechnungstabellen!A134:B135,2),IF(C96="Typ 2",VLOOKUP(F95,Berechnungstabellen!A138:B139,2),IF(C96="Typ 3",VLOOKUP(F95,Berechnungstabellen!A142:B143,2),""))))</f>
        <v/>
      </c>
      <c r="D104" s="58"/>
      <c r="E104" s="58"/>
      <c r="F104" s="46"/>
    </row>
    <row r="105" spans="1:10" ht="18.75">
      <c r="B105" s="16" t="s">
        <v>126</v>
      </c>
      <c r="C105" s="59" t="str">
        <f>IF(C95=0,"",C104/1.25)</f>
        <v/>
      </c>
      <c r="D105" s="58"/>
      <c r="E105" s="58"/>
      <c r="F105" s="46"/>
    </row>
    <row r="106" spans="1:10" ht="18.75">
      <c r="B106" s="2" t="s">
        <v>120</v>
      </c>
      <c r="C106" s="49" t="str">
        <f>IF(C95=0,"",IF(C96="Typ 1",VLOOKUP(F95,Berechnungstabellen!A134:C135,3),IF(C96="Typ 2",VLOOKUP(F95,Berechnungstabellen!A138:C139,3),IF(C96="Typ 3",VLOOKUP(F95,Berechnungstabellen!A142:C143,3),""))))</f>
        <v/>
      </c>
      <c r="D106" s="1" t="s">
        <v>18</v>
      </c>
    </row>
    <row r="107" spans="1:10" ht="18.75">
      <c r="B107" s="2" t="s">
        <v>141</v>
      </c>
      <c r="C107" s="49" t="str">
        <f>IF(C95=0,"",1)</f>
        <v/>
      </c>
      <c r="D107" s="1" t="s">
        <v>142</v>
      </c>
    </row>
    <row r="108" spans="1:10" ht="18.75">
      <c r="B108" s="2" t="s">
        <v>121</v>
      </c>
      <c r="C108" s="15" t="str">
        <f>IF(C95=0,"",C106*F95*C103*(B37/350)^0.8/1000)</f>
        <v/>
      </c>
    </row>
    <row r="109" spans="1:10" ht="14.25" customHeight="1">
      <c r="J109" s="44"/>
    </row>
    <row r="110" spans="1:10" ht="18.75">
      <c r="B110" s="2" t="s">
        <v>122</v>
      </c>
      <c r="C110" s="2" t="str">
        <f>IF(C95=0,"",VLOOKUP(C100,C19:G23,5))</f>
        <v/>
      </c>
    </row>
    <row r="111" spans="1:10" ht="18.75">
      <c r="B111" s="2" t="s">
        <v>26</v>
      </c>
      <c r="C111" s="3" t="str">
        <f>IF(C95=0,"",C108*C110/1.3)</f>
        <v/>
      </c>
    </row>
    <row r="114" spans="1:9" ht="18.75" customHeight="1" thickBot="1">
      <c r="B114" s="34" t="s">
        <v>14</v>
      </c>
      <c r="C114" s="60" t="str">
        <f>IF(C95=0,"",C101/(C95*MIN(C111,C105)))</f>
        <v/>
      </c>
      <c r="D114" s="17" t="str">
        <f>IF(C95&gt;0,IF(C114&gt;1,"&gt;1,0","&lt;=1,0"),"")</f>
        <v/>
      </c>
    </row>
    <row r="115" spans="1:9" ht="15.75" customHeight="1" thickTop="1"/>
    <row r="117" spans="1:9">
      <c r="A117" s="8"/>
      <c r="B117" s="8"/>
      <c r="C117" s="8"/>
      <c r="D117" s="8"/>
      <c r="E117" s="8"/>
      <c r="F117" s="8"/>
      <c r="G117" s="8"/>
      <c r="H117" s="8"/>
      <c r="I117" s="8"/>
    </row>
    <row r="119" spans="1:9" ht="18.75" customHeight="1">
      <c r="A119" s="257" t="s">
        <v>201</v>
      </c>
    </row>
    <row r="121" spans="1:9">
      <c r="A121" s="1" t="s">
        <v>202</v>
      </c>
      <c r="B121" s="16" t="s">
        <v>203</v>
      </c>
      <c r="C121" s="267" t="str">
        <f>B36</f>
        <v>GL24h</v>
      </c>
    </row>
    <row r="122" spans="1:9" ht="18.75">
      <c r="B122" s="16" t="s">
        <v>79</v>
      </c>
      <c r="C122" s="268">
        <f>B37</f>
        <v>385</v>
      </c>
    </row>
    <row r="123" spans="1:9" ht="18.75">
      <c r="B123" s="16" t="s">
        <v>207</v>
      </c>
      <c r="C123" s="269">
        <f>VLOOKUP(C121,Berechnungstabellen!K2:M17,3,FALSE)</f>
        <v>0.7</v>
      </c>
    </row>
    <row r="124" spans="1:9">
      <c r="B124" s="16" t="s">
        <v>204</v>
      </c>
      <c r="C124" s="271">
        <v>0</v>
      </c>
    </row>
    <row r="125" spans="1:9" ht="18.75">
      <c r="B125" s="16" t="s">
        <v>208</v>
      </c>
      <c r="C125" s="273">
        <f>IF(C124=0,0,1)</f>
        <v>0</v>
      </c>
      <c r="D125" s="1" t="s">
        <v>206</v>
      </c>
    </row>
    <row r="126" spans="1:9" ht="18.75">
      <c r="B126" s="16" t="s">
        <v>209</v>
      </c>
      <c r="C126" s="270">
        <f>IF(C124=0,0,7)</f>
        <v>0</v>
      </c>
      <c r="D126" s="1" t="s">
        <v>205</v>
      </c>
    </row>
    <row r="127" spans="1:9">
      <c r="C127" s="270"/>
    </row>
    <row r="128" spans="1:9" ht="18.75">
      <c r="B128" s="2" t="s">
        <v>210</v>
      </c>
      <c r="C128" s="270">
        <f>ROUND(IF(C124=0,0,C123*C124+C125*C126),0)</f>
        <v>0</v>
      </c>
    </row>
    <row r="130" spans="1:9">
      <c r="A130" s="34" t="s">
        <v>212</v>
      </c>
    </row>
    <row r="132" spans="1:9" ht="18.75">
      <c r="B132" s="2" t="s">
        <v>213</v>
      </c>
      <c r="C132" s="270">
        <f>IF($B$35=1,B83,E83)</f>
        <v>10</v>
      </c>
      <c r="D132" s="2" t="str">
        <f>IF(C132&lt;E132,"&lt; def =",IF(C132=E132,"= def =",IF(C132&gt;E132,"&gt; def =","")))</f>
        <v>&gt; def =</v>
      </c>
      <c r="E132" s="272">
        <f>$C$128</f>
        <v>0</v>
      </c>
    </row>
    <row r="133" spans="1:9" ht="18.75">
      <c r="B133" s="2" t="s">
        <v>214</v>
      </c>
      <c r="C133" s="270">
        <f>IF($B$35=1,D83,G84)</f>
        <v>10</v>
      </c>
      <c r="D133" s="2" t="str">
        <f>IF(C133&lt;E133,"&lt; def =",IF(C133=E133,"= def =",IF(C133&gt;E133,"&gt; def =","")))</f>
        <v>&gt; def =</v>
      </c>
      <c r="E133" s="272">
        <f>$C$128</f>
        <v>0</v>
      </c>
    </row>
    <row r="134" spans="1:9" ht="18.75">
      <c r="B134" s="2" t="s">
        <v>215</v>
      </c>
      <c r="C134" s="270">
        <f>IF($B$35=1,D80,G80)</f>
        <v>-100</v>
      </c>
      <c r="D134" s="2" t="str">
        <f>IF(C134&lt;E134,"&lt; def =",IF(C134=E134,"= def =",IF(C134&gt;E134,"&gt; def =","")))</f>
        <v>&lt; def =</v>
      </c>
      <c r="E134" s="272">
        <f>$C$128</f>
        <v>0</v>
      </c>
    </row>
    <row r="135" spans="1:9">
      <c r="E135" s="350" t="str">
        <f>IF(C124=0,"Kein Brandschutz ist gefordert !",IF(OR(C132&lt;E132,C133&lt;E133,C134&lt;E134),"Bitte Querschnitt erhöhen oder zusätzlich abdecken!","Brandüberdeckung nach EN 1995-1-2 ist erfüllt !"))</f>
        <v>Kein Brandschutz ist gefordert !</v>
      </c>
    </row>
    <row r="138" spans="1:9">
      <c r="A138" s="392" t="s">
        <v>15</v>
      </c>
      <c r="B138" s="392"/>
      <c r="C138" s="392"/>
      <c r="D138" s="392"/>
      <c r="E138" s="392"/>
      <c r="F138" s="392"/>
      <c r="G138" s="392"/>
      <c r="H138" s="392"/>
      <c r="I138" s="392"/>
    </row>
    <row r="139" spans="1:9">
      <c r="A139" s="393"/>
      <c r="B139" s="393"/>
      <c r="C139" s="393"/>
      <c r="D139" s="393"/>
      <c r="E139" s="393"/>
      <c r="F139" s="393"/>
      <c r="G139" s="393"/>
      <c r="H139" s="393"/>
      <c r="I139" s="393"/>
    </row>
    <row r="140" spans="1:9">
      <c r="A140" s="245"/>
      <c r="B140" s="245"/>
      <c r="C140" s="245"/>
      <c r="D140" s="245"/>
      <c r="E140" s="245"/>
      <c r="F140" s="245"/>
      <c r="G140" s="245"/>
      <c r="H140" s="245"/>
      <c r="I140" s="245"/>
    </row>
  </sheetData>
  <sheetProtection password="D9CA" sheet="1" objects="1" scenarios="1" selectLockedCells="1"/>
  <mergeCells count="17">
    <mergeCell ref="B7:D7"/>
    <mergeCell ref="B8:D8"/>
    <mergeCell ref="D19:D22"/>
    <mergeCell ref="H96:I97"/>
    <mergeCell ref="A138:I139"/>
    <mergeCell ref="D51:D54"/>
    <mergeCell ref="D42:D44"/>
    <mergeCell ref="A67:I68"/>
    <mergeCell ref="B40:D40"/>
    <mergeCell ref="F31:F37"/>
    <mergeCell ref="G33:H37"/>
    <mergeCell ref="H80:I80"/>
    <mergeCell ref="A1:H1"/>
    <mergeCell ref="A2:H2"/>
    <mergeCell ref="B4:D4"/>
    <mergeCell ref="B5:D5"/>
    <mergeCell ref="B6:D6"/>
  </mergeCells>
  <phoneticPr fontId="5" type="noConversion"/>
  <conditionalFormatting sqref="F51:F55">
    <cfRule type="cellIs" dxfId="9" priority="10" stopIfTrue="1" operator="greaterThan">
      <formula>1</formula>
    </cfRule>
  </conditionalFormatting>
  <conditionalFormatting sqref="F51:F55">
    <cfRule type="cellIs" dxfId="8" priority="9" stopIfTrue="1" operator="lessThan">
      <formula>1</formula>
    </cfRule>
  </conditionalFormatting>
  <conditionalFormatting sqref="F51">
    <cfRule type="cellIs" dxfId="7" priority="8" stopIfTrue="1" operator="equal">
      <formula>1</formula>
    </cfRule>
  </conditionalFormatting>
  <conditionalFormatting sqref="F52:F55">
    <cfRule type="cellIs" dxfId="6" priority="7" stopIfTrue="1" operator="equal">
      <formula>1</formula>
    </cfRule>
  </conditionalFormatting>
  <conditionalFormatting sqref="C114">
    <cfRule type="cellIs" dxfId="5" priority="6" stopIfTrue="1" operator="greaterThan">
      <formula>1</formula>
    </cfRule>
  </conditionalFormatting>
  <conditionalFormatting sqref="C114">
    <cfRule type="cellIs" dxfId="4" priority="5" stopIfTrue="1" operator="lessThan">
      <formula>1</formula>
    </cfRule>
  </conditionalFormatting>
  <conditionalFormatting sqref="C114">
    <cfRule type="cellIs" dxfId="3" priority="4" stopIfTrue="1" operator="equal">
      <formula>1</formula>
    </cfRule>
  </conditionalFormatting>
  <conditionalFormatting sqref="B92">
    <cfRule type="cellIs" dxfId="2" priority="1" stopIfTrue="1" operator="equal">
      <formula>0.7</formula>
    </cfRule>
    <cfRule type="cellIs" dxfId="1" priority="2" stopIfTrue="1" operator="lessThan">
      <formula>0.7</formula>
    </cfRule>
    <cfRule type="cellIs" dxfId="0" priority="3" stopIfTrue="1" operator="greaterThan">
      <formula>0.7</formula>
    </cfRule>
  </conditionalFormatting>
  <dataValidations count="6">
    <dataValidation type="list" allowBlank="1" showInputMessage="1" showErrorMessage="1" sqref="B35">
      <formula1>"1,2"</formula1>
    </dataValidation>
    <dataValidation type="list" allowBlank="1" showInputMessage="1" showErrorMessage="1" sqref="C96">
      <formula1>"Typ 1, Typ 2, Typ 3"</formula1>
    </dataValidation>
    <dataValidation type="list" allowBlank="1" showInputMessage="1" showErrorMessage="1" sqref="F95">
      <formula1>"8,10"</formula1>
    </dataValidation>
    <dataValidation type="list" allowBlank="1" showInputMessage="1" showErrorMessage="1" sqref="C29">
      <formula1>"0,1,2"</formula1>
    </dataValidation>
    <dataValidation type="list" allowBlank="1" showInputMessage="1" showErrorMessage="1" sqref="C124">
      <formula1>"0,30,60,90"</formula1>
    </dataValidation>
    <dataValidation type="list" allowBlank="1" showInputMessage="1" showErrorMessage="1" sqref="E32">
      <formula1>"50,80"</formula1>
    </dataValidation>
  </dataValidations>
  <printOptions horizontalCentered="1"/>
  <pageMargins left="0.78740157480314965" right="0.78740157480314965" top="0.78740157480314965" bottom="0.98425196850393704" header="0.51181102362204722" footer="0.51181102362204722"/>
  <pageSetup paperSize="9" scale="56" fitToHeight="2" orientation="portrait" blackAndWhite="1" r:id="rId1"/>
  <headerFooter alignWithMargins="0">
    <oddFooter>&amp;C
KNAPP® GmbH I A-3324 Euratsfeld I Wassergasse 31 I AUSTRIA/EUROPE 
 Tel. +43(0)7474/79910 I Fax +43(0)7474/79910-99
eMail: info@knapp-verbinder.com I www.knapp-verbinder.com&amp;R&amp;P</oddFooter>
  </headerFooter>
  <rowBreaks count="1" manualBreakCount="1">
    <brk id="63" max="8" man="1"/>
  </rowBreaks>
  <drawing r:id="rId2"/>
  <legacyDrawing r:id="rId3"/>
  <oleObjects>
    <mc:AlternateContent xmlns:mc="http://schemas.openxmlformats.org/markup-compatibility/2006">
      <mc:Choice Requires="x14">
        <oleObject progId="Equation.3" shapeId="6509" r:id="rId4">
          <objectPr defaultSize="0" autoPict="0" r:id="rId5">
            <anchor moveWithCells="1">
              <from>
                <xdr:col>4</xdr:col>
                <xdr:colOff>0</xdr:colOff>
                <xdr:row>99</xdr:row>
                <xdr:rowOff>85725</xdr:rowOff>
              </from>
              <to>
                <xdr:col>6</xdr:col>
                <xdr:colOff>342900</xdr:colOff>
                <xdr:row>101</xdr:row>
                <xdr:rowOff>85725</xdr:rowOff>
              </to>
            </anchor>
          </objectPr>
        </oleObject>
      </mc:Choice>
      <mc:Fallback>
        <oleObject progId="Equation.3" shapeId="6509" r:id="rId4"/>
      </mc:Fallback>
    </mc:AlternateContent>
    <mc:AlternateContent xmlns:mc="http://schemas.openxmlformats.org/markup-compatibility/2006">
      <mc:Choice Requires="x14">
        <oleObject progId="Equation.3" shapeId="7087" r:id="rId6">
          <objectPr defaultSize="0" autoPict="0" r:id="rId7">
            <anchor moveWithCells="1">
              <from>
                <xdr:col>4</xdr:col>
                <xdr:colOff>19050</xdr:colOff>
                <xdr:row>104</xdr:row>
                <xdr:rowOff>228600</xdr:rowOff>
              </from>
              <to>
                <xdr:col>6</xdr:col>
                <xdr:colOff>409575</xdr:colOff>
                <xdr:row>107</xdr:row>
                <xdr:rowOff>114300</xdr:rowOff>
              </to>
            </anchor>
          </objectPr>
        </oleObject>
      </mc:Choice>
      <mc:Fallback>
        <oleObject progId="Equation.3" shapeId="7087" r:id="rId6"/>
      </mc:Fallback>
    </mc:AlternateContent>
    <mc:AlternateContent xmlns:mc="http://schemas.openxmlformats.org/markup-compatibility/2006">
      <mc:Choice Requires="x14">
        <oleObject progId="Equation.3" shapeId="8707" r:id="rId8">
          <objectPr defaultSize="0" autoPict="0" r:id="rId9">
            <anchor moveWithCells="1">
              <from>
                <xdr:col>4</xdr:col>
                <xdr:colOff>333375</xdr:colOff>
                <xdr:row>57</xdr:row>
                <xdr:rowOff>180975</xdr:rowOff>
              </from>
              <to>
                <xdr:col>6</xdr:col>
                <xdr:colOff>647700</xdr:colOff>
                <xdr:row>60</xdr:row>
                <xdr:rowOff>161925</xdr:rowOff>
              </to>
            </anchor>
          </objectPr>
        </oleObject>
      </mc:Choice>
      <mc:Fallback>
        <oleObject progId="Equation.3" shapeId="8707" r:id="rId8"/>
      </mc:Fallback>
    </mc:AlternateContent>
    <mc:AlternateContent xmlns:mc="http://schemas.openxmlformats.org/markup-compatibility/2006">
      <mc:Choice Requires="x14">
        <oleObject progId="Equation.3" shapeId="8708" r:id="rId10">
          <objectPr defaultSize="0" autoPict="0" r:id="rId11">
            <anchor moveWithCells="1">
              <from>
                <xdr:col>2</xdr:col>
                <xdr:colOff>838200</xdr:colOff>
                <xdr:row>57</xdr:row>
                <xdr:rowOff>190500</xdr:rowOff>
              </from>
              <to>
                <xdr:col>4</xdr:col>
                <xdr:colOff>95250</xdr:colOff>
                <xdr:row>60</xdr:row>
                <xdr:rowOff>152400</xdr:rowOff>
              </to>
            </anchor>
          </objectPr>
        </oleObject>
      </mc:Choice>
      <mc:Fallback>
        <oleObject progId="Equation.3" shapeId="8708" r:id="rId10"/>
      </mc:Fallback>
    </mc:AlternateContent>
    <mc:AlternateContent xmlns:mc="http://schemas.openxmlformats.org/markup-compatibility/2006">
      <mc:Choice Requires="x14">
        <oleObject progId="Equation.3" shapeId="8709" r:id="rId12">
          <objectPr defaultSize="0" autoPict="0" r:id="rId13">
            <anchor moveWithCells="1">
              <from>
                <xdr:col>0</xdr:col>
                <xdr:colOff>114300</xdr:colOff>
                <xdr:row>57</xdr:row>
                <xdr:rowOff>190500</xdr:rowOff>
              </from>
              <to>
                <xdr:col>0</xdr:col>
                <xdr:colOff>1276350</xdr:colOff>
                <xdr:row>60</xdr:row>
                <xdr:rowOff>133350</xdr:rowOff>
              </to>
            </anchor>
          </objectPr>
        </oleObject>
      </mc:Choice>
      <mc:Fallback>
        <oleObject progId="Equation.3" shapeId="8709" r:id="rId12"/>
      </mc:Fallback>
    </mc:AlternateContent>
    <mc:AlternateContent xmlns:mc="http://schemas.openxmlformats.org/markup-compatibility/2006">
      <mc:Choice Requires="x14">
        <oleObject progId="Equation.3" shapeId="8710" r:id="rId14">
          <objectPr defaultSize="0" autoPict="0" r:id="rId15">
            <anchor moveWithCells="1">
              <from>
                <xdr:col>1</xdr:col>
                <xdr:colOff>247650</xdr:colOff>
                <xdr:row>57</xdr:row>
                <xdr:rowOff>180975</xdr:rowOff>
              </from>
              <to>
                <xdr:col>2</xdr:col>
                <xdr:colOff>457200</xdr:colOff>
                <xdr:row>60</xdr:row>
                <xdr:rowOff>152400</xdr:rowOff>
              </to>
            </anchor>
          </objectPr>
        </oleObject>
      </mc:Choice>
      <mc:Fallback>
        <oleObject progId="Equation.3" shapeId="8710" r:id="rId14"/>
      </mc:Fallback>
    </mc:AlternateContent>
    <mc:AlternateContent xmlns:mc="http://schemas.openxmlformats.org/markup-compatibility/2006">
      <mc:Choice Requires="x14">
        <oleObject progId="Equation.3" shapeId="8778" r:id="rId16">
          <objectPr defaultSize="0" autoPict="0" r:id="rId17">
            <anchor moveWithCells="1">
              <from>
                <xdr:col>4</xdr:col>
                <xdr:colOff>47625</xdr:colOff>
                <xdr:row>110</xdr:row>
                <xdr:rowOff>219075</xdr:rowOff>
              </from>
              <to>
                <xdr:col>5</xdr:col>
                <xdr:colOff>819150</xdr:colOff>
                <xdr:row>115</xdr:row>
                <xdr:rowOff>171450</xdr:rowOff>
              </to>
            </anchor>
          </objectPr>
        </oleObject>
      </mc:Choice>
      <mc:Fallback>
        <oleObject progId="Equation.3" shapeId="8778" r:id="rId16"/>
      </mc:Fallback>
    </mc:AlternateContent>
    <mc:AlternateContent xmlns:mc="http://schemas.openxmlformats.org/markup-compatibility/2006">
      <mc:Choice Requires="x14">
        <oleObject progId="Equation.3" shapeId="16554" r:id="rId18">
          <objectPr defaultSize="0" autoPict="0" r:id="rId19">
            <anchor moveWithCells="1">
              <from>
                <xdr:col>6</xdr:col>
                <xdr:colOff>914400</xdr:colOff>
                <xdr:row>57</xdr:row>
                <xdr:rowOff>180975</xdr:rowOff>
              </from>
              <to>
                <xdr:col>8</xdr:col>
                <xdr:colOff>171450</xdr:colOff>
                <xdr:row>60</xdr:row>
                <xdr:rowOff>142875</xdr:rowOff>
              </to>
            </anchor>
          </objectPr>
        </oleObject>
      </mc:Choice>
      <mc:Fallback>
        <oleObject progId="Equation.3" shapeId="16554" r:id="rId18"/>
      </mc:Fallback>
    </mc:AlternateContent>
    <mc:AlternateContent xmlns:mc="http://schemas.openxmlformats.org/markup-compatibility/2006">
      <mc:Choice Requires="x14">
        <oleObject progId="Equation.3" shapeId="19148" r:id="rId20">
          <objectPr defaultSize="0" autoPict="0" r:id="rId21">
            <anchor moveWithCells="1">
              <from>
                <xdr:col>4</xdr:col>
                <xdr:colOff>9525</xdr:colOff>
                <xdr:row>126</xdr:row>
                <xdr:rowOff>142875</xdr:rowOff>
              </from>
              <to>
                <xdr:col>5</xdr:col>
                <xdr:colOff>581025</xdr:colOff>
                <xdr:row>128</xdr:row>
                <xdr:rowOff>38100</xdr:rowOff>
              </to>
            </anchor>
          </objectPr>
        </oleObject>
      </mc:Choice>
      <mc:Fallback>
        <oleObject progId="Equation.3" shapeId="19148" r:id="rId20"/>
      </mc:Fallback>
    </mc:AlternateContent>
  </oleObjects>
  <extLst>
    <ext xmlns:x14="http://schemas.microsoft.com/office/spreadsheetml/2009/9/main" uri="{CCE6A557-97BC-4b89-ADB6-D9C93CAAB3DF}">
      <x14:dataValidations xmlns:xm="http://schemas.microsoft.com/office/excel/2006/main" count="8">
        <x14:dataValidation type="list" allowBlank="1" showInputMessage="1" showErrorMessage="1">
          <x14:formula1>
            <xm:f>Schraubenlängen!$F$5:$F$26</xm:f>
          </x14:formula1>
          <xm:sqref>G95</xm:sqref>
        </x14:dataValidation>
        <x14:dataValidation type="list" allowBlank="1" showInputMessage="1" showErrorMessage="1">
          <x14:formula1>
            <xm:f>Berechnungstabellen!$H$11:$H$13</xm:f>
          </x14:formula1>
          <xm:sqref>F24</xm:sqref>
        </x14:dataValidation>
        <x14:dataValidation type="list" allowBlank="1" showInputMessage="1" showErrorMessage="1">
          <x14:formula1>
            <xm:f>Berechnungstabellen!$A$21:$A$32</xm:f>
          </x14:formula1>
          <xm:sqref>B29</xm:sqref>
        </x14:dataValidation>
        <x14:dataValidation type="list" allowBlank="1" showInputMessage="1" showErrorMessage="1">
          <x14:formula1>
            <xm:f>Berechnungstabellen!$G$6:$G$7</xm:f>
          </x14:formula1>
          <xm:sqref>F20</xm:sqref>
        </x14:dataValidation>
        <x14:dataValidation type="list" allowBlank="1" showInputMessage="1" showErrorMessage="1">
          <x14:formula1>
            <xm:f>Berechnungstabellen!$G$5:$G$7</xm:f>
          </x14:formula1>
          <xm:sqref>F21</xm:sqref>
        </x14:dataValidation>
        <x14:dataValidation type="list" allowBlank="1" showInputMessage="1" showErrorMessage="1">
          <x14:formula1>
            <xm:f>Berechnungstabellen!$G$6:$G$8</xm:f>
          </x14:formula1>
          <xm:sqref>F22</xm:sqref>
        </x14:dataValidation>
        <x14:dataValidation type="list" allowBlank="1" showInputMessage="1" showErrorMessage="1">
          <x14:formula1>
            <xm:f>Berechnungstabellen!$G$7:$G$8</xm:f>
          </x14:formula1>
          <xm:sqref>F23</xm:sqref>
        </x14:dataValidation>
        <x14:dataValidation type="list" allowBlank="1" showInputMessage="1" showErrorMessage="1">
          <x14:formula1>
            <xm:f>Berechnungstabellen!$K$2:$K$17</xm:f>
          </x14:formula1>
          <xm:sqref>B36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61"/>
  <sheetViews>
    <sheetView showGridLines="0" showRowColHeaders="0" workbookViewId="0">
      <selection activeCell="I18" sqref="I18"/>
    </sheetView>
  </sheetViews>
  <sheetFormatPr baseColWidth="10" defaultRowHeight="15.75"/>
  <cols>
    <col min="1" max="1" width="16.375" customWidth="1"/>
    <col min="2" max="6" width="11.25" bestFit="1" customWidth="1"/>
    <col min="11" max="11" width="13.5" customWidth="1"/>
  </cols>
  <sheetData>
    <row r="1" spans="1:15" ht="18.75">
      <c r="A1" s="35" t="s">
        <v>84</v>
      </c>
      <c r="B1" s="36" t="s">
        <v>85</v>
      </c>
      <c r="C1" s="61"/>
      <c r="D1" s="1"/>
      <c r="E1" s="1"/>
      <c r="F1" s="1"/>
      <c r="G1" s="1"/>
      <c r="I1" s="1"/>
      <c r="J1" s="1"/>
      <c r="K1" s="11" t="s">
        <v>194</v>
      </c>
      <c r="L1" s="11" t="s">
        <v>195</v>
      </c>
      <c r="M1" s="11" t="s">
        <v>211</v>
      </c>
      <c r="N1" s="1"/>
      <c r="O1" s="1"/>
    </row>
    <row r="2" spans="1:15">
      <c r="A2" s="1"/>
      <c r="B2" s="1"/>
      <c r="C2" s="1"/>
      <c r="D2" s="1"/>
      <c r="E2" s="1"/>
      <c r="F2" s="1"/>
      <c r="H2" s="416" t="s">
        <v>261</v>
      </c>
      <c r="I2" s="411"/>
      <c r="J2" s="417"/>
      <c r="K2" s="11" t="s">
        <v>186</v>
      </c>
      <c r="L2" s="351">
        <v>350</v>
      </c>
      <c r="M2" s="56">
        <v>0.8</v>
      </c>
      <c r="N2" s="1"/>
      <c r="O2" s="1"/>
    </row>
    <row r="3" spans="1:15">
      <c r="A3" s="72" t="s">
        <v>130</v>
      </c>
      <c r="B3" s="68"/>
      <c r="C3" s="68"/>
      <c r="D3" s="68"/>
      <c r="E3" s="68"/>
      <c r="F3" s="67"/>
      <c r="G3" s="73" t="s">
        <v>0</v>
      </c>
      <c r="H3" s="368">
        <v>1</v>
      </c>
      <c r="I3" s="368">
        <v>2</v>
      </c>
      <c r="J3" s="368">
        <v>3</v>
      </c>
      <c r="K3" s="11" t="s">
        <v>187</v>
      </c>
      <c r="L3" s="351">
        <v>380</v>
      </c>
      <c r="M3" s="56">
        <v>0.8</v>
      </c>
      <c r="N3" s="1"/>
      <c r="O3" s="1"/>
    </row>
    <row r="4" spans="1:15" ht="18.75">
      <c r="A4" s="69" t="s">
        <v>128</v>
      </c>
      <c r="B4" s="221">
        <v>1.35</v>
      </c>
      <c r="C4" s="70" t="s">
        <v>116</v>
      </c>
      <c r="D4" s="68"/>
      <c r="E4" s="68"/>
      <c r="F4" s="67"/>
      <c r="G4" s="38" t="s">
        <v>2</v>
      </c>
      <c r="H4" s="37">
        <v>0.6</v>
      </c>
      <c r="I4" s="37">
        <v>0.6</v>
      </c>
      <c r="J4" s="37">
        <v>0.5</v>
      </c>
      <c r="K4" s="11" t="s">
        <v>267</v>
      </c>
      <c r="L4" s="351">
        <v>390</v>
      </c>
      <c r="M4" s="56">
        <v>0.8</v>
      </c>
      <c r="N4" s="1"/>
      <c r="O4" s="1"/>
    </row>
    <row r="5" spans="1:15" ht="18.75">
      <c r="A5" s="69" t="s">
        <v>129</v>
      </c>
      <c r="B5" s="222">
        <v>1.5</v>
      </c>
      <c r="C5" s="70" t="s">
        <v>117</v>
      </c>
      <c r="D5" s="68"/>
      <c r="E5" s="68"/>
      <c r="F5" s="67"/>
      <c r="G5" s="38" t="s">
        <v>109</v>
      </c>
      <c r="H5" s="37">
        <v>0.7</v>
      </c>
      <c r="I5" s="37">
        <v>0.7</v>
      </c>
      <c r="J5" s="37">
        <v>0.55000000000000004</v>
      </c>
      <c r="K5" s="11" t="s">
        <v>188</v>
      </c>
      <c r="L5" s="351">
        <v>365</v>
      </c>
      <c r="M5" s="56">
        <v>0.7</v>
      </c>
      <c r="N5" s="1"/>
      <c r="O5" s="1"/>
    </row>
    <row r="6" spans="1:15">
      <c r="A6" s="72" t="s">
        <v>131</v>
      </c>
      <c r="B6" s="68"/>
      <c r="C6" s="68"/>
      <c r="D6" s="68"/>
      <c r="E6" s="68"/>
      <c r="F6" s="67"/>
      <c r="G6" s="37" t="s">
        <v>108</v>
      </c>
      <c r="H6" s="37">
        <v>0.8</v>
      </c>
      <c r="I6" s="37">
        <v>0.8</v>
      </c>
      <c r="J6" s="37">
        <v>0.65</v>
      </c>
      <c r="K6" s="11" t="s">
        <v>149</v>
      </c>
      <c r="L6" s="351">
        <v>385</v>
      </c>
      <c r="M6" s="56">
        <v>0.7</v>
      </c>
      <c r="N6" s="1"/>
      <c r="O6" s="1"/>
    </row>
    <row r="7" spans="1:15" ht="18.75">
      <c r="A7" s="71" t="s">
        <v>133</v>
      </c>
      <c r="B7" s="68">
        <v>0.6</v>
      </c>
      <c r="C7" s="68" t="s">
        <v>132</v>
      </c>
      <c r="D7" s="68"/>
      <c r="E7" s="68"/>
      <c r="F7" s="67"/>
      <c r="G7" s="37" t="s">
        <v>3</v>
      </c>
      <c r="H7" s="37">
        <v>0.9</v>
      </c>
      <c r="I7" s="37">
        <v>0.9</v>
      </c>
      <c r="J7" s="37">
        <v>0.7</v>
      </c>
      <c r="K7" s="11" t="s">
        <v>189</v>
      </c>
      <c r="L7" s="351">
        <v>390</v>
      </c>
      <c r="M7" s="56">
        <v>0.7</v>
      </c>
      <c r="N7" s="1"/>
      <c r="O7" s="1"/>
    </row>
    <row r="8" spans="1:15" ht="18.75">
      <c r="A8" s="71" t="s">
        <v>133</v>
      </c>
      <c r="B8" s="68">
        <v>0.5</v>
      </c>
      <c r="C8" s="68" t="s">
        <v>135</v>
      </c>
      <c r="D8" s="68"/>
      <c r="E8" s="68"/>
      <c r="F8" s="67"/>
      <c r="G8" s="37" t="s">
        <v>224</v>
      </c>
      <c r="H8" s="288">
        <v>1</v>
      </c>
      <c r="I8" s="288">
        <v>1</v>
      </c>
      <c r="J8" s="288">
        <v>0.8</v>
      </c>
      <c r="K8" s="11" t="s">
        <v>268</v>
      </c>
      <c r="L8" s="351">
        <v>425</v>
      </c>
      <c r="M8" s="56">
        <v>0.7</v>
      </c>
      <c r="N8" s="1"/>
      <c r="O8" s="1"/>
    </row>
    <row r="9" spans="1:15" ht="18.75">
      <c r="A9" s="71" t="s">
        <v>133</v>
      </c>
      <c r="B9" s="68">
        <v>0.7</v>
      </c>
      <c r="C9" s="68" t="s">
        <v>134</v>
      </c>
      <c r="D9" s="68"/>
      <c r="E9" s="68"/>
      <c r="F9" s="67"/>
      <c r="G9" s="1"/>
      <c r="H9" s="1"/>
      <c r="I9" s="1"/>
      <c r="J9" s="1"/>
      <c r="K9" s="11" t="s">
        <v>225</v>
      </c>
      <c r="L9" s="351">
        <v>390</v>
      </c>
      <c r="M9" s="56">
        <v>0.7</v>
      </c>
      <c r="N9" s="1"/>
      <c r="O9" s="1"/>
    </row>
    <row r="10" spans="1:15" ht="18.75">
      <c r="A10" s="71" t="s">
        <v>133</v>
      </c>
      <c r="B10" s="68">
        <v>0.7</v>
      </c>
      <c r="C10" s="68" t="s">
        <v>136</v>
      </c>
      <c r="D10" s="68"/>
      <c r="E10" s="68"/>
      <c r="F10" s="67"/>
      <c r="G10" s="1"/>
      <c r="H10" s="364" t="s">
        <v>228</v>
      </c>
      <c r="I10" s="363" t="s">
        <v>233</v>
      </c>
      <c r="J10" s="67"/>
      <c r="K10" s="11" t="s">
        <v>269</v>
      </c>
      <c r="L10" s="351">
        <v>430</v>
      </c>
      <c r="M10" s="56">
        <v>0.7</v>
      </c>
      <c r="N10" s="1"/>
      <c r="O10" s="1"/>
    </row>
    <row r="11" spans="1:15">
      <c r="A11" s="1"/>
      <c r="B11" s="1"/>
      <c r="C11" s="1"/>
      <c r="D11" s="1"/>
      <c r="E11" s="1"/>
      <c r="F11" s="1"/>
      <c r="G11" s="1"/>
      <c r="H11" s="357">
        <v>1</v>
      </c>
      <c r="I11" s="363" t="s">
        <v>230</v>
      </c>
      <c r="J11" s="67"/>
      <c r="K11" s="11" t="s">
        <v>270</v>
      </c>
      <c r="L11" s="351">
        <v>400</v>
      </c>
      <c r="M11" s="56">
        <v>0.7</v>
      </c>
      <c r="N11" s="1"/>
      <c r="O11" s="1"/>
    </row>
    <row r="12" spans="1:15">
      <c r="A12" s="48"/>
      <c r="B12" s="46"/>
      <c r="C12" s="46"/>
      <c r="D12" s="46"/>
      <c r="E12" s="46"/>
      <c r="F12" s="46"/>
      <c r="H12" s="357">
        <v>2</v>
      </c>
      <c r="I12" s="363" t="s">
        <v>232</v>
      </c>
      <c r="J12" s="67"/>
      <c r="K12" s="11" t="s">
        <v>271</v>
      </c>
      <c r="L12" s="351">
        <v>440</v>
      </c>
      <c r="M12" s="56">
        <v>0.7</v>
      </c>
      <c r="N12" s="1"/>
      <c r="O12" s="1"/>
    </row>
    <row r="13" spans="1:15">
      <c r="A13" s="7"/>
      <c r="B13" s="1"/>
      <c r="C13" s="1"/>
      <c r="D13" s="1"/>
      <c r="E13" s="1"/>
      <c r="F13" s="1"/>
      <c r="H13" s="357">
        <v>3</v>
      </c>
      <c r="I13" s="363" t="s">
        <v>231</v>
      </c>
      <c r="J13" s="67"/>
      <c r="K13" s="11" t="s">
        <v>190</v>
      </c>
      <c r="L13" s="351">
        <v>530</v>
      </c>
      <c r="M13" s="56">
        <v>0.55000000000000004</v>
      </c>
      <c r="N13" s="1"/>
      <c r="O13" s="1"/>
    </row>
    <row r="14" spans="1:15">
      <c r="A14" s="7"/>
      <c r="B14" s="1"/>
      <c r="C14" s="1"/>
      <c r="D14" s="1"/>
      <c r="E14" s="1"/>
      <c r="F14" s="1"/>
      <c r="H14" s="1"/>
      <c r="I14" s="1"/>
      <c r="J14" s="1"/>
      <c r="K14" s="11" t="s">
        <v>191</v>
      </c>
      <c r="L14" s="351">
        <v>540</v>
      </c>
      <c r="M14" s="56">
        <v>0.55000000000000004</v>
      </c>
      <c r="N14" s="1"/>
      <c r="O14" s="1"/>
    </row>
    <row r="15" spans="1:15">
      <c r="A15" s="7"/>
      <c r="B15" s="1"/>
      <c r="C15" s="1"/>
      <c r="D15" s="1"/>
      <c r="E15" s="1"/>
      <c r="F15" s="1"/>
      <c r="H15" s="1"/>
      <c r="I15" s="1"/>
      <c r="J15" s="1"/>
      <c r="K15" s="11" t="s">
        <v>192</v>
      </c>
      <c r="L15" s="351">
        <v>550</v>
      </c>
      <c r="M15" s="56">
        <v>0.55000000000000004</v>
      </c>
      <c r="N15" s="1"/>
      <c r="O15" s="1"/>
    </row>
    <row r="16" spans="1:15">
      <c r="A16" s="1"/>
      <c r="B16" s="1"/>
      <c r="C16" s="1"/>
      <c r="D16" s="1"/>
      <c r="E16" s="1"/>
      <c r="F16" s="1"/>
      <c r="H16" s="1"/>
      <c r="I16" s="1"/>
      <c r="J16" s="1"/>
      <c r="K16" s="11" t="s">
        <v>193</v>
      </c>
      <c r="L16" s="351">
        <v>590</v>
      </c>
      <c r="M16" s="56">
        <v>0.55000000000000004</v>
      </c>
      <c r="N16" s="1"/>
      <c r="O16" s="1"/>
    </row>
    <row r="17" spans="1:18">
      <c r="A17" s="1"/>
      <c r="B17" s="1"/>
      <c r="C17" s="1"/>
      <c r="D17" s="1"/>
      <c r="E17" s="1"/>
      <c r="F17" s="1"/>
      <c r="H17" s="1"/>
      <c r="I17" s="1"/>
      <c r="J17" s="1"/>
      <c r="K17" s="11" t="s">
        <v>272</v>
      </c>
      <c r="L17" s="351">
        <v>590</v>
      </c>
      <c r="M17" s="56">
        <v>0.7</v>
      </c>
      <c r="N17" s="1"/>
      <c r="O17" s="1"/>
    </row>
    <row r="18" spans="1:18">
      <c r="A18" s="1"/>
      <c r="B18" s="1"/>
      <c r="C18" s="1"/>
      <c r="D18" s="1"/>
      <c r="E18" s="1"/>
      <c r="F18" s="1"/>
      <c r="H18" s="1"/>
      <c r="I18" s="1"/>
      <c r="J18" s="1"/>
      <c r="K18" s="68"/>
      <c r="L18" s="366"/>
      <c r="M18" s="367"/>
      <c r="N18" s="1"/>
      <c r="O18" s="1"/>
    </row>
    <row r="19" spans="1:18">
      <c r="A19" s="246" t="s">
        <v>94</v>
      </c>
      <c r="B19" s="410" t="s">
        <v>167</v>
      </c>
      <c r="C19" s="411"/>
      <c r="D19" s="411"/>
      <c r="E19" s="411"/>
      <c r="F19" s="411"/>
      <c r="G19" s="412"/>
      <c r="H19" s="410" t="s">
        <v>168</v>
      </c>
      <c r="I19" s="411"/>
      <c r="J19" s="411"/>
      <c r="K19" s="411"/>
      <c r="L19" s="411"/>
      <c r="M19" s="412"/>
      <c r="N19" s="406" t="s">
        <v>113</v>
      </c>
      <c r="O19" s="408" t="s">
        <v>114</v>
      </c>
      <c r="P19" s="406" t="s">
        <v>248</v>
      </c>
      <c r="Q19" s="408" t="s">
        <v>249</v>
      </c>
      <c r="R19" s="408" t="s">
        <v>250</v>
      </c>
    </row>
    <row r="20" spans="1:18" ht="18.75">
      <c r="A20" s="247"/>
      <c r="B20" s="219" t="s">
        <v>172</v>
      </c>
      <c r="C20" s="12" t="s">
        <v>156</v>
      </c>
      <c r="D20" s="12" t="s">
        <v>157</v>
      </c>
      <c r="E20" s="12" t="s">
        <v>158</v>
      </c>
      <c r="F20" s="12" t="s">
        <v>159</v>
      </c>
      <c r="G20" s="220" t="s">
        <v>160</v>
      </c>
      <c r="H20" s="219" t="s">
        <v>161</v>
      </c>
      <c r="I20" s="12" t="s">
        <v>162</v>
      </c>
      <c r="J20" s="12" t="s">
        <v>163</v>
      </c>
      <c r="K20" s="12" t="s">
        <v>164</v>
      </c>
      <c r="L20" s="12" t="s">
        <v>165</v>
      </c>
      <c r="M20" s="220" t="s">
        <v>166</v>
      </c>
      <c r="N20" s="407"/>
      <c r="O20" s="409"/>
      <c r="P20" s="407" t="s">
        <v>46</v>
      </c>
      <c r="Q20" s="409" t="s">
        <v>46</v>
      </c>
      <c r="R20" s="409" t="s">
        <v>46</v>
      </c>
    </row>
    <row r="21" spans="1:18">
      <c r="A21" s="248" t="s">
        <v>234</v>
      </c>
      <c r="B21" s="206">
        <v>1</v>
      </c>
      <c r="C21" s="204">
        <v>8</v>
      </c>
      <c r="D21" s="204">
        <v>50</v>
      </c>
      <c r="E21" s="204">
        <v>2</v>
      </c>
      <c r="F21" s="204">
        <v>5</v>
      </c>
      <c r="G21" s="205">
        <v>50</v>
      </c>
      <c r="H21" s="206">
        <f t="shared" ref="H21:H32" si="0">B21</f>
        <v>1</v>
      </c>
      <c r="I21" s="204">
        <v>8</v>
      </c>
      <c r="J21" s="216">
        <f>Bemessung!E32</f>
        <v>80</v>
      </c>
      <c r="K21" s="204">
        <f t="shared" ref="K21:K32" si="1">E21</f>
        <v>2</v>
      </c>
      <c r="L21" s="204">
        <v>5</v>
      </c>
      <c r="M21" s="217">
        <f>Bemessung!$E$33</f>
        <v>80</v>
      </c>
      <c r="N21" s="207">
        <v>60</v>
      </c>
      <c r="O21" s="204">
        <v>40</v>
      </c>
      <c r="P21" s="204">
        <f t="shared" ref="P21:P26" si="2">(N21-R21)/2</f>
        <v>13</v>
      </c>
      <c r="Q21" s="204">
        <v>24</v>
      </c>
      <c r="R21" s="204">
        <v>34</v>
      </c>
    </row>
    <row r="22" spans="1:18">
      <c r="A22" s="249" t="s">
        <v>235</v>
      </c>
      <c r="B22" s="210">
        <v>2</v>
      </c>
      <c r="C22" s="208">
        <v>8</v>
      </c>
      <c r="D22" s="208">
        <v>50</v>
      </c>
      <c r="E22" s="208">
        <v>2</v>
      </c>
      <c r="F22" s="208">
        <v>5</v>
      </c>
      <c r="G22" s="209">
        <v>50</v>
      </c>
      <c r="H22" s="210">
        <f t="shared" si="0"/>
        <v>2</v>
      </c>
      <c r="I22" s="208">
        <v>8</v>
      </c>
      <c r="J22" s="216">
        <f>$J$21</f>
        <v>80</v>
      </c>
      <c r="K22" s="208">
        <f t="shared" si="1"/>
        <v>2</v>
      </c>
      <c r="L22" s="208">
        <v>5</v>
      </c>
      <c r="M22" s="217">
        <f>Bemessung!$E$33</f>
        <v>80</v>
      </c>
      <c r="N22" s="211">
        <v>80</v>
      </c>
      <c r="O22" s="208">
        <v>40</v>
      </c>
      <c r="P22" s="208">
        <f t="shared" si="2"/>
        <v>13</v>
      </c>
      <c r="Q22" s="208">
        <v>30</v>
      </c>
      <c r="R22" s="208">
        <v>54</v>
      </c>
    </row>
    <row r="23" spans="1:18">
      <c r="A23" s="248" t="s">
        <v>236</v>
      </c>
      <c r="B23" s="214">
        <v>2</v>
      </c>
      <c r="C23" s="212">
        <v>8</v>
      </c>
      <c r="D23" s="212">
        <v>50</v>
      </c>
      <c r="E23" s="212">
        <v>4</v>
      </c>
      <c r="F23" s="212">
        <v>5</v>
      </c>
      <c r="G23" s="213">
        <v>50</v>
      </c>
      <c r="H23" s="214">
        <f t="shared" si="0"/>
        <v>2</v>
      </c>
      <c r="I23" s="212">
        <v>8</v>
      </c>
      <c r="J23" s="216">
        <f t="shared" ref="J23:J32" si="3">$J$21</f>
        <v>80</v>
      </c>
      <c r="K23" s="212">
        <f t="shared" si="1"/>
        <v>4</v>
      </c>
      <c r="L23" s="212">
        <v>5</v>
      </c>
      <c r="M23" s="217">
        <f>Bemessung!$E$33</f>
        <v>80</v>
      </c>
      <c r="N23" s="215">
        <v>100</v>
      </c>
      <c r="O23" s="212">
        <v>40</v>
      </c>
      <c r="P23" s="212">
        <f t="shared" si="2"/>
        <v>13</v>
      </c>
      <c r="Q23" s="212">
        <v>30</v>
      </c>
      <c r="R23" s="212">
        <v>74</v>
      </c>
    </row>
    <row r="24" spans="1:18">
      <c r="A24" s="249" t="s">
        <v>237</v>
      </c>
      <c r="B24" s="210">
        <v>2</v>
      </c>
      <c r="C24" s="208">
        <v>8</v>
      </c>
      <c r="D24" s="208">
        <v>50</v>
      </c>
      <c r="E24" s="208">
        <v>6</v>
      </c>
      <c r="F24" s="208">
        <v>5</v>
      </c>
      <c r="G24" s="209">
        <v>50</v>
      </c>
      <c r="H24" s="210">
        <f t="shared" si="0"/>
        <v>2</v>
      </c>
      <c r="I24" s="208">
        <v>8</v>
      </c>
      <c r="J24" s="216">
        <f t="shared" si="3"/>
        <v>80</v>
      </c>
      <c r="K24" s="208">
        <f t="shared" si="1"/>
        <v>6</v>
      </c>
      <c r="L24" s="208">
        <v>5</v>
      </c>
      <c r="M24" s="217">
        <f>Bemessung!$E$33</f>
        <v>80</v>
      </c>
      <c r="N24" s="211">
        <v>120</v>
      </c>
      <c r="O24" s="208">
        <v>40</v>
      </c>
      <c r="P24" s="208">
        <f t="shared" si="2"/>
        <v>13</v>
      </c>
      <c r="Q24" s="208">
        <v>30</v>
      </c>
      <c r="R24" s="208">
        <v>94</v>
      </c>
    </row>
    <row r="25" spans="1:18">
      <c r="A25" s="248" t="s">
        <v>238</v>
      </c>
      <c r="B25" s="214">
        <v>2</v>
      </c>
      <c r="C25" s="212">
        <v>8</v>
      </c>
      <c r="D25" s="212">
        <v>50</v>
      </c>
      <c r="E25" s="212">
        <v>8</v>
      </c>
      <c r="F25" s="212">
        <v>5</v>
      </c>
      <c r="G25" s="213">
        <v>50</v>
      </c>
      <c r="H25" s="214">
        <f t="shared" si="0"/>
        <v>2</v>
      </c>
      <c r="I25" s="212">
        <v>8</v>
      </c>
      <c r="J25" s="216">
        <f t="shared" si="3"/>
        <v>80</v>
      </c>
      <c r="K25" s="212">
        <f t="shared" si="1"/>
        <v>8</v>
      </c>
      <c r="L25" s="212">
        <v>5</v>
      </c>
      <c r="M25" s="217">
        <f>Bemessung!$E$33</f>
        <v>80</v>
      </c>
      <c r="N25" s="215">
        <v>140</v>
      </c>
      <c r="O25" s="212">
        <v>40</v>
      </c>
      <c r="P25" s="212">
        <f t="shared" si="2"/>
        <v>13</v>
      </c>
      <c r="Q25" s="212">
        <v>30</v>
      </c>
      <c r="R25" s="212">
        <v>114</v>
      </c>
    </row>
    <row r="26" spans="1:18" ht="16.5" thickBot="1">
      <c r="A26" s="292" t="s">
        <v>239</v>
      </c>
      <c r="B26" s="293">
        <v>2</v>
      </c>
      <c r="C26" s="294">
        <v>8</v>
      </c>
      <c r="D26" s="294">
        <v>50</v>
      </c>
      <c r="E26" s="294">
        <v>10</v>
      </c>
      <c r="F26" s="294">
        <v>5</v>
      </c>
      <c r="G26" s="295">
        <v>50</v>
      </c>
      <c r="H26" s="293">
        <f t="shared" si="0"/>
        <v>2</v>
      </c>
      <c r="I26" s="294">
        <v>8</v>
      </c>
      <c r="J26" s="345">
        <f t="shared" si="3"/>
        <v>80</v>
      </c>
      <c r="K26" s="294">
        <f t="shared" si="1"/>
        <v>10</v>
      </c>
      <c r="L26" s="294">
        <v>5</v>
      </c>
      <c r="M26" s="217">
        <f>Bemessung!$E$33</f>
        <v>80</v>
      </c>
      <c r="N26" s="296">
        <v>160</v>
      </c>
      <c r="O26" s="294">
        <v>40</v>
      </c>
      <c r="P26" s="294">
        <f t="shared" si="2"/>
        <v>13</v>
      </c>
      <c r="Q26" s="294">
        <v>30</v>
      </c>
      <c r="R26" s="294">
        <v>134</v>
      </c>
    </row>
    <row r="27" spans="1:18" ht="16.5" thickTop="1">
      <c r="A27" s="291" t="s">
        <v>240</v>
      </c>
      <c r="B27" s="214">
        <v>1</v>
      </c>
      <c r="C27" s="212">
        <v>8</v>
      </c>
      <c r="D27" s="212">
        <v>50</v>
      </c>
      <c r="E27" s="212">
        <v>2</v>
      </c>
      <c r="F27" s="212">
        <v>5</v>
      </c>
      <c r="G27" s="213">
        <v>50</v>
      </c>
      <c r="H27" s="214">
        <f t="shared" si="0"/>
        <v>1</v>
      </c>
      <c r="I27" s="212">
        <v>8</v>
      </c>
      <c r="J27" s="344">
        <f t="shared" si="3"/>
        <v>80</v>
      </c>
      <c r="K27" s="212">
        <f t="shared" si="1"/>
        <v>2</v>
      </c>
      <c r="L27" s="212">
        <v>5</v>
      </c>
      <c r="M27" s="217">
        <f>Bemessung!$E$33</f>
        <v>80</v>
      </c>
      <c r="N27" s="215">
        <v>60</v>
      </c>
      <c r="O27" s="212">
        <v>30</v>
      </c>
      <c r="P27" s="212">
        <f>(N27-R27)/2</f>
        <v>10</v>
      </c>
      <c r="Q27" s="212">
        <v>20</v>
      </c>
      <c r="R27" s="212">
        <v>40</v>
      </c>
    </row>
    <row r="28" spans="1:18">
      <c r="A28" s="249" t="s">
        <v>241</v>
      </c>
      <c r="B28" s="210">
        <v>2</v>
      </c>
      <c r="C28" s="208">
        <v>8</v>
      </c>
      <c r="D28" s="208">
        <v>50</v>
      </c>
      <c r="E28" s="208">
        <v>2</v>
      </c>
      <c r="F28" s="208">
        <v>5</v>
      </c>
      <c r="G28" s="209">
        <v>50</v>
      </c>
      <c r="H28" s="210">
        <f t="shared" si="0"/>
        <v>2</v>
      </c>
      <c r="I28" s="208">
        <v>8</v>
      </c>
      <c r="J28" s="216">
        <f t="shared" si="3"/>
        <v>80</v>
      </c>
      <c r="K28" s="208">
        <f t="shared" si="1"/>
        <v>2</v>
      </c>
      <c r="L28" s="208">
        <v>5</v>
      </c>
      <c r="M28" s="217">
        <f>Bemessung!$E$33</f>
        <v>80</v>
      </c>
      <c r="N28" s="211">
        <v>80</v>
      </c>
      <c r="O28" s="208">
        <v>30</v>
      </c>
      <c r="P28" s="208">
        <f t="shared" ref="P28:P32" si="4">(N28-R28)/2</f>
        <v>10</v>
      </c>
      <c r="Q28" s="208">
        <v>20</v>
      </c>
      <c r="R28" s="208">
        <v>60</v>
      </c>
    </row>
    <row r="29" spans="1:18">
      <c r="A29" s="248" t="s">
        <v>242</v>
      </c>
      <c r="B29" s="214">
        <v>2</v>
      </c>
      <c r="C29" s="212">
        <v>8</v>
      </c>
      <c r="D29" s="212">
        <v>50</v>
      </c>
      <c r="E29" s="212">
        <v>4</v>
      </c>
      <c r="F29" s="212">
        <v>5</v>
      </c>
      <c r="G29" s="213">
        <v>50</v>
      </c>
      <c r="H29" s="214">
        <f t="shared" si="0"/>
        <v>2</v>
      </c>
      <c r="I29" s="212">
        <v>8</v>
      </c>
      <c r="J29" s="216">
        <f t="shared" si="3"/>
        <v>80</v>
      </c>
      <c r="K29" s="212">
        <f t="shared" si="1"/>
        <v>4</v>
      </c>
      <c r="L29" s="212">
        <v>5</v>
      </c>
      <c r="M29" s="217">
        <f>Bemessung!$E$33</f>
        <v>80</v>
      </c>
      <c r="N29" s="215">
        <v>100</v>
      </c>
      <c r="O29" s="212">
        <v>30</v>
      </c>
      <c r="P29" s="212">
        <f t="shared" si="4"/>
        <v>10</v>
      </c>
      <c r="Q29" s="212">
        <v>20</v>
      </c>
      <c r="R29" s="212">
        <v>80</v>
      </c>
    </row>
    <row r="30" spans="1:18">
      <c r="A30" s="249" t="s">
        <v>243</v>
      </c>
      <c r="B30" s="210">
        <v>2</v>
      </c>
      <c r="C30" s="208">
        <v>8</v>
      </c>
      <c r="D30" s="208">
        <v>50</v>
      </c>
      <c r="E30" s="208">
        <v>6</v>
      </c>
      <c r="F30" s="208">
        <v>5</v>
      </c>
      <c r="G30" s="209">
        <v>50</v>
      </c>
      <c r="H30" s="210">
        <f t="shared" si="0"/>
        <v>2</v>
      </c>
      <c r="I30" s="208">
        <v>8</v>
      </c>
      <c r="J30" s="216">
        <f t="shared" si="3"/>
        <v>80</v>
      </c>
      <c r="K30" s="208">
        <f t="shared" si="1"/>
        <v>6</v>
      </c>
      <c r="L30" s="208">
        <v>5</v>
      </c>
      <c r="M30" s="217">
        <f>Bemessung!$E$33</f>
        <v>80</v>
      </c>
      <c r="N30" s="211">
        <v>120</v>
      </c>
      <c r="O30" s="208">
        <v>30</v>
      </c>
      <c r="P30" s="208">
        <f t="shared" si="4"/>
        <v>10</v>
      </c>
      <c r="Q30" s="208">
        <v>20</v>
      </c>
      <c r="R30" s="208">
        <v>100</v>
      </c>
    </row>
    <row r="31" spans="1:18">
      <c r="A31" s="248" t="s">
        <v>244</v>
      </c>
      <c r="B31" s="214">
        <v>2</v>
      </c>
      <c r="C31" s="212">
        <v>8</v>
      </c>
      <c r="D31" s="212">
        <v>50</v>
      </c>
      <c r="E31" s="212">
        <v>8</v>
      </c>
      <c r="F31" s="212">
        <v>5</v>
      </c>
      <c r="G31" s="213">
        <v>50</v>
      </c>
      <c r="H31" s="214">
        <f t="shared" si="0"/>
        <v>2</v>
      </c>
      <c r="I31" s="212">
        <v>8</v>
      </c>
      <c r="J31" s="216">
        <f t="shared" si="3"/>
        <v>80</v>
      </c>
      <c r="K31" s="212">
        <f t="shared" si="1"/>
        <v>8</v>
      </c>
      <c r="L31" s="212">
        <v>5</v>
      </c>
      <c r="M31" s="217">
        <f>Bemessung!$E$33</f>
        <v>80</v>
      </c>
      <c r="N31" s="215">
        <v>140</v>
      </c>
      <c r="O31" s="212">
        <v>30</v>
      </c>
      <c r="P31" s="212">
        <f t="shared" si="4"/>
        <v>10</v>
      </c>
      <c r="Q31" s="212">
        <v>20</v>
      </c>
      <c r="R31" s="212">
        <v>120</v>
      </c>
    </row>
    <row r="32" spans="1:18" ht="16.5" thickBot="1">
      <c r="A32" s="292" t="s">
        <v>245</v>
      </c>
      <c r="B32" s="293">
        <v>2</v>
      </c>
      <c r="C32" s="294">
        <v>8</v>
      </c>
      <c r="D32" s="294">
        <v>50</v>
      </c>
      <c r="E32" s="294">
        <v>10</v>
      </c>
      <c r="F32" s="294">
        <v>5</v>
      </c>
      <c r="G32" s="295">
        <v>50</v>
      </c>
      <c r="H32" s="293">
        <f t="shared" si="0"/>
        <v>2</v>
      </c>
      <c r="I32" s="294">
        <v>8</v>
      </c>
      <c r="J32" s="216">
        <f t="shared" si="3"/>
        <v>80</v>
      </c>
      <c r="K32" s="294">
        <f t="shared" si="1"/>
        <v>10</v>
      </c>
      <c r="L32" s="294">
        <v>5</v>
      </c>
      <c r="M32" s="217">
        <f>Bemessung!$E$33</f>
        <v>80</v>
      </c>
      <c r="N32" s="296">
        <v>160</v>
      </c>
      <c r="O32" s="294">
        <v>30</v>
      </c>
      <c r="P32" s="294">
        <f t="shared" si="4"/>
        <v>10</v>
      </c>
      <c r="Q32" s="294">
        <v>20</v>
      </c>
      <c r="R32" s="294">
        <v>140</v>
      </c>
    </row>
    <row r="33" spans="1:15" ht="16.5" thickTop="1">
      <c r="A33" s="1"/>
      <c r="B33" s="1"/>
      <c r="C33" s="1"/>
      <c r="D33" s="1"/>
      <c r="E33" s="1"/>
      <c r="F33" s="1"/>
      <c r="G33" s="1"/>
      <c r="H33" s="1"/>
      <c r="I33" s="1"/>
      <c r="J33" s="1"/>
      <c r="K33" s="1"/>
      <c r="L33" s="1"/>
      <c r="M33" s="1"/>
      <c r="N33" s="1"/>
      <c r="O33" s="1"/>
    </row>
    <row r="34" spans="1:15">
      <c r="A34" s="1"/>
      <c r="B34" s="1"/>
      <c r="C34" s="1"/>
      <c r="D34" s="1"/>
      <c r="E34" s="1"/>
      <c r="F34" s="1"/>
      <c r="G34" s="1"/>
      <c r="H34" s="1"/>
      <c r="I34" s="1"/>
      <c r="J34" s="1"/>
      <c r="K34" s="1"/>
      <c r="L34" s="1"/>
      <c r="M34" s="1"/>
      <c r="N34" s="1"/>
      <c r="O34" s="1"/>
    </row>
    <row r="35" spans="1:15" ht="18.75">
      <c r="A35" s="42" t="s">
        <v>94</v>
      </c>
      <c r="B35" s="413" t="s">
        <v>178</v>
      </c>
      <c r="C35" s="414"/>
      <c r="D35" s="414"/>
      <c r="E35" s="414"/>
      <c r="F35" s="415"/>
      <c r="G35" s="369" t="s">
        <v>179</v>
      </c>
      <c r="H35" s="1"/>
      <c r="I35" s="1"/>
      <c r="J35" s="1"/>
      <c r="K35" s="1"/>
      <c r="L35" s="1"/>
      <c r="M35" s="1"/>
      <c r="N35" s="1"/>
      <c r="O35" s="1"/>
    </row>
    <row r="36" spans="1:15" ht="18.75">
      <c r="A36" s="24"/>
      <c r="B36" s="372">
        <f>Herleitung!O9</f>
        <v>0.6</v>
      </c>
      <c r="C36" s="372">
        <f>Herleitung!P9</f>
        <v>0.7</v>
      </c>
      <c r="D36" s="372">
        <f>Herleitung!Q9</f>
        <v>0.8</v>
      </c>
      <c r="E36" s="372">
        <f>Herleitung!R9</f>
        <v>0.9</v>
      </c>
      <c r="F36" s="372">
        <f>Herleitung!S9</f>
        <v>1</v>
      </c>
      <c r="G36" s="227" t="s">
        <v>181</v>
      </c>
      <c r="H36" s="1"/>
      <c r="I36" s="1"/>
      <c r="J36" s="1"/>
      <c r="K36" s="1"/>
      <c r="L36" s="1"/>
      <c r="M36" s="1"/>
      <c r="N36" s="1"/>
      <c r="O36" s="1"/>
    </row>
    <row r="37" spans="1:15">
      <c r="A37" s="248" t="s">
        <v>234</v>
      </c>
      <c r="B37" s="231">
        <f>Herleitung!O10</f>
        <v>0</v>
      </c>
      <c r="C37" s="231">
        <f>Herleitung!P10</f>
        <v>0</v>
      </c>
      <c r="D37" s="231">
        <f>Herleitung!Q10</f>
        <v>0</v>
      </c>
      <c r="E37" s="231">
        <f>Herleitung!R10</f>
        <v>0</v>
      </c>
      <c r="F37" s="231">
        <f>Herleitung!S10</f>
        <v>0</v>
      </c>
      <c r="G37" s="231">
        <f>Herleitung!Q28</f>
        <v>0</v>
      </c>
      <c r="H37" s="1"/>
      <c r="I37" s="2"/>
      <c r="J37" s="1"/>
      <c r="K37" s="1"/>
      <c r="L37" s="1"/>
      <c r="M37" s="1"/>
      <c r="N37" s="1"/>
      <c r="O37" s="1"/>
    </row>
    <row r="38" spans="1:15">
      <c r="A38" s="249" t="s">
        <v>235</v>
      </c>
      <c r="B38" s="230">
        <f>Herleitung!O11</f>
        <v>0</v>
      </c>
      <c r="C38" s="230">
        <f>Herleitung!P11</f>
        <v>0</v>
      </c>
      <c r="D38" s="230">
        <f>Herleitung!Q11</f>
        <v>0</v>
      </c>
      <c r="E38" s="230">
        <f>Herleitung!R11</f>
        <v>0</v>
      </c>
      <c r="F38" s="230">
        <f>Herleitung!S11</f>
        <v>0</v>
      </c>
      <c r="G38" s="230">
        <f>Herleitung!Q29</f>
        <v>0</v>
      </c>
      <c r="H38" s="1"/>
      <c r="I38" s="1"/>
      <c r="J38" s="1"/>
      <c r="K38" s="1"/>
      <c r="L38" s="1"/>
      <c r="M38" s="1"/>
      <c r="N38" s="1"/>
      <c r="O38" s="1"/>
    </row>
    <row r="39" spans="1:15">
      <c r="A39" s="248" t="s">
        <v>236</v>
      </c>
      <c r="B39" s="231">
        <f>Herleitung!O12</f>
        <v>0</v>
      </c>
      <c r="C39" s="231">
        <f>Herleitung!P12</f>
        <v>0</v>
      </c>
      <c r="D39" s="231">
        <f>Herleitung!Q12</f>
        <v>0</v>
      </c>
      <c r="E39" s="231">
        <f>Herleitung!R12</f>
        <v>0</v>
      </c>
      <c r="F39" s="231">
        <f>Herleitung!S12</f>
        <v>0</v>
      </c>
      <c r="G39" s="231">
        <f>Herleitung!Q30</f>
        <v>0</v>
      </c>
      <c r="H39" s="1"/>
      <c r="I39" s="1"/>
      <c r="J39" s="1"/>
      <c r="K39" s="1"/>
      <c r="L39" s="1"/>
      <c r="M39" s="1"/>
      <c r="N39" s="1"/>
      <c r="O39" s="1"/>
    </row>
    <row r="40" spans="1:15">
      <c r="A40" s="249" t="s">
        <v>237</v>
      </c>
      <c r="B40" s="230">
        <f>Herleitung!O13</f>
        <v>0</v>
      </c>
      <c r="C40" s="230">
        <f>Herleitung!P13</f>
        <v>0</v>
      </c>
      <c r="D40" s="230">
        <f>Herleitung!Q13</f>
        <v>0</v>
      </c>
      <c r="E40" s="230">
        <f>Herleitung!R13</f>
        <v>0</v>
      </c>
      <c r="F40" s="230">
        <f>Herleitung!S13</f>
        <v>0</v>
      </c>
      <c r="G40" s="230">
        <f>Herleitung!Q31</f>
        <v>0</v>
      </c>
      <c r="H40" s="1"/>
      <c r="I40" s="1"/>
      <c r="J40" s="1"/>
      <c r="K40" s="1"/>
      <c r="L40" s="1"/>
      <c r="M40" s="1"/>
      <c r="N40" s="1"/>
      <c r="O40" s="1"/>
    </row>
    <row r="41" spans="1:15">
      <c r="A41" s="248" t="s">
        <v>238</v>
      </c>
      <c r="B41" s="231">
        <f>Herleitung!O14</f>
        <v>0</v>
      </c>
      <c r="C41" s="231">
        <f>Herleitung!P14</f>
        <v>0</v>
      </c>
      <c r="D41" s="231">
        <f>Herleitung!Q14</f>
        <v>0</v>
      </c>
      <c r="E41" s="231">
        <f>Herleitung!R14</f>
        <v>0</v>
      </c>
      <c r="F41" s="231">
        <f>Herleitung!S14</f>
        <v>0</v>
      </c>
      <c r="G41" s="231">
        <f>Herleitung!Q32</f>
        <v>0</v>
      </c>
      <c r="H41" s="1"/>
      <c r="I41" s="1"/>
      <c r="J41" s="1"/>
      <c r="K41" s="1"/>
      <c r="L41" s="1"/>
      <c r="M41" s="1"/>
      <c r="N41" s="1"/>
      <c r="O41" s="1"/>
    </row>
    <row r="42" spans="1:15" ht="16.5" thickBot="1">
      <c r="A42" s="292" t="s">
        <v>239</v>
      </c>
      <c r="B42" s="307">
        <f>Herleitung!O15</f>
        <v>0</v>
      </c>
      <c r="C42" s="308">
        <f>Herleitung!P15</f>
        <v>0</v>
      </c>
      <c r="D42" s="308">
        <f>Herleitung!Q15</f>
        <v>0</v>
      </c>
      <c r="E42" s="308">
        <f>Herleitung!R15</f>
        <v>0</v>
      </c>
      <c r="F42" s="308">
        <f>Herleitung!S15</f>
        <v>0</v>
      </c>
      <c r="G42" s="308">
        <f>Herleitung!Q33</f>
        <v>0</v>
      </c>
      <c r="H42" s="1"/>
      <c r="I42" s="1"/>
      <c r="J42" s="1"/>
      <c r="K42" s="1"/>
      <c r="L42" s="1"/>
      <c r="M42" s="1"/>
      <c r="N42" s="1"/>
      <c r="O42" s="1"/>
    </row>
    <row r="43" spans="1:15" ht="16.5" thickTop="1">
      <c r="A43" s="291" t="s">
        <v>240</v>
      </c>
      <c r="B43" s="231">
        <f>Herleitung!O16</f>
        <v>0</v>
      </c>
      <c r="C43" s="231">
        <f>Herleitung!P16</f>
        <v>0</v>
      </c>
      <c r="D43" s="231">
        <f>Herleitung!Q16</f>
        <v>0</v>
      </c>
      <c r="E43" s="231">
        <f>Herleitung!R16</f>
        <v>0</v>
      </c>
      <c r="F43" s="231">
        <f>Herleitung!S16</f>
        <v>0</v>
      </c>
      <c r="G43" s="231">
        <f>Herleitung!Q34</f>
        <v>0</v>
      </c>
      <c r="H43" s="1"/>
      <c r="I43" s="1"/>
      <c r="J43" s="1"/>
      <c r="K43" s="1"/>
      <c r="L43" s="1"/>
      <c r="M43" s="1"/>
      <c r="N43" s="1"/>
      <c r="O43" s="1"/>
    </row>
    <row r="44" spans="1:15">
      <c r="A44" s="249" t="s">
        <v>241</v>
      </c>
      <c r="B44" s="230">
        <f>Herleitung!O17</f>
        <v>0</v>
      </c>
      <c r="C44" s="230">
        <f>Herleitung!P17</f>
        <v>0</v>
      </c>
      <c r="D44" s="230">
        <f>Herleitung!Q17</f>
        <v>0</v>
      </c>
      <c r="E44" s="230">
        <f>Herleitung!R17</f>
        <v>0</v>
      </c>
      <c r="F44" s="230">
        <f>Herleitung!S17</f>
        <v>0</v>
      </c>
      <c r="G44" s="230">
        <f>Herleitung!Q35</f>
        <v>0</v>
      </c>
      <c r="H44" s="1"/>
      <c r="I44" s="1"/>
      <c r="J44" s="1"/>
      <c r="K44" s="1"/>
      <c r="L44" s="1"/>
      <c r="M44" s="1"/>
      <c r="N44" s="1"/>
      <c r="O44" s="1"/>
    </row>
    <row r="45" spans="1:15">
      <c r="A45" s="248" t="s">
        <v>242</v>
      </c>
      <c r="B45" s="231">
        <f>Herleitung!O18</f>
        <v>0.90722617543842998</v>
      </c>
      <c r="C45" s="231">
        <f>Herleitung!P18</f>
        <v>1.0584305380115018</v>
      </c>
      <c r="D45" s="231">
        <f>Herleitung!Q18</f>
        <v>1.2096349005845735</v>
      </c>
      <c r="E45" s="231">
        <f>Herleitung!R18</f>
        <v>1.3608392631576454</v>
      </c>
      <c r="F45" s="231">
        <f>Herleitung!S18</f>
        <v>1.5120436257307168</v>
      </c>
      <c r="G45" s="231">
        <f>Herleitung!Q36</f>
        <v>0.88888888888888884</v>
      </c>
      <c r="H45" s="1"/>
      <c r="I45" s="1"/>
      <c r="J45" s="1"/>
      <c r="K45" s="1"/>
      <c r="L45" s="1"/>
      <c r="M45" s="1"/>
      <c r="N45" s="1"/>
      <c r="O45" s="1"/>
    </row>
    <row r="46" spans="1:15">
      <c r="A46" s="249" t="s">
        <v>243</v>
      </c>
      <c r="B46" s="230">
        <f>Herleitung!O19</f>
        <v>0</v>
      </c>
      <c r="C46" s="230">
        <f>Herleitung!P19</f>
        <v>0</v>
      </c>
      <c r="D46" s="230">
        <f>Herleitung!Q19</f>
        <v>0</v>
      </c>
      <c r="E46" s="230">
        <f>Herleitung!R19</f>
        <v>0</v>
      </c>
      <c r="F46" s="230">
        <f>Herleitung!S19</f>
        <v>0</v>
      </c>
      <c r="G46" s="230">
        <f>Herleitung!Q37</f>
        <v>0</v>
      </c>
      <c r="H46" s="1"/>
      <c r="I46" s="1"/>
      <c r="J46" s="1"/>
      <c r="K46" s="1"/>
      <c r="L46" s="1"/>
      <c r="M46" s="1"/>
      <c r="N46" s="1"/>
      <c r="O46" s="1"/>
    </row>
    <row r="47" spans="1:15">
      <c r="A47" s="248" t="s">
        <v>244</v>
      </c>
      <c r="B47" s="231">
        <f>Herleitung!O20</f>
        <v>0</v>
      </c>
      <c r="C47" s="231">
        <f>Herleitung!P20</f>
        <v>0</v>
      </c>
      <c r="D47" s="231">
        <f>Herleitung!Q20</f>
        <v>0</v>
      </c>
      <c r="E47" s="231">
        <f>Herleitung!R20</f>
        <v>0</v>
      </c>
      <c r="F47" s="231">
        <f>Herleitung!S20</f>
        <v>0</v>
      </c>
      <c r="G47" s="231">
        <f>Herleitung!Q38</f>
        <v>0</v>
      </c>
      <c r="H47" s="1"/>
      <c r="I47" s="1"/>
      <c r="J47" s="1"/>
      <c r="K47" s="1"/>
      <c r="L47" s="1"/>
      <c r="M47" s="1"/>
      <c r="N47" s="1"/>
      <c r="O47" s="1"/>
    </row>
    <row r="48" spans="1:15">
      <c r="A48" s="249" t="s">
        <v>245</v>
      </c>
      <c r="B48" s="309">
        <f>Herleitung!O21</f>
        <v>0</v>
      </c>
      <c r="C48" s="230">
        <f>Herleitung!P21</f>
        <v>0</v>
      </c>
      <c r="D48" s="230">
        <f>Herleitung!Q21</f>
        <v>0</v>
      </c>
      <c r="E48" s="230">
        <f>Herleitung!R21</f>
        <v>0</v>
      </c>
      <c r="F48" s="230">
        <f>Herleitung!S21</f>
        <v>0</v>
      </c>
      <c r="G48" s="230">
        <f>Herleitung!Q39</f>
        <v>0</v>
      </c>
      <c r="H48" s="1"/>
      <c r="I48" s="1"/>
      <c r="J48" s="1"/>
      <c r="K48" s="1"/>
      <c r="L48" s="1"/>
      <c r="M48" s="1"/>
      <c r="N48" s="1"/>
      <c r="O48" s="1"/>
    </row>
    <row r="49" spans="1:15">
      <c r="A49" s="33"/>
      <c r="B49" s="25"/>
      <c r="C49" s="25"/>
      <c r="D49" s="25"/>
      <c r="E49" s="25"/>
      <c r="F49" s="1"/>
      <c r="G49" s="1"/>
      <c r="H49" s="1"/>
      <c r="I49" s="1"/>
      <c r="J49" s="1"/>
      <c r="K49" s="1"/>
      <c r="L49" s="1"/>
      <c r="M49" s="1"/>
      <c r="N49" s="1"/>
      <c r="O49" s="1"/>
    </row>
    <row r="50" spans="1:15">
      <c r="A50" s="33"/>
      <c r="B50" s="25"/>
      <c r="C50" s="25"/>
      <c r="D50" s="25"/>
      <c r="E50" s="25"/>
      <c r="F50" s="1"/>
      <c r="G50" s="1"/>
      <c r="H50" s="1"/>
      <c r="I50" s="1"/>
      <c r="J50" s="1"/>
      <c r="K50" s="1"/>
      <c r="L50" s="1"/>
      <c r="M50" s="1"/>
      <c r="N50" s="1"/>
      <c r="O50" s="1"/>
    </row>
    <row r="51" spans="1:15">
      <c r="A51" s="1"/>
      <c r="B51" s="1"/>
      <c r="C51" s="1"/>
      <c r="D51" s="1"/>
      <c r="E51" s="1"/>
      <c r="F51" s="1"/>
      <c r="G51" s="1"/>
      <c r="H51" s="1"/>
      <c r="I51" s="1"/>
      <c r="J51" s="1"/>
      <c r="K51" s="1"/>
      <c r="L51" s="1"/>
      <c r="M51" s="1"/>
      <c r="N51" s="1"/>
      <c r="O51" s="1"/>
    </row>
    <row r="52" spans="1:15" ht="18.75">
      <c r="A52" s="42" t="s">
        <v>94</v>
      </c>
      <c r="B52" s="413" t="s">
        <v>87</v>
      </c>
      <c r="C52" s="414"/>
      <c r="D52" s="414"/>
      <c r="E52" s="414"/>
      <c r="F52" s="415"/>
      <c r="G52" s="1"/>
      <c r="H52" s="1"/>
      <c r="I52" s="1"/>
      <c r="J52" s="1"/>
      <c r="K52" s="1"/>
      <c r="L52" s="1"/>
      <c r="M52" s="1"/>
      <c r="N52" s="1"/>
      <c r="O52" s="1"/>
    </row>
    <row r="53" spans="1:15">
      <c r="A53" s="24"/>
      <c r="B53" s="373">
        <f>Herleitung!O72</f>
        <v>0.6</v>
      </c>
      <c r="C53" s="373">
        <f>Herleitung!P72</f>
        <v>0.7</v>
      </c>
      <c r="D53" s="373">
        <f>Herleitung!Q72</f>
        <v>0.8</v>
      </c>
      <c r="E53" s="373">
        <f>Herleitung!R72</f>
        <v>0.9</v>
      </c>
      <c r="F53" s="373">
        <f>Herleitung!S72</f>
        <v>1</v>
      </c>
      <c r="G53" s="1"/>
      <c r="H53" s="1"/>
      <c r="I53" s="1"/>
      <c r="J53" s="1"/>
      <c r="K53" s="1"/>
      <c r="L53" s="1"/>
      <c r="M53" s="1"/>
      <c r="N53" s="1"/>
      <c r="O53" s="1"/>
    </row>
    <row r="54" spans="1:15">
      <c r="A54" s="248" t="s">
        <v>234</v>
      </c>
      <c r="B54" s="231">
        <f>Herleitung!O73</f>
        <v>0</v>
      </c>
      <c r="C54" s="231">
        <f>Herleitung!P73</f>
        <v>0</v>
      </c>
      <c r="D54" s="231">
        <f>Herleitung!Q73</f>
        <v>0</v>
      </c>
      <c r="E54" s="231">
        <f>Herleitung!R73</f>
        <v>0</v>
      </c>
      <c r="F54" s="231">
        <f>Herleitung!S73</f>
        <v>0</v>
      </c>
      <c r="G54" s="1"/>
      <c r="H54" s="1"/>
      <c r="I54" s="1"/>
      <c r="J54" s="1"/>
      <c r="K54" s="1"/>
      <c r="L54" s="1"/>
      <c r="M54" s="1"/>
      <c r="N54" s="1"/>
      <c r="O54" s="1"/>
    </row>
    <row r="55" spans="1:15">
      <c r="A55" s="249" t="s">
        <v>235</v>
      </c>
      <c r="B55" s="230">
        <f>Herleitung!O74</f>
        <v>0</v>
      </c>
      <c r="C55" s="230">
        <f>Herleitung!P74</f>
        <v>0</v>
      </c>
      <c r="D55" s="230">
        <f>Herleitung!Q74</f>
        <v>0</v>
      </c>
      <c r="E55" s="230">
        <f>Herleitung!R74</f>
        <v>0</v>
      </c>
      <c r="F55" s="230">
        <f>Herleitung!S74</f>
        <v>0</v>
      </c>
      <c r="G55" s="1"/>
      <c r="H55" s="1"/>
      <c r="I55" s="1"/>
      <c r="J55" s="1"/>
      <c r="K55" s="1"/>
      <c r="L55" s="1"/>
      <c r="M55" s="1"/>
      <c r="N55" s="1"/>
      <c r="O55" s="1"/>
    </row>
    <row r="56" spans="1:15">
      <c r="A56" s="248" t="s">
        <v>236</v>
      </c>
      <c r="B56" s="231">
        <f>Herleitung!O75</f>
        <v>0</v>
      </c>
      <c r="C56" s="231">
        <f>Herleitung!P75</f>
        <v>0</v>
      </c>
      <c r="D56" s="231">
        <f>Herleitung!Q75</f>
        <v>0</v>
      </c>
      <c r="E56" s="231">
        <f>Herleitung!R75</f>
        <v>0</v>
      </c>
      <c r="F56" s="231">
        <f>Herleitung!S75</f>
        <v>0</v>
      </c>
      <c r="G56" s="1"/>
      <c r="H56" s="1"/>
      <c r="I56" s="1"/>
      <c r="J56" s="1"/>
      <c r="K56" s="1"/>
      <c r="L56" s="1"/>
      <c r="M56" s="1"/>
      <c r="N56" s="1"/>
      <c r="O56" s="1"/>
    </row>
    <row r="57" spans="1:15">
      <c r="A57" s="249" t="s">
        <v>237</v>
      </c>
      <c r="B57" s="230">
        <f>Herleitung!O76</f>
        <v>0</v>
      </c>
      <c r="C57" s="230">
        <f>Herleitung!P76</f>
        <v>0</v>
      </c>
      <c r="D57" s="230">
        <f>Herleitung!Q76</f>
        <v>0</v>
      </c>
      <c r="E57" s="230">
        <f>Herleitung!R76</f>
        <v>0</v>
      </c>
      <c r="F57" s="230">
        <f>Herleitung!S76</f>
        <v>0</v>
      </c>
      <c r="G57" s="1"/>
      <c r="H57" s="1"/>
      <c r="I57" s="1"/>
      <c r="J57" s="1"/>
      <c r="K57" s="1"/>
      <c r="L57" s="1"/>
      <c r="M57" s="1"/>
      <c r="N57" s="1"/>
      <c r="O57" s="1"/>
    </row>
    <row r="58" spans="1:15">
      <c r="A58" s="248" t="s">
        <v>238</v>
      </c>
      <c r="B58" s="231">
        <f>Herleitung!O77</f>
        <v>0</v>
      </c>
      <c r="C58" s="231">
        <f>Herleitung!P77</f>
        <v>0</v>
      </c>
      <c r="D58" s="231">
        <f>Herleitung!Q77</f>
        <v>0</v>
      </c>
      <c r="E58" s="231">
        <f>Herleitung!R77</f>
        <v>0</v>
      </c>
      <c r="F58" s="231">
        <f>Herleitung!S77</f>
        <v>0</v>
      </c>
      <c r="G58" s="1"/>
      <c r="H58" s="1"/>
      <c r="I58" s="1"/>
      <c r="J58" s="1"/>
      <c r="K58" s="1"/>
      <c r="L58" s="1"/>
      <c r="M58" s="1"/>
      <c r="N58" s="1"/>
      <c r="O58" s="1"/>
    </row>
    <row r="59" spans="1:15" ht="16.5" thickBot="1">
      <c r="A59" s="292" t="s">
        <v>239</v>
      </c>
      <c r="B59" s="307">
        <f>Herleitung!O78</f>
        <v>0</v>
      </c>
      <c r="C59" s="308">
        <f>Herleitung!P78</f>
        <v>0</v>
      </c>
      <c r="D59" s="308">
        <f>Herleitung!Q78</f>
        <v>0</v>
      </c>
      <c r="E59" s="308">
        <f>Herleitung!R78</f>
        <v>0</v>
      </c>
      <c r="F59" s="308">
        <f>Herleitung!S78</f>
        <v>0</v>
      </c>
      <c r="G59" s="1"/>
      <c r="H59" s="1"/>
      <c r="I59" s="1"/>
      <c r="J59" s="1"/>
      <c r="K59" s="1"/>
      <c r="L59" s="1"/>
      <c r="M59" s="1"/>
      <c r="N59" s="1"/>
      <c r="O59" s="1"/>
    </row>
    <row r="60" spans="1:15" ht="16.5" thickTop="1">
      <c r="A60" s="291" t="s">
        <v>240</v>
      </c>
      <c r="B60" s="306">
        <f>Herleitung!O79</f>
        <v>0</v>
      </c>
      <c r="C60" s="306">
        <f>Herleitung!P79</f>
        <v>0</v>
      </c>
      <c r="D60" s="306">
        <f>Herleitung!Q79</f>
        <v>0</v>
      </c>
      <c r="E60" s="306">
        <f>Herleitung!R79</f>
        <v>0</v>
      </c>
      <c r="F60" s="306">
        <f>Herleitung!S79</f>
        <v>0</v>
      </c>
      <c r="G60" s="1"/>
      <c r="H60" s="1"/>
      <c r="I60" s="1"/>
      <c r="J60" s="1"/>
      <c r="K60" s="1"/>
      <c r="L60" s="1"/>
      <c r="M60" s="1"/>
      <c r="N60" s="1"/>
      <c r="O60" s="1"/>
    </row>
    <row r="61" spans="1:15">
      <c r="A61" s="249" t="s">
        <v>241</v>
      </c>
      <c r="B61" s="230">
        <f>Herleitung!O80</f>
        <v>0</v>
      </c>
      <c r="C61" s="230">
        <f>Herleitung!P80</f>
        <v>0</v>
      </c>
      <c r="D61" s="230">
        <f>Herleitung!Q80</f>
        <v>0</v>
      </c>
      <c r="E61" s="230">
        <f>Herleitung!R80</f>
        <v>0</v>
      </c>
      <c r="F61" s="230">
        <f>Herleitung!S80</f>
        <v>0</v>
      </c>
      <c r="G61" s="1"/>
      <c r="H61" s="1"/>
      <c r="I61" s="1"/>
      <c r="J61" s="1"/>
      <c r="K61" s="1"/>
      <c r="L61" s="1"/>
      <c r="M61" s="1"/>
      <c r="N61" s="1"/>
      <c r="O61" s="1"/>
    </row>
    <row r="62" spans="1:15">
      <c r="A62" s="248" t="s">
        <v>242</v>
      </c>
      <c r="B62" s="231">
        <f>Herleitung!O81</f>
        <v>4.7683263376840959</v>
      </c>
      <c r="C62" s="231">
        <f>Herleitung!P81</f>
        <v>5.5630473939647773</v>
      </c>
      <c r="D62" s="231">
        <f>Herleitung!Q81</f>
        <v>6.3577684502454606</v>
      </c>
      <c r="E62" s="231">
        <f>Herleitung!R81</f>
        <v>7.1524895065261429</v>
      </c>
      <c r="F62" s="231">
        <f>Herleitung!S81</f>
        <v>7.9472105628068261</v>
      </c>
      <c r="G62" s="1"/>
      <c r="H62" s="1"/>
      <c r="I62" s="1"/>
      <c r="J62" s="1"/>
      <c r="K62" s="1"/>
      <c r="L62" s="1"/>
      <c r="M62" s="1"/>
      <c r="N62" s="1"/>
      <c r="O62" s="1"/>
    </row>
    <row r="63" spans="1:15">
      <c r="A63" s="249" t="s">
        <v>243</v>
      </c>
      <c r="B63" s="230">
        <f>Herleitung!O82</f>
        <v>0</v>
      </c>
      <c r="C63" s="230">
        <f>Herleitung!P82</f>
        <v>0</v>
      </c>
      <c r="D63" s="230">
        <f>Herleitung!Q82</f>
        <v>0</v>
      </c>
      <c r="E63" s="230">
        <f>Herleitung!R82</f>
        <v>0</v>
      </c>
      <c r="F63" s="230">
        <f>Herleitung!S82</f>
        <v>0</v>
      </c>
      <c r="G63" s="1"/>
      <c r="H63" s="1"/>
      <c r="I63" s="1"/>
      <c r="J63" s="1"/>
      <c r="K63" s="1"/>
      <c r="L63" s="1"/>
      <c r="M63" s="1"/>
      <c r="N63" s="1"/>
      <c r="O63" s="1"/>
    </row>
    <row r="64" spans="1:15">
      <c r="A64" s="248" t="s">
        <v>244</v>
      </c>
      <c r="B64" s="231">
        <f>Herleitung!O83</f>
        <v>0</v>
      </c>
      <c r="C64" s="231">
        <f>Herleitung!P83</f>
        <v>0</v>
      </c>
      <c r="D64" s="231">
        <f>Herleitung!Q83</f>
        <v>0</v>
      </c>
      <c r="E64" s="231">
        <f>Herleitung!R83</f>
        <v>0</v>
      </c>
      <c r="F64" s="231">
        <f>Herleitung!S83</f>
        <v>0</v>
      </c>
      <c r="G64" s="1"/>
      <c r="H64" s="1"/>
      <c r="I64" s="1"/>
      <c r="J64" s="1"/>
      <c r="K64" s="1"/>
      <c r="L64" s="1"/>
      <c r="M64" s="1"/>
      <c r="N64" s="1"/>
      <c r="O64" s="1"/>
    </row>
    <row r="65" spans="1:15">
      <c r="A65" s="249" t="s">
        <v>245</v>
      </c>
      <c r="B65" s="309">
        <f>Herleitung!O84</f>
        <v>0</v>
      </c>
      <c r="C65" s="230">
        <f>Herleitung!P84</f>
        <v>0</v>
      </c>
      <c r="D65" s="230">
        <f>Herleitung!Q84</f>
        <v>0</v>
      </c>
      <c r="E65" s="230">
        <f>Herleitung!R84</f>
        <v>0</v>
      </c>
      <c r="F65" s="230">
        <f>Herleitung!S84</f>
        <v>0</v>
      </c>
      <c r="G65" s="1"/>
      <c r="H65" s="1"/>
      <c r="I65" s="1"/>
      <c r="J65" s="1"/>
      <c r="K65" s="1"/>
      <c r="L65" s="1"/>
      <c r="M65" s="1"/>
      <c r="N65" s="1"/>
      <c r="O65" s="1"/>
    </row>
    <row r="66" spans="1:15">
      <c r="A66" s="7"/>
      <c r="B66" s="7"/>
      <c r="C66" s="7"/>
      <c r="D66" s="7"/>
      <c r="E66" s="7"/>
      <c r="F66" s="1"/>
      <c r="G66" s="1"/>
      <c r="H66" s="1"/>
      <c r="I66" s="1"/>
      <c r="J66" s="1"/>
      <c r="K66" s="1"/>
      <c r="L66" s="1"/>
      <c r="M66" s="1"/>
      <c r="N66" s="1"/>
      <c r="O66" s="1"/>
    </row>
    <row r="67" spans="1:15">
      <c r="A67" s="289"/>
      <c r="B67" s="290"/>
      <c r="C67" s="290"/>
      <c r="D67" s="290"/>
      <c r="E67" s="290"/>
      <c r="F67" s="1"/>
      <c r="G67" s="1"/>
      <c r="H67" s="1"/>
      <c r="I67" s="1"/>
      <c r="J67" s="1"/>
      <c r="K67" s="1"/>
      <c r="L67" s="1"/>
      <c r="M67" s="1"/>
      <c r="N67" s="1"/>
      <c r="O67" s="1"/>
    </row>
    <row r="68" spans="1:15" ht="18.75">
      <c r="A68" s="42" t="s">
        <v>94</v>
      </c>
      <c r="B68" s="418" t="s">
        <v>246</v>
      </c>
      <c r="C68" s="419"/>
      <c r="D68" s="419"/>
      <c r="E68" s="420"/>
      <c r="F68" s="1"/>
      <c r="G68" s="1"/>
      <c r="H68" s="1"/>
      <c r="I68" s="1"/>
      <c r="J68" s="1"/>
      <c r="K68" s="1"/>
      <c r="L68" s="1"/>
      <c r="M68" s="1"/>
      <c r="N68" s="1"/>
      <c r="O68" s="1"/>
    </row>
    <row r="69" spans="1:15">
      <c r="A69" s="24"/>
      <c r="B69" s="423" t="s">
        <v>153</v>
      </c>
      <c r="C69" s="424"/>
      <c r="D69" s="421" t="s">
        <v>152</v>
      </c>
      <c r="E69" s="422"/>
      <c r="F69" s="1"/>
      <c r="G69" s="1"/>
      <c r="H69" s="1"/>
      <c r="I69" s="1"/>
      <c r="J69" s="1"/>
      <c r="K69" s="1"/>
      <c r="L69" s="1"/>
      <c r="M69" s="1"/>
      <c r="N69" s="1"/>
      <c r="O69" s="1"/>
    </row>
    <row r="70" spans="1:15">
      <c r="A70" s="358"/>
      <c r="B70" s="359" t="s">
        <v>3</v>
      </c>
      <c r="C70" s="37" t="s">
        <v>224</v>
      </c>
      <c r="D70" s="359" t="s">
        <v>3</v>
      </c>
      <c r="E70" s="37" t="s">
        <v>224</v>
      </c>
      <c r="F70" s="1"/>
      <c r="G70" s="1"/>
      <c r="H70" s="1"/>
      <c r="I70" s="1"/>
      <c r="J70" s="1"/>
      <c r="K70" s="1"/>
      <c r="L70" s="1"/>
      <c r="M70" s="1"/>
      <c r="N70" s="1"/>
      <c r="O70" s="1"/>
    </row>
    <row r="71" spans="1:15">
      <c r="A71" s="248" t="s">
        <v>234</v>
      </c>
      <c r="B71" s="231">
        <f>MIN(2.7/1.25,E54)</f>
        <v>0</v>
      </c>
      <c r="C71" s="231">
        <f>MIN(2.7/1.25,F54)</f>
        <v>0</v>
      </c>
      <c r="D71" s="231">
        <f>MIN(E54,2*2.7/1.25)</f>
        <v>0</v>
      </c>
      <c r="E71" s="231">
        <f>MIN(F54,2*2.7/1.25)</f>
        <v>0</v>
      </c>
      <c r="F71" s="1"/>
      <c r="G71" s="1"/>
      <c r="H71" s="1"/>
      <c r="I71" s="1"/>
      <c r="J71" s="1"/>
      <c r="K71" s="1"/>
      <c r="L71" s="1"/>
      <c r="M71" s="1"/>
      <c r="N71" s="1"/>
      <c r="O71" s="1"/>
    </row>
    <row r="72" spans="1:15">
      <c r="A72" s="249" t="s">
        <v>235</v>
      </c>
      <c r="B72" s="230">
        <f t="shared" ref="B72:C72" si="5">MIN(2.7/1.25,E55)</f>
        <v>0</v>
      </c>
      <c r="C72" s="230">
        <f t="shared" si="5"/>
        <v>0</v>
      </c>
      <c r="D72" s="230">
        <f t="shared" ref="D72:E72" si="6">MIN(E55,2*2.7/1.25)</f>
        <v>0</v>
      </c>
      <c r="E72" s="230">
        <f t="shared" si="6"/>
        <v>0</v>
      </c>
      <c r="F72" s="1"/>
      <c r="G72" s="1"/>
      <c r="H72" s="1"/>
      <c r="I72" s="1"/>
      <c r="J72" s="1"/>
      <c r="K72" s="1"/>
      <c r="L72" s="1"/>
      <c r="M72" s="1"/>
      <c r="N72" s="1"/>
      <c r="O72" s="1"/>
    </row>
    <row r="73" spans="1:15">
      <c r="A73" s="248" t="s">
        <v>236</v>
      </c>
      <c r="B73" s="231">
        <f t="shared" ref="B73:C73" si="7">MIN(2.7/1.25,E56)</f>
        <v>0</v>
      </c>
      <c r="C73" s="231">
        <f t="shared" si="7"/>
        <v>0</v>
      </c>
      <c r="D73" s="231">
        <f t="shared" ref="D73:E73" si="8">MIN(E56,2*2.7/1.25)</f>
        <v>0</v>
      </c>
      <c r="E73" s="231">
        <f t="shared" si="8"/>
        <v>0</v>
      </c>
      <c r="F73" s="1"/>
      <c r="G73" s="1"/>
      <c r="H73" s="1"/>
      <c r="I73" s="1"/>
      <c r="J73" s="1"/>
      <c r="K73" s="1"/>
      <c r="L73" s="1"/>
      <c r="M73" s="1"/>
      <c r="N73" s="1"/>
      <c r="O73" s="1"/>
    </row>
    <row r="74" spans="1:15">
      <c r="A74" s="249" t="s">
        <v>237</v>
      </c>
      <c r="B74" s="230">
        <f t="shared" ref="B74:C74" si="9">MIN(2.7/1.25,E57)</f>
        <v>0</v>
      </c>
      <c r="C74" s="230">
        <f t="shared" si="9"/>
        <v>0</v>
      </c>
      <c r="D74" s="230">
        <f t="shared" ref="D74:E74" si="10">MIN(E57,2*2.7/1.25)</f>
        <v>0</v>
      </c>
      <c r="E74" s="230">
        <f t="shared" si="10"/>
        <v>0</v>
      </c>
      <c r="F74" s="1"/>
      <c r="G74" s="1"/>
      <c r="H74" s="1"/>
      <c r="I74" s="1"/>
      <c r="J74" s="1"/>
      <c r="K74" s="1"/>
      <c r="L74" s="1"/>
      <c r="M74" s="1"/>
      <c r="N74" s="1"/>
      <c r="O74" s="1"/>
    </row>
    <row r="75" spans="1:15">
      <c r="A75" s="248" t="s">
        <v>238</v>
      </c>
      <c r="B75" s="231">
        <f t="shared" ref="B75:C75" si="11">MIN(2.7/1.25,E58)</f>
        <v>0</v>
      </c>
      <c r="C75" s="231">
        <f t="shared" si="11"/>
        <v>0</v>
      </c>
      <c r="D75" s="231">
        <f t="shared" ref="D75:E75" si="12">MIN(E58,2*2.7/1.25)</f>
        <v>0</v>
      </c>
      <c r="E75" s="231">
        <f t="shared" si="12"/>
        <v>0</v>
      </c>
      <c r="F75" s="1"/>
      <c r="G75" s="1"/>
      <c r="H75" s="1"/>
      <c r="I75" s="1"/>
      <c r="J75" s="1"/>
      <c r="K75" s="1"/>
      <c r="L75" s="1"/>
      <c r="M75" s="1"/>
      <c r="N75" s="1"/>
      <c r="O75" s="1"/>
    </row>
    <row r="76" spans="1:15" ht="16.5" thickBot="1">
      <c r="A76" s="292" t="s">
        <v>239</v>
      </c>
      <c r="B76" s="308">
        <f t="shared" ref="B76:C76" si="13">MIN(2.7/1.25,E59)</f>
        <v>0</v>
      </c>
      <c r="C76" s="308">
        <f t="shared" si="13"/>
        <v>0</v>
      </c>
      <c r="D76" s="308">
        <f t="shared" ref="D76:E76" si="14">MIN(E59,2*2.7/1.25)</f>
        <v>0</v>
      </c>
      <c r="E76" s="308">
        <f t="shared" si="14"/>
        <v>0</v>
      </c>
      <c r="F76" s="1"/>
      <c r="G76" s="1"/>
      <c r="H76" s="1"/>
      <c r="I76" s="1"/>
      <c r="J76" s="1"/>
      <c r="K76" s="1"/>
      <c r="L76" s="1"/>
      <c r="M76" s="1"/>
      <c r="N76" s="1"/>
      <c r="O76" s="1"/>
    </row>
    <row r="77" spans="1:15" ht="16.5" thickTop="1">
      <c r="A77" s="310" t="s">
        <v>240</v>
      </c>
      <c r="B77" s="311">
        <f>MIN(1.9/1.25,E60)</f>
        <v>0</v>
      </c>
      <c r="C77" s="311">
        <f>MIN(1.9/1.25,F60)</f>
        <v>0</v>
      </c>
      <c r="D77" s="311">
        <f>MIN(E60,2*1.9/1.25)</f>
        <v>0</v>
      </c>
      <c r="E77" s="311">
        <f>MIN(F60,2*1.9/1.25)</f>
        <v>0</v>
      </c>
      <c r="F77" s="1"/>
      <c r="G77" s="1"/>
      <c r="H77" s="1"/>
      <c r="I77" s="1"/>
      <c r="J77" s="1"/>
      <c r="K77" s="1"/>
      <c r="L77" s="1"/>
      <c r="M77" s="1"/>
      <c r="N77" s="1"/>
      <c r="O77" s="1"/>
    </row>
    <row r="78" spans="1:15">
      <c r="A78" s="249" t="s">
        <v>241</v>
      </c>
      <c r="B78" s="230">
        <f t="shared" ref="B78:C78" si="15">MIN(1.9/1.25,E61)</f>
        <v>0</v>
      </c>
      <c r="C78" s="230">
        <f t="shared" si="15"/>
        <v>0</v>
      </c>
      <c r="D78" s="230">
        <f t="shared" ref="D78:E78" si="16">MIN(E61,2*1.9/1.25)</f>
        <v>0</v>
      </c>
      <c r="E78" s="230">
        <f t="shared" si="16"/>
        <v>0</v>
      </c>
      <c r="F78" s="1"/>
      <c r="G78" s="1"/>
      <c r="H78" s="1"/>
      <c r="I78" s="1"/>
      <c r="J78" s="1"/>
      <c r="K78" s="1"/>
      <c r="L78" s="1"/>
      <c r="M78" s="1"/>
      <c r="N78" s="1"/>
      <c r="O78" s="1"/>
    </row>
    <row r="79" spans="1:15">
      <c r="A79" s="248" t="s">
        <v>242</v>
      </c>
      <c r="B79" s="231">
        <f t="shared" ref="B79:C79" si="17">MIN(1.9/1.25,E62)</f>
        <v>1.52</v>
      </c>
      <c r="C79" s="231">
        <f t="shared" si="17"/>
        <v>1.52</v>
      </c>
      <c r="D79" s="231">
        <f t="shared" ref="D79:E79" si="18">MIN(E62,2*1.9/1.25)</f>
        <v>3.04</v>
      </c>
      <c r="E79" s="231">
        <f t="shared" si="18"/>
        <v>3.04</v>
      </c>
      <c r="F79" s="1"/>
      <c r="G79" s="1"/>
      <c r="H79" s="1"/>
      <c r="I79" s="1"/>
      <c r="J79" s="1"/>
      <c r="K79" s="1"/>
      <c r="L79" s="1"/>
      <c r="M79" s="1"/>
      <c r="N79" s="1"/>
      <c r="O79" s="1"/>
    </row>
    <row r="80" spans="1:15">
      <c r="A80" s="249" t="s">
        <v>243</v>
      </c>
      <c r="B80" s="230">
        <f t="shared" ref="B80:C80" si="19">MIN(1.9/1.25,E63)</f>
        <v>0</v>
      </c>
      <c r="C80" s="230">
        <f t="shared" si="19"/>
        <v>0</v>
      </c>
      <c r="D80" s="230">
        <f t="shared" ref="D80:E80" si="20">MIN(E63,2*1.9/1.25)</f>
        <v>0</v>
      </c>
      <c r="E80" s="230">
        <f t="shared" si="20"/>
        <v>0</v>
      </c>
      <c r="F80" s="1"/>
      <c r="G80" s="1"/>
      <c r="H80" s="1"/>
      <c r="I80" s="1"/>
      <c r="J80" s="1"/>
      <c r="K80" s="1"/>
      <c r="L80" s="1"/>
      <c r="M80" s="1"/>
      <c r="N80" s="1"/>
      <c r="O80" s="1"/>
    </row>
    <row r="81" spans="1:15">
      <c r="A81" s="248" t="s">
        <v>244</v>
      </c>
      <c r="B81" s="231">
        <f t="shared" ref="B81:C81" si="21">MIN(1.9/1.25,E64)</f>
        <v>0</v>
      </c>
      <c r="C81" s="231">
        <f t="shared" si="21"/>
        <v>0</v>
      </c>
      <c r="D81" s="231">
        <f t="shared" ref="D81:E81" si="22">MIN(E64,2*1.9/1.25)</f>
        <v>0</v>
      </c>
      <c r="E81" s="231">
        <f t="shared" si="22"/>
        <v>0</v>
      </c>
      <c r="F81" s="1"/>
      <c r="G81" s="1"/>
      <c r="H81" s="1"/>
      <c r="I81" s="1"/>
      <c r="J81" s="1"/>
      <c r="K81" s="1"/>
      <c r="L81" s="1"/>
      <c r="M81" s="1"/>
      <c r="N81" s="1"/>
      <c r="O81" s="1"/>
    </row>
    <row r="82" spans="1:15">
      <c r="A82" s="249" t="s">
        <v>245</v>
      </c>
      <c r="B82" s="230">
        <f t="shared" ref="B82:C82" si="23">MIN(1.9/1.25,E65)</f>
        <v>0</v>
      </c>
      <c r="C82" s="230">
        <f t="shared" si="23"/>
        <v>0</v>
      </c>
      <c r="D82" s="230">
        <f t="shared" ref="D82:E82" si="24">MIN(E65,2*1.9/1.25)</f>
        <v>0</v>
      </c>
      <c r="E82" s="230">
        <f t="shared" si="24"/>
        <v>0</v>
      </c>
      <c r="F82" s="1"/>
      <c r="G82" s="1"/>
      <c r="H82" s="1"/>
      <c r="I82" s="1"/>
      <c r="J82" s="1"/>
      <c r="K82" s="1"/>
      <c r="L82" s="1"/>
      <c r="M82" s="1"/>
      <c r="N82" s="1"/>
      <c r="O82" s="1"/>
    </row>
    <row r="83" spans="1:15">
      <c r="A83" s="1"/>
      <c r="B83" s="1"/>
      <c r="C83" s="1"/>
      <c r="D83" s="1"/>
      <c r="E83" s="1"/>
      <c r="F83" s="1"/>
      <c r="G83" s="1"/>
      <c r="H83" s="1"/>
      <c r="I83" s="1"/>
      <c r="J83" s="1"/>
      <c r="K83" s="1"/>
      <c r="L83" s="1"/>
      <c r="M83" s="1"/>
      <c r="N83" s="1"/>
      <c r="O83" s="1"/>
    </row>
    <row r="84" spans="1:15">
      <c r="A84" s="1"/>
      <c r="B84" s="1"/>
      <c r="C84" s="1"/>
      <c r="D84" s="1"/>
      <c r="E84" s="1"/>
      <c r="F84" s="1"/>
      <c r="G84" s="1"/>
      <c r="H84" s="1"/>
      <c r="I84" s="1"/>
      <c r="J84" s="1"/>
      <c r="K84" s="1"/>
      <c r="L84" s="1"/>
      <c r="M84" s="1"/>
      <c r="N84" s="1"/>
      <c r="O84" s="1"/>
    </row>
    <row r="85" spans="1:15" ht="18.75">
      <c r="A85" s="42" t="s">
        <v>94</v>
      </c>
      <c r="B85" s="413" t="s">
        <v>95</v>
      </c>
      <c r="C85" s="414"/>
      <c r="D85" s="414"/>
      <c r="E85" s="414"/>
      <c r="F85" s="415"/>
      <c r="G85" s="1"/>
      <c r="H85" s="1"/>
      <c r="I85" s="1"/>
      <c r="J85" s="1"/>
      <c r="K85" s="1"/>
      <c r="L85" s="1"/>
      <c r="M85" s="1"/>
      <c r="N85" s="1"/>
      <c r="O85" s="1"/>
    </row>
    <row r="86" spans="1:15">
      <c r="A86" s="24"/>
      <c r="B86" s="373">
        <f>Herleitung!O160</f>
        <v>0.6</v>
      </c>
      <c r="C86" s="373">
        <f>Herleitung!P160</f>
        <v>0.7</v>
      </c>
      <c r="D86" s="373">
        <f>Herleitung!Q160</f>
        <v>0.8</v>
      </c>
      <c r="E86" s="373">
        <f>Herleitung!R160</f>
        <v>0.9</v>
      </c>
      <c r="F86" s="373">
        <f>Herleitung!S160</f>
        <v>1</v>
      </c>
      <c r="G86" s="1"/>
      <c r="H86" s="1"/>
      <c r="I86" s="1"/>
      <c r="J86" s="1"/>
      <c r="K86" s="1"/>
      <c r="L86" s="1"/>
      <c r="M86" s="1"/>
      <c r="N86" s="1"/>
      <c r="O86" s="1"/>
    </row>
    <row r="87" spans="1:15">
      <c r="A87" s="248" t="s">
        <v>234</v>
      </c>
      <c r="B87" s="231">
        <f>Herleitung!O161</f>
        <v>0</v>
      </c>
      <c r="C87" s="231">
        <f>Herleitung!P161</f>
        <v>0</v>
      </c>
      <c r="D87" s="231">
        <f>Herleitung!Q161</f>
        <v>0</v>
      </c>
      <c r="E87" s="231">
        <f>Herleitung!R161</f>
        <v>0</v>
      </c>
      <c r="F87" s="231">
        <f>Herleitung!S161</f>
        <v>0</v>
      </c>
      <c r="G87" s="1"/>
      <c r="H87" s="1"/>
      <c r="I87" s="1"/>
      <c r="J87" s="1"/>
      <c r="K87" s="1"/>
      <c r="L87" s="1"/>
      <c r="M87" s="1"/>
      <c r="N87" s="1"/>
      <c r="O87" s="1"/>
    </row>
    <row r="88" spans="1:15">
      <c r="A88" s="249" t="s">
        <v>235</v>
      </c>
      <c r="B88" s="230">
        <f>Herleitung!O162</f>
        <v>0</v>
      </c>
      <c r="C88" s="230">
        <f>Herleitung!P162</f>
        <v>0</v>
      </c>
      <c r="D88" s="230">
        <f>Herleitung!Q162</f>
        <v>0</v>
      </c>
      <c r="E88" s="230">
        <f>Herleitung!R162</f>
        <v>0</v>
      </c>
      <c r="F88" s="230">
        <f>Herleitung!S162</f>
        <v>0</v>
      </c>
      <c r="G88" s="1"/>
      <c r="H88" s="1"/>
      <c r="I88" s="1"/>
      <c r="J88" s="1"/>
      <c r="K88" s="1"/>
      <c r="L88" s="1"/>
      <c r="M88" s="1"/>
      <c r="N88" s="1"/>
      <c r="O88" s="1"/>
    </row>
    <row r="89" spans="1:15">
      <c r="A89" s="248" t="s">
        <v>236</v>
      </c>
      <c r="B89" s="231">
        <f>Herleitung!O163</f>
        <v>0</v>
      </c>
      <c r="C89" s="231">
        <f>Herleitung!P163</f>
        <v>0</v>
      </c>
      <c r="D89" s="231">
        <f>Herleitung!Q163</f>
        <v>0</v>
      </c>
      <c r="E89" s="231">
        <f>Herleitung!R163</f>
        <v>0</v>
      </c>
      <c r="F89" s="231">
        <f>Herleitung!S163</f>
        <v>0</v>
      </c>
      <c r="G89" s="1"/>
      <c r="H89" s="1"/>
      <c r="I89" s="1"/>
      <c r="J89" s="1"/>
      <c r="K89" s="1"/>
      <c r="L89" s="1"/>
      <c r="M89" s="1"/>
      <c r="N89" s="1"/>
      <c r="O89" s="1"/>
    </row>
    <row r="90" spans="1:15">
      <c r="A90" s="249" t="s">
        <v>237</v>
      </c>
      <c r="B90" s="230">
        <f>Herleitung!O164</f>
        <v>0</v>
      </c>
      <c r="C90" s="230">
        <f>Herleitung!P164</f>
        <v>0</v>
      </c>
      <c r="D90" s="230">
        <f>Herleitung!Q164</f>
        <v>0</v>
      </c>
      <c r="E90" s="230">
        <f>Herleitung!R164</f>
        <v>0</v>
      </c>
      <c r="F90" s="230">
        <f>Herleitung!S164</f>
        <v>0</v>
      </c>
      <c r="G90" s="1"/>
      <c r="H90" s="1"/>
      <c r="I90" s="1"/>
      <c r="J90" s="1"/>
      <c r="K90" s="1"/>
      <c r="L90" s="1"/>
      <c r="M90" s="1"/>
      <c r="N90" s="1"/>
      <c r="O90" s="1"/>
    </row>
    <row r="91" spans="1:15">
      <c r="A91" s="248" t="s">
        <v>238</v>
      </c>
      <c r="B91" s="231">
        <f>Herleitung!O165</f>
        <v>0</v>
      </c>
      <c r="C91" s="231">
        <f>Herleitung!P165</f>
        <v>0</v>
      </c>
      <c r="D91" s="231">
        <f>Herleitung!Q165</f>
        <v>0</v>
      </c>
      <c r="E91" s="231">
        <f>Herleitung!R165</f>
        <v>0</v>
      </c>
      <c r="F91" s="231">
        <f>Herleitung!S165</f>
        <v>0</v>
      </c>
      <c r="G91" s="1"/>
      <c r="H91" s="1"/>
      <c r="I91" s="1"/>
      <c r="J91" s="1"/>
      <c r="K91" s="1"/>
      <c r="L91" s="1"/>
      <c r="M91" s="1"/>
      <c r="N91" s="1"/>
      <c r="O91" s="1"/>
    </row>
    <row r="92" spans="1:15" ht="16.5" thickBot="1">
      <c r="A92" s="292" t="s">
        <v>239</v>
      </c>
      <c r="B92" s="307">
        <f>Herleitung!O166</f>
        <v>0</v>
      </c>
      <c r="C92" s="308">
        <f>Herleitung!P166</f>
        <v>0</v>
      </c>
      <c r="D92" s="308">
        <f>Herleitung!Q166</f>
        <v>0</v>
      </c>
      <c r="E92" s="308">
        <f>Herleitung!R166</f>
        <v>0</v>
      </c>
      <c r="F92" s="308">
        <f>Herleitung!S166</f>
        <v>0</v>
      </c>
      <c r="G92" s="1"/>
      <c r="H92" s="1"/>
      <c r="I92" s="1"/>
      <c r="J92" s="1"/>
      <c r="K92" s="1"/>
      <c r="L92" s="1"/>
      <c r="M92" s="1"/>
      <c r="N92" s="1"/>
      <c r="O92" s="1"/>
    </row>
    <row r="93" spans="1:15" ht="16.5" thickTop="1">
      <c r="A93" s="310" t="s">
        <v>240</v>
      </c>
      <c r="B93" s="306">
        <f>Herleitung!O167</f>
        <v>0</v>
      </c>
      <c r="C93" s="306">
        <f>Herleitung!P167</f>
        <v>0</v>
      </c>
      <c r="D93" s="306">
        <f>Herleitung!Q167</f>
        <v>0</v>
      </c>
      <c r="E93" s="306">
        <f>Herleitung!R167</f>
        <v>0</v>
      </c>
      <c r="F93" s="306">
        <f>Herleitung!S167</f>
        <v>0</v>
      </c>
      <c r="G93" s="1"/>
      <c r="H93" s="1"/>
      <c r="I93" s="1"/>
      <c r="J93" s="1"/>
      <c r="K93" s="1"/>
      <c r="L93" s="1"/>
      <c r="M93" s="1"/>
      <c r="N93" s="1"/>
      <c r="O93" s="1"/>
    </row>
    <row r="94" spans="1:15">
      <c r="A94" s="249" t="s">
        <v>241</v>
      </c>
      <c r="B94" s="230">
        <f>Herleitung!O168</f>
        <v>0</v>
      </c>
      <c r="C94" s="230">
        <f>Herleitung!P168</f>
        <v>0</v>
      </c>
      <c r="D94" s="230">
        <f>Herleitung!Q168</f>
        <v>0</v>
      </c>
      <c r="E94" s="230">
        <f>Herleitung!R168</f>
        <v>0</v>
      </c>
      <c r="F94" s="230">
        <f>Herleitung!S168</f>
        <v>0</v>
      </c>
      <c r="G94" s="1"/>
      <c r="H94" s="1"/>
      <c r="I94" s="1"/>
      <c r="J94" s="1"/>
      <c r="K94" s="1"/>
      <c r="L94" s="1"/>
      <c r="M94" s="1"/>
      <c r="N94" s="1"/>
      <c r="O94" s="1"/>
    </row>
    <row r="95" spans="1:15">
      <c r="A95" s="248" t="s">
        <v>242</v>
      </c>
      <c r="B95" s="231">
        <f>Herleitung!O169</f>
        <v>4.5</v>
      </c>
      <c r="C95" s="231">
        <f>Herleitung!P169</f>
        <v>4.5</v>
      </c>
      <c r="D95" s="231">
        <f>Herleitung!Q169</f>
        <v>4.5</v>
      </c>
      <c r="E95" s="231">
        <f>Herleitung!R169</f>
        <v>4.5</v>
      </c>
      <c r="F95" s="231">
        <f>Herleitung!S169</f>
        <v>4.5</v>
      </c>
      <c r="G95" s="1"/>
      <c r="H95" s="1"/>
      <c r="I95" s="1"/>
      <c r="J95" s="1"/>
      <c r="K95" s="1"/>
      <c r="L95" s="1"/>
      <c r="M95" s="1"/>
      <c r="N95" s="1"/>
      <c r="O95" s="1"/>
    </row>
    <row r="96" spans="1:15">
      <c r="A96" s="249" t="s">
        <v>243</v>
      </c>
      <c r="B96" s="230">
        <f>Herleitung!O170</f>
        <v>0</v>
      </c>
      <c r="C96" s="230">
        <f>Herleitung!P170</f>
        <v>0</v>
      </c>
      <c r="D96" s="230">
        <f>Herleitung!Q170</f>
        <v>0</v>
      </c>
      <c r="E96" s="230">
        <f>Herleitung!R170</f>
        <v>0</v>
      </c>
      <c r="F96" s="230">
        <f>Herleitung!S170</f>
        <v>0</v>
      </c>
      <c r="G96" s="1"/>
      <c r="H96" s="1"/>
      <c r="I96" s="1"/>
      <c r="J96" s="1"/>
      <c r="K96" s="1"/>
      <c r="L96" s="1"/>
      <c r="M96" s="1"/>
      <c r="N96" s="1"/>
      <c r="O96" s="1"/>
    </row>
    <row r="97" spans="1:15">
      <c r="A97" s="248" t="s">
        <v>244</v>
      </c>
      <c r="B97" s="231">
        <f>Herleitung!O171</f>
        <v>0</v>
      </c>
      <c r="C97" s="231">
        <f>Herleitung!P171</f>
        <v>0</v>
      </c>
      <c r="D97" s="231">
        <f>Herleitung!Q171</f>
        <v>0</v>
      </c>
      <c r="E97" s="231">
        <f>Herleitung!R171</f>
        <v>0</v>
      </c>
      <c r="F97" s="231">
        <f>Herleitung!S171</f>
        <v>0</v>
      </c>
      <c r="G97" s="1"/>
      <c r="H97" s="1"/>
      <c r="I97" s="1"/>
      <c r="J97" s="1"/>
      <c r="K97" s="1"/>
      <c r="L97" s="1"/>
      <c r="M97" s="1"/>
      <c r="N97" s="1"/>
      <c r="O97" s="1"/>
    </row>
    <row r="98" spans="1:15">
      <c r="A98" s="249" t="s">
        <v>245</v>
      </c>
      <c r="B98" s="230">
        <f>Herleitung!O172</f>
        <v>0</v>
      </c>
      <c r="C98" s="230">
        <f>Herleitung!P172</f>
        <v>0</v>
      </c>
      <c r="D98" s="230">
        <f>Herleitung!Q172</f>
        <v>0</v>
      </c>
      <c r="E98" s="230">
        <f>Herleitung!R172</f>
        <v>0</v>
      </c>
      <c r="F98" s="230">
        <f>Herleitung!S172</f>
        <v>0</v>
      </c>
      <c r="G98" s="1"/>
      <c r="H98" s="1"/>
      <c r="I98" s="1"/>
      <c r="J98" s="1"/>
      <c r="K98" s="1"/>
      <c r="L98" s="1"/>
      <c r="M98" s="1"/>
      <c r="N98" s="1"/>
      <c r="O98" s="1"/>
    </row>
    <row r="99" spans="1:15">
      <c r="A99" s="1"/>
      <c r="B99" s="1"/>
      <c r="C99" s="1"/>
      <c r="D99" s="1"/>
      <c r="E99" s="1"/>
      <c r="F99" s="1"/>
      <c r="G99" s="1"/>
      <c r="H99" s="1"/>
      <c r="I99" s="1"/>
      <c r="J99" s="1"/>
      <c r="K99" s="1"/>
      <c r="L99" s="1"/>
      <c r="M99" s="1"/>
      <c r="N99" s="1"/>
      <c r="O99" s="1"/>
    </row>
    <row r="100" spans="1:15">
      <c r="A100" s="1"/>
      <c r="B100" s="1"/>
      <c r="C100" s="1"/>
      <c r="D100" s="1"/>
      <c r="E100" s="1"/>
      <c r="F100" s="1"/>
      <c r="G100" s="1"/>
      <c r="H100" s="1"/>
      <c r="I100" s="1"/>
      <c r="J100" s="1"/>
      <c r="K100" s="1"/>
      <c r="L100" s="1"/>
      <c r="M100" s="1"/>
      <c r="N100" s="1"/>
      <c r="O100" s="1"/>
    </row>
    <row r="101" spans="1:15">
      <c r="A101" s="42" t="s">
        <v>94</v>
      </c>
      <c r="B101" s="405" t="s">
        <v>169</v>
      </c>
      <c r="C101" s="405"/>
      <c r="D101" s="11" t="s">
        <v>182</v>
      </c>
      <c r="E101" s="11"/>
      <c r="F101" s="1"/>
      <c r="G101" s="1"/>
      <c r="H101" s="1"/>
      <c r="I101" s="1"/>
      <c r="J101" s="1"/>
      <c r="K101" s="1"/>
      <c r="L101" s="1"/>
      <c r="M101" s="1"/>
      <c r="N101" s="1"/>
      <c r="O101" s="1"/>
    </row>
    <row r="102" spans="1:15">
      <c r="A102" s="24"/>
      <c r="B102" s="11" t="s">
        <v>170</v>
      </c>
      <c r="C102" s="11" t="s">
        <v>171</v>
      </c>
      <c r="D102" s="11" t="s">
        <v>170</v>
      </c>
      <c r="E102" s="11" t="s">
        <v>171</v>
      </c>
      <c r="F102" s="1"/>
      <c r="G102" s="1"/>
      <c r="H102" s="1"/>
      <c r="I102" s="1"/>
      <c r="J102" s="1"/>
      <c r="K102" s="1"/>
      <c r="L102" s="1"/>
      <c r="M102" s="1"/>
      <c r="N102" s="1"/>
      <c r="O102" s="1"/>
    </row>
    <row r="103" spans="1:15">
      <c r="A103" s="248" t="s">
        <v>234</v>
      </c>
      <c r="B103" s="204">
        <v>50</v>
      </c>
      <c r="C103" s="204">
        <v>80</v>
      </c>
      <c r="D103" s="204">
        <v>80</v>
      </c>
      <c r="E103" s="204">
        <v>140</v>
      </c>
      <c r="F103" s="1"/>
      <c r="G103" s="1"/>
      <c r="H103" s="1"/>
      <c r="I103" s="1"/>
      <c r="J103" s="1"/>
      <c r="K103" s="1"/>
      <c r="L103" s="1"/>
      <c r="M103" s="1"/>
      <c r="N103" s="1"/>
      <c r="O103" s="1"/>
    </row>
    <row r="104" spans="1:15">
      <c r="A104" s="249" t="s">
        <v>235</v>
      </c>
      <c r="B104" s="208">
        <v>50</v>
      </c>
      <c r="C104" s="208">
        <v>100</v>
      </c>
      <c r="D104" s="208">
        <v>80</v>
      </c>
      <c r="E104" s="208">
        <v>160</v>
      </c>
      <c r="F104" s="1"/>
      <c r="G104" s="1"/>
      <c r="H104" s="1"/>
      <c r="I104" s="1"/>
      <c r="J104" s="1"/>
      <c r="K104" s="1"/>
      <c r="L104" s="1"/>
      <c r="M104" s="1"/>
      <c r="N104" s="1"/>
      <c r="O104" s="1"/>
    </row>
    <row r="105" spans="1:15">
      <c r="A105" s="248" t="s">
        <v>236</v>
      </c>
      <c r="B105" s="212">
        <v>50</v>
      </c>
      <c r="C105" s="212">
        <v>120</v>
      </c>
      <c r="D105" s="212">
        <v>140</v>
      </c>
      <c r="E105" s="212">
        <v>200</v>
      </c>
      <c r="F105" s="1"/>
      <c r="G105" s="1"/>
      <c r="H105" s="1"/>
      <c r="I105" s="1"/>
      <c r="J105" s="1"/>
      <c r="K105" s="1"/>
      <c r="L105" s="1"/>
      <c r="M105" s="1"/>
      <c r="N105" s="1"/>
      <c r="O105" s="1"/>
    </row>
    <row r="106" spans="1:15">
      <c r="A106" s="249" t="s">
        <v>237</v>
      </c>
      <c r="B106" s="208">
        <v>50</v>
      </c>
      <c r="C106" s="208">
        <v>140</v>
      </c>
      <c r="D106" s="208">
        <v>140</v>
      </c>
      <c r="E106" s="208">
        <v>220</v>
      </c>
      <c r="F106" s="1"/>
      <c r="G106" s="1"/>
      <c r="H106" s="1"/>
      <c r="I106" s="1"/>
      <c r="J106" s="1"/>
      <c r="K106" s="1"/>
      <c r="L106" s="1"/>
      <c r="M106" s="1"/>
      <c r="N106" s="1"/>
      <c r="O106" s="1"/>
    </row>
    <row r="107" spans="1:15">
      <c r="A107" s="248" t="s">
        <v>238</v>
      </c>
      <c r="B107" s="212">
        <v>50</v>
      </c>
      <c r="C107" s="212">
        <v>160</v>
      </c>
      <c r="D107" s="212">
        <v>140</v>
      </c>
      <c r="E107" s="212">
        <v>240</v>
      </c>
      <c r="F107" s="55"/>
      <c r="G107" s="55"/>
      <c r="H107" s="55"/>
      <c r="I107" s="55"/>
      <c r="J107" s="1"/>
      <c r="K107" s="1"/>
      <c r="L107" s="1"/>
      <c r="M107" s="1"/>
      <c r="N107" s="1"/>
      <c r="O107" s="1"/>
    </row>
    <row r="108" spans="1:15" ht="16.5" thickBot="1">
      <c r="A108" s="292" t="s">
        <v>239</v>
      </c>
      <c r="B108" s="293">
        <v>50</v>
      </c>
      <c r="C108" s="294">
        <v>180</v>
      </c>
      <c r="D108" s="294">
        <v>140</v>
      </c>
      <c r="E108" s="294">
        <v>320</v>
      </c>
      <c r="F108" s="55"/>
      <c r="G108" s="55"/>
      <c r="H108" s="55"/>
      <c r="I108" s="55"/>
      <c r="J108" s="1"/>
      <c r="K108" s="1"/>
      <c r="L108" s="1"/>
      <c r="M108" s="1"/>
      <c r="N108" s="1"/>
      <c r="O108" s="1"/>
    </row>
    <row r="109" spans="1:15" ht="16.5" thickTop="1">
      <c r="A109" s="310" t="s">
        <v>240</v>
      </c>
      <c r="B109" s="212">
        <v>50</v>
      </c>
      <c r="C109" s="212">
        <v>80</v>
      </c>
      <c r="D109" s="212">
        <v>80</v>
      </c>
      <c r="E109" s="212">
        <v>140</v>
      </c>
      <c r="F109" s="55"/>
      <c r="G109" s="55"/>
      <c r="H109" s="55"/>
      <c r="I109" s="55"/>
      <c r="J109" s="1"/>
      <c r="K109" s="1"/>
      <c r="L109" s="1"/>
      <c r="M109" s="1"/>
      <c r="N109" s="1"/>
      <c r="O109" s="1"/>
    </row>
    <row r="110" spans="1:15">
      <c r="A110" s="249" t="s">
        <v>241</v>
      </c>
      <c r="B110" s="208">
        <v>50</v>
      </c>
      <c r="C110" s="208">
        <v>100</v>
      </c>
      <c r="D110" s="208">
        <v>80</v>
      </c>
      <c r="E110" s="208">
        <v>160</v>
      </c>
      <c r="F110" s="55"/>
      <c r="G110" s="55"/>
      <c r="H110" s="55"/>
      <c r="I110" s="55"/>
      <c r="J110" s="1"/>
      <c r="K110" s="1"/>
      <c r="L110" s="1"/>
      <c r="M110" s="1"/>
      <c r="N110" s="1"/>
      <c r="O110" s="1"/>
    </row>
    <row r="111" spans="1:15">
      <c r="A111" s="248" t="s">
        <v>242</v>
      </c>
      <c r="B111" s="212">
        <v>50</v>
      </c>
      <c r="C111" s="212">
        <v>120</v>
      </c>
      <c r="D111" s="212">
        <v>140</v>
      </c>
      <c r="E111" s="212">
        <v>200</v>
      </c>
      <c r="F111" s="55"/>
      <c r="G111" s="55"/>
      <c r="H111" s="55"/>
      <c r="I111" s="55"/>
      <c r="J111" s="1"/>
      <c r="K111" s="1"/>
      <c r="L111" s="1"/>
      <c r="M111" s="1"/>
      <c r="N111" s="1"/>
      <c r="O111" s="1"/>
    </row>
    <row r="112" spans="1:15">
      <c r="A112" s="249" t="s">
        <v>243</v>
      </c>
      <c r="B112" s="208">
        <v>50</v>
      </c>
      <c r="C112" s="208">
        <v>140</v>
      </c>
      <c r="D112" s="208">
        <v>140</v>
      </c>
      <c r="E112" s="208">
        <v>220</v>
      </c>
      <c r="F112" s="55"/>
      <c r="G112" s="55"/>
      <c r="H112" s="55"/>
      <c r="I112" s="55"/>
      <c r="J112" s="1"/>
      <c r="K112" s="1"/>
      <c r="L112" s="1"/>
      <c r="M112" s="1"/>
      <c r="N112" s="1"/>
      <c r="O112" s="1"/>
    </row>
    <row r="113" spans="1:15">
      <c r="A113" s="248" t="s">
        <v>244</v>
      </c>
      <c r="B113" s="212">
        <v>50</v>
      </c>
      <c r="C113" s="212">
        <v>160</v>
      </c>
      <c r="D113" s="212">
        <v>140</v>
      </c>
      <c r="E113" s="212">
        <v>240</v>
      </c>
      <c r="F113" s="55"/>
      <c r="G113" s="55"/>
      <c r="H113" s="55"/>
      <c r="I113" s="55"/>
      <c r="J113" s="1"/>
      <c r="K113" s="1"/>
      <c r="L113" s="1"/>
      <c r="M113" s="1"/>
      <c r="N113" s="1"/>
      <c r="O113" s="1"/>
    </row>
    <row r="114" spans="1:15">
      <c r="A114" s="249" t="s">
        <v>245</v>
      </c>
      <c r="B114" s="208">
        <v>50</v>
      </c>
      <c r="C114" s="208">
        <v>180</v>
      </c>
      <c r="D114" s="208">
        <v>140</v>
      </c>
      <c r="E114" s="208">
        <v>320</v>
      </c>
      <c r="F114" s="55"/>
      <c r="G114" s="55"/>
      <c r="H114" s="55"/>
      <c r="I114" s="55"/>
      <c r="J114" s="1"/>
      <c r="K114" s="1"/>
      <c r="L114" s="1"/>
      <c r="M114" s="1"/>
      <c r="N114" s="1"/>
      <c r="O114" s="1"/>
    </row>
    <row r="115" spans="1:15">
      <c r="A115" s="55"/>
      <c r="B115" s="55"/>
      <c r="C115" s="55"/>
      <c r="D115" s="55"/>
      <c r="E115" s="55"/>
      <c r="F115" s="55"/>
      <c r="G115" s="55"/>
      <c r="H115" s="55"/>
      <c r="I115" s="55"/>
      <c r="J115" s="1"/>
      <c r="K115" s="1"/>
      <c r="L115" s="1"/>
      <c r="M115" s="1"/>
      <c r="N115" s="1"/>
      <c r="O115" s="1"/>
    </row>
    <row r="116" spans="1:15">
      <c r="A116" s="1"/>
      <c r="B116" s="1"/>
      <c r="C116" s="1"/>
      <c r="D116" s="1"/>
      <c r="E116" s="1"/>
      <c r="F116" s="1"/>
      <c r="G116" s="1"/>
      <c r="H116" s="1"/>
      <c r="I116" s="1"/>
      <c r="J116" s="1"/>
      <c r="K116" s="1"/>
      <c r="L116" s="1"/>
      <c r="M116" s="1"/>
      <c r="N116" s="1"/>
      <c r="O116" s="1"/>
    </row>
    <row r="117" spans="1:15">
      <c r="A117" s="42" t="s">
        <v>94</v>
      </c>
      <c r="B117" s="405" t="s">
        <v>169</v>
      </c>
      <c r="C117" s="405"/>
      <c r="D117" s="11" t="s">
        <v>182</v>
      </c>
      <c r="E117" s="11"/>
      <c r="F117" s="1"/>
      <c r="G117" s="1"/>
      <c r="H117" s="1"/>
      <c r="I117" s="1"/>
      <c r="J117" s="1"/>
      <c r="K117" s="1"/>
      <c r="L117" s="1"/>
      <c r="M117" s="1"/>
      <c r="N117" s="1"/>
      <c r="O117" s="1"/>
    </row>
    <row r="118" spans="1:15">
      <c r="A118" s="233" t="s">
        <v>183</v>
      </c>
      <c r="B118" s="11" t="s">
        <v>170</v>
      </c>
      <c r="C118" s="11" t="s">
        <v>171</v>
      </c>
      <c r="D118" s="11" t="s">
        <v>170</v>
      </c>
      <c r="E118" s="11" t="s">
        <v>171</v>
      </c>
      <c r="F118" s="1"/>
      <c r="G118" s="1"/>
      <c r="H118" s="1"/>
      <c r="I118" s="1"/>
      <c r="J118" s="1"/>
      <c r="K118" s="1"/>
      <c r="L118" s="1"/>
      <c r="M118" s="1"/>
      <c r="N118" s="1"/>
      <c r="O118" s="1"/>
    </row>
    <row r="119" spans="1:15">
      <c r="A119" s="248" t="s">
        <v>234</v>
      </c>
      <c r="B119" s="204">
        <v>100</v>
      </c>
      <c r="C119" s="204">
        <v>80</v>
      </c>
      <c r="D119" s="204">
        <v>100</v>
      </c>
      <c r="E119" s="204">
        <v>140</v>
      </c>
      <c r="F119" s="1"/>
      <c r="G119" s="1"/>
      <c r="H119" s="1"/>
      <c r="I119" s="1"/>
      <c r="J119" s="1"/>
      <c r="K119" s="1"/>
      <c r="L119" s="1"/>
      <c r="M119" s="1"/>
      <c r="N119" s="1"/>
      <c r="O119" s="1"/>
    </row>
    <row r="120" spans="1:15">
      <c r="A120" s="249" t="s">
        <v>235</v>
      </c>
      <c r="B120" s="208">
        <v>100</v>
      </c>
      <c r="C120" s="208">
        <v>100</v>
      </c>
      <c r="D120" s="208">
        <v>100</v>
      </c>
      <c r="E120" s="208">
        <v>160</v>
      </c>
      <c r="F120" s="1"/>
      <c r="G120" s="1"/>
      <c r="H120" s="1"/>
      <c r="I120" s="1"/>
      <c r="J120" s="1"/>
      <c r="K120" s="1"/>
      <c r="L120" s="1"/>
      <c r="M120" s="1"/>
      <c r="N120" s="1"/>
      <c r="O120" s="1"/>
    </row>
    <row r="121" spans="1:15">
      <c r="A121" s="248" t="s">
        <v>236</v>
      </c>
      <c r="B121" s="212">
        <v>100</v>
      </c>
      <c r="C121" s="212">
        <v>120</v>
      </c>
      <c r="D121" s="212">
        <v>160</v>
      </c>
      <c r="E121" s="212">
        <v>200</v>
      </c>
      <c r="F121" s="1"/>
      <c r="G121" s="1"/>
      <c r="H121" s="1"/>
      <c r="I121" s="1"/>
      <c r="J121" s="1"/>
      <c r="K121" s="1"/>
      <c r="L121" s="1"/>
      <c r="M121" s="1"/>
      <c r="N121" s="1"/>
      <c r="O121" s="1"/>
    </row>
    <row r="122" spans="1:15">
      <c r="A122" s="249" t="s">
        <v>237</v>
      </c>
      <c r="B122" s="208">
        <v>100</v>
      </c>
      <c r="C122" s="208">
        <v>140</v>
      </c>
      <c r="D122" s="208">
        <v>160</v>
      </c>
      <c r="E122" s="208">
        <v>220</v>
      </c>
      <c r="F122" s="1"/>
      <c r="G122" s="1"/>
      <c r="H122" s="1"/>
      <c r="I122" s="1"/>
      <c r="J122" s="1"/>
      <c r="K122" s="1"/>
      <c r="L122" s="1"/>
      <c r="M122" s="1"/>
      <c r="N122" s="1"/>
      <c r="O122" s="1"/>
    </row>
    <row r="123" spans="1:15">
      <c r="A123" s="248" t="s">
        <v>238</v>
      </c>
      <c r="B123" s="212">
        <v>100</v>
      </c>
      <c r="C123" s="212">
        <v>160</v>
      </c>
      <c r="D123" s="212">
        <v>160</v>
      </c>
      <c r="E123" s="212">
        <v>240</v>
      </c>
      <c r="F123" s="1"/>
      <c r="G123" s="1"/>
      <c r="H123" s="1"/>
      <c r="I123" s="1"/>
      <c r="J123" s="1"/>
      <c r="K123" s="1"/>
      <c r="L123" s="1"/>
      <c r="M123" s="1"/>
      <c r="N123" s="1"/>
      <c r="O123" s="1"/>
    </row>
    <row r="124" spans="1:15" ht="16.5" thickBot="1">
      <c r="A124" s="292" t="s">
        <v>239</v>
      </c>
      <c r="B124" s="293">
        <v>100</v>
      </c>
      <c r="C124" s="294">
        <v>180</v>
      </c>
      <c r="D124" s="294">
        <v>160</v>
      </c>
      <c r="E124" s="294">
        <v>320</v>
      </c>
      <c r="F124" s="1"/>
      <c r="G124" s="1"/>
      <c r="H124" s="1"/>
      <c r="I124" s="1"/>
      <c r="J124" s="1"/>
      <c r="K124" s="1"/>
      <c r="L124" s="1"/>
      <c r="M124" s="1"/>
      <c r="N124" s="1"/>
      <c r="O124" s="1"/>
    </row>
    <row r="125" spans="1:15" ht="16.5" thickTop="1">
      <c r="A125" s="310" t="s">
        <v>240</v>
      </c>
      <c r="B125" s="212">
        <v>100</v>
      </c>
      <c r="C125" s="212">
        <v>80</v>
      </c>
      <c r="D125" s="212">
        <v>100</v>
      </c>
      <c r="E125" s="212">
        <v>140</v>
      </c>
      <c r="F125" s="1"/>
      <c r="G125" s="1"/>
      <c r="H125" s="1"/>
      <c r="I125" s="1"/>
      <c r="J125" s="1"/>
      <c r="K125" s="1"/>
      <c r="L125" s="1"/>
      <c r="M125" s="1"/>
      <c r="N125" s="1"/>
      <c r="O125" s="1"/>
    </row>
    <row r="126" spans="1:15">
      <c r="A126" s="249" t="s">
        <v>241</v>
      </c>
      <c r="B126" s="208">
        <v>100</v>
      </c>
      <c r="C126" s="208">
        <v>100</v>
      </c>
      <c r="D126" s="208">
        <v>100</v>
      </c>
      <c r="E126" s="208">
        <v>160</v>
      </c>
      <c r="F126" s="234"/>
      <c r="G126" s="1"/>
      <c r="H126" s="1"/>
      <c r="I126" s="1"/>
      <c r="J126" s="1"/>
      <c r="K126" s="1"/>
      <c r="L126" s="1"/>
      <c r="M126" s="1"/>
      <c r="N126" s="1"/>
      <c r="O126" s="1"/>
    </row>
    <row r="127" spans="1:15">
      <c r="A127" s="248" t="s">
        <v>242</v>
      </c>
      <c r="B127" s="212">
        <v>100</v>
      </c>
      <c r="C127" s="212">
        <v>120</v>
      </c>
      <c r="D127" s="212">
        <v>160</v>
      </c>
      <c r="E127" s="212">
        <v>200</v>
      </c>
      <c r="F127" s="1"/>
      <c r="G127" s="1"/>
      <c r="H127" s="1"/>
      <c r="I127" s="1"/>
      <c r="J127" s="1"/>
      <c r="K127" s="1"/>
      <c r="L127" s="1"/>
      <c r="M127" s="1"/>
      <c r="N127" s="1"/>
      <c r="O127" s="1"/>
    </row>
    <row r="128" spans="1:15">
      <c r="A128" s="249" t="s">
        <v>243</v>
      </c>
      <c r="B128" s="208">
        <v>100</v>
      </c>
      <c r="C128" s="208">
        <v>140</v>
      </c>
      <c r="D128" s="208">
        <v>160</v>
      </c>
      <c r="E128" s="208">
        <v>220</v>
      </c>
      <c r="F128" s="1"/>
      <c r="G128" s="1"/>
      <c r="H128" s="1"/>
      <c r="I128" s="1"/>
      <c r="J128" s="1"/>
      <c r="K128" s="1"/>
      <c r="L128" s="1"/>
      <c r="M128" s="1"/>
      <c r="N128" s="1"/>
      <c r="O128" s="1"/>
    </row>
    <row r="129" spans="1:15">
      <c r="A129" s="248" t="s">
        <v>244</v>
      </c>
      <c r="B129" s="212">
        <v>100</v>
      </c>
      <c r="C129" s="212">
        <v>160</v>
      </c>
      <c r="D129" s="212">
        <v>160</v>
      </c>
      <c r="E129" s="212">
        <v>240</v>
      </c>
      <c r="F129" s="1"/>
      <c r="G129" s="1"/>
      <c r="H129" s="1"/>
      <c r="I129" s="1"/>
      <c r="J129" s="1"/>
      <c r="K129" s="1"/>
      <c r="L129" s="1"/>
      <c r="M129" s="1"/>
      <c r="N129" s="1"/>
      <c r="O129" s="1"/>
    </row>
    <row r="130" spans="1:15">
      <c r="A130" s="249" t="s">
        <v>245</v>
      </c>
      <c r="B130" s="208">
        <v>100</v>
      </c>
      <c r="C130" s="208">
        <v>180</v>
      </c>
      <c r="D130" s="208">
        <v>160</v>
      </c>
      <c r="E130" s="208">
        <v>320</v>
      </c>
      <c r="F130" s="1"/>
      <c r="G130" s="1"/>
      <c r="H130" s="1"/>
      <c r="I130" s="1"/>
      <c r="J130" s="1"/>
      <c r="K130" s="1"/>
      <c r="L130" s="1"/>
      <c r="M130" s="1"/>
      <c r="N130" s="1"/>
      <c r="O130" s="1"/>
    </row>
    <row r="131" spans="1:15">
      <c r="A131" s="1"/>
      <c r="B131" s="1"/>
      <c r="C131" s="1"/>
      <c r="D131" s="1"/>
      <c r="E131" s="1"/>
      <c r="F131" s="1"/>
      <c r="G131" s="1"/>
      <c r="H131" s="1"/>
      <c r="I131" s="1"/>
      <c r="J131" s="1"/>
      <c r="K131" s="1"/>
      <c r="L131" s="1"/>
      <c r="M131" s="1"/>
      <c r="N131" s="1"/>
      <c r="O131" s="1"/>
    </row>
    <row r="132" spans="1:15">
      <c r="A132" s="281">
        <v>1</v>
      </c>
      <c r="B132" s="282" t="s">
        <v>273</v>
      </c>
      <c r="C132" s="283"/>
      <c r="D132" s="1"/>
      <c r="E132" s="1"/>
      <c r="F132" s="1"/>
      <c r="G132" s="1"/>
      <c r="H132" s="1"/>
      <c r="I132" s="1"/>
      <c r="J132" s="1"/>
      <c r="K132" s="1"/>
      <c r="L132" s="1"/>
      <c r="M132" s="1"/>
      <c r="N132" s="1"/>
      <c r="O132" s="1"/>
    </row>
    <row r="133" spans="1:15" ht="18.75">
      <c r="A133" s="284" t="s">
        <v>123</v>
      </c>
      <c r="B133" s="285" t="s">
        <v>124</v>
      </c>
      <c r="C133" s="285" t="s">
        <v>125</v>
      </c>
      <c r="D133" s="1"/>
      <c r="E133" s="1"/>
      <c r="F133" s="1"/>
      <c r="G133" s="1"/>
      <c r="H133" s="1"/>
      <c r="I133" s="1"/>
      <c r="J133" s="1"/>
      <c r="K133" s="1"/>
      <c r="L133" s="1"/>
      <c r="M133" s="1"/>
      <c r="N133" s="1"/>
      <c r="O133" s="1"/>
    </row>
    <row r="134" spans="1:15">
      <c r="A134" s="285">
        <v>8</v>
      </c>
      <c r="B134" s="286">
        <v>21.5</v>
      </c>
      <c r="C134" s="286">
        <v>11</v>
      </c>
      <c r="D134" s="1"/>
      <c r="E134" s="1"/>
      <c r="F134" s="1"/>
      <c r="G134" s="1"/>
      <c r="H134" s="1"/>
      <c r="I134" s="1"/>
      <c r="J134" s="1"/>
      <c r="K134" s="1"/>
      <c r="L134" s="1"/>
      <c r="M134" s="1"/>
      <c r="N134" s="1"/>
      <c r="O134" s="1"/>
    </row>
    <row r="135" spans="1:15">
      <c r="A135" s="285">
        <v>10</v>
      </c>
      <c r="B135" s="286">
        <v>35</v>
      </c>
      <c r="C135" s="286">
        <v>10</v>
      </c>
      <c r="D135" s="1"/>
      <c r="E135" s="1"/>
      <c r="F135" s="1"/>
      <c r="G135" s="1"/>
      <c r="H135" s="1"/>
      <c r="I135" s="1"/>
      <c r="J135" s="1"/>
      <c r="K135" s="1"/>
      <c r="L135" s="1"/>
      <c r="M135" s="1"/>
      <c r="N135" s="1"/>
      <c r="O135" s="1"/>
    </row>
    <row r="136" spans="1:15">
      <c r="A136" s="281">
        <v>2</v>
      </c>
      <c r="B136" s="287" t="s">
        <v>139</v>
      </c>
      <c r="C136" s="283"/>
      <c r="D136" s="1"/>
      <c r="E136" s="1"/>
      <c r="F136" s="1"/>
      <c r="G136" s="1"/>
      <c r="H136" s="1"/>
      <c r="I136" s="1"/>
      <c r="J136" s="1"/>
      <c r="K136" s="1"/>
      <c r="L136" s="1"/>
      <c r="M136" s="1"/>
      <c r="N136" s="1"/>
      <c r="O136" s="1"/>
    </row>
    <row r="137" spans="1:15" ht="18.75">
      <c r="A137" s="284" t="s">
        <v>123</v>
      </c>
      <c r="B137" s="285" t="s">
        <v>124</v>
      </c>
      <c r="C137" s="285" t="s">
        <v>125</v>
      </c>
      <c r="D137" s="1"/>
      <c r="E137" s="1"/>
      <c r="F137" s="1"/>
      <c r="G137" s="1"/>
      <c r="H137" s="1"/>
      <c r="I137" s="1"/>
      <c r="J137" s="1"/>
      <c r="K137" s="1"/>
      <c r="L137" s="1"/>
      <c r="M137" s="1"/>
      <c r="N137" s="1"/>
      <c r="O137" s="1"/>
    </row>
    <row r="138" spans="1:15">
      <c r="A138" s="285">
        <v>8</v>
      </c>
      <c r="B138" s="286">
        <v>23.5</v>
      </c>
      <c r="C138" s="286">
        <v>10.9</v>
      </c>
      <c r="D138" s="1"/>
      <c r="E138" s="1"/>
      <c r="F138" s="1"/>
      <c r="G138" s="1"/>
      <c r="H138" s="1"/>
      <c r="I138" s="1"/>
      <c r="J138" s="1"/>
      <c r="K138" s="1"/>
      <c r="L138" s="1"/>
      <c r="M138" s="1"/>
      <c r="N138" s="1"/>
      <c r="O138" s="1"/>
    </row>
    <row r="139" spans="1:15">
      <c r="A139" s="285">
        <v>10</v>
      </c>
      <c r="B139" s="286">
        <v>33</v>
      </c>
      <c r="C139" s="286">
        <v>11.5</v>
      </c>
      <c r="D139" s="1"/>
      <c r="E139" s="1"/>
      <c r="F139" s="1"/>
      <c r="G139" s="1"/>
      <c r="H139" s="1"/>
      <c r="I139" s="1"/>
      <c r="J139" s="1"/>
      <c r="K139" s="1"/>
      <c r="L139" s="1"/>
      <c r="M139" s="1"/>
      <c r="N139" s="1"/>
      <c r="O139" s="1"/>
    </row>
    <row r="140" spans="1:15">
      <c r="A140" s="281">
        <v>3</v>
      </c>
      <c r="B140" s="287" t="s">
        <v>197</v>
      </c>
      <c r="C140" s="283"/>
      <c r="D140" s="1"/>
      <c r="E140" s="1"/>
      <c r="F140" s="1"/>
      <c r="G140" s="1"/>
      <c r="H140" s="1"/>
      <c r="I140" s="1"/>
      <c r="J140" s="1"/>
      <c r="K140" s="1"/>
      <c r="L140" s="1"/>
      <c r="M140" s="1"/>
      <c r="N140" s="1"/>
      <c r="O140" s="1"/>
    </row>
    <row r="141" spans="1:15" ht="18.75">
      <c r="A141" s="284" t="s">
        <v>123</v>
      </c>
      <c r="B141" s="285" t="s">
        <v>124</v>
      </c>
      <c r="C141" s="285" t="s">
        <v>125</v>
      </c>
      <c r="D141" s="1"/>
      <c r="E141" s="1"/>
      <c r="F141" s="1"/>
      <c r="G141" s="1"/>
      <c r="H141" s="1"/>
      <c r="I141" s="1"/>
      <c r="J141" s="1"/>
      <c r="K141" s="1"/>
      <c r="L141" s="1"/>
      <c r="M141" s="1"/>
      <c r="N141" s="1"/>
      <c r="O141" s="1"/>
    </row>
    <row r="142" spans="1:15">
      <c r="A142" s="285">
        <v>8</v>
      </c>
      <c r="B142" s="286">
        <v>17</v>
      </c>
      <c r="C142" s="286">
        <v>12</v>
      </c>
      <c r="D142" s="1"/>
      <c r="E142" s="1"/>
      <c r="F142" s="1"/>
      <c r="G142" s="1"/>
      <c r="H142" s="1"/>
      <c r="I142" s="1"/>
      <c r="J142" s="1"/>
      <c r="K142" s="1"/>
      <c r="L142" s="1"/>
      <c r="M142" s="1"/>
      <c r="N142" s="1"/>
      <c r="O142" s="1"/>
    </row>
    <row r="143" spans="1:15">
      <c r="A143" s="285">
        <v>10</v>
      </c>
      <c r="B143" s="286">
        <v>28</v>
      </c>
      <c r="C143" s="286">
        <v>11.5</v>
      </c>
      <c r="D143" s="1"/>
      <c r="E143" s="1"/>
      <c r="F143" s="1"/>
      <c r="G143" s="1"/>
      <c r="H143" s="1"/>
      <c r="I143" s="1"/>
      <c r="J143" s="1"/>
      <c r="K143" s="1"/>
      <c r="L143" s="1"/>
      <c r="M143" s="1"/>
      <c r="N143" s="1"/>
      <c r="O143" s="1"/>
    </row>
    <row r="144" spans="1:15">
      <c r="A144" s="1"/>
      <c r="B144" s="1"/>
      <c r="C144" s="1"/>
      <c r="D144" s="1"/>
      <c r="E144" s="1"/>
      <c r="F144" s="1"/>
      <c r="G144" s="1"/>
      <c r="H144" s="1"/>
      <c r="I144" s="1"/>
      <c r="J144" s="1"/>
      <c r="K144" s="1"/>
      <c r="L144" s="1"/>
      <c r="M144" s="1"/>
      <c r="N144" s="1"/>
      <c r="O144" s="1"/>
    </row>
    <row r="145" spans="1:15">
      <c r="A145" s="57"/>
      <c r="B145" s="57"/>
      <c r="C145" s="1"/>
      <c r="D145" s="1"/>
      <c r="E145" s="1"/>
      <c r="F145" s="1"/>
      <c r="G145" s="1"/>
      <c r="H145" s="1"/>
      <c r="I145" s="1"/>
      <c r="J145" s="1"/>
      <c r="K145" s="1"/>
      <c r="L145" s="1"/>
      <c r="M145" s="1"/>
      <c r="N145" s="1"/>
      <c r="O145" s="1"/>
    </row>
    <row r="146" spans="1:15">
      <c r="A146" s="1"/>
      <c r="B146" s="1"/>
      <c r="C146" s="1"/>
      <c r="D146" s="1"/>
      <c r="E146" s="1"/>
      <c r="F146" s="1"/>
      <c r="G146" s="1"/>
      <c r="H146" s="1"/>
      <c r="I146" s="1"/>
      <c r="J146" s="1"/>
      <c r="K146" s="1"/>
      <c r="L146" s="1"/>
      <c r="M146" s="1"/>
      <c r="N146" s="1"/>
      <c r="O146" s="1"/>
    </row>
    <row r="147" spans="1:15">
      <c r="A147" s="1"/>
      <c r="B147" s="1"/>
      <c r="C147" s="1"/>
      <c r="D147" s="1"/>
      <c r="E147" s="1"/>
      <c r="F147" s="1"/>
      <c r="G147" s="1"/>
      <c r="H147" s="1"/>
      <c r="I147" s="1"/>
      <c r="J147" s="1"/>
      <c r="K147" s="1"/>
      <c r="L147" s="1"/>
      <c r="M147" s="1"/>
      <c r="N147" s="1"/>
      <c r="O147" s="1"/>
    </row>
    <row r="148" spans="1:15">
      <c r="A148" s="1"/>
      <c r="B148" s="1"/>
      <c r="C148" s="1"/>
      <c r="D148" s="1"/>
      <c r="E148" s="1"/>
      <c r="F148" s="1"/>
      <c r="G148" s="1"/>
      <c r="H148" s="1"/>
      <c r="I148" s="1"/>
      <c r="J148" s="1"/>
      <c r="K148" s="1"/>
      <c r="L148" s="1"/>
      <c r="M148" s="1"/>
      <c r="N148" s="1"/>
      <c r="O148" s="1"/>
    </row>
    <row r="149" spans="1:15">
      <c r="A149" s="1"/>
      <c r="B149" s="1"/>
      <c r="C149" s="1"/>
      <c r="D149" s="1"/>
      <c r="E149" s="1"/>
      <c r="F149" s="1"/>
      <c r="G149" s="1"/>
      <c r="H149" s="1"/>
      <c r="I149" s="1"/>
      <c r="J149" s="1"/>
      <c r="K149" s="1"/>
      <c r="L149" s="1"/>
      <c r="M149" s="1"/>
      <c r="N149" s="1"/>
      <c r="O149" s="1"/>
    </row>
    <row r="150" spans="1:15">
      <c r="A150" s="1"/>
      <c r="B150" s="1"/>
      <c r="C150" s="1"/>
      <c r="D150" s="1"/>
      <c r="E150" s="1"/>
      <c r="F150" s="1"/>
      <c r="G150" s="1"/>
      <c r="H150" s="1"/>
      <c r="I150" s="1"/>
      <c r="J150" s="1"/>
      <c r="K150" s="1"/>
      <c r="L150" s="1"/>
      <c r="M150" s="1"/>
      <c r="N150" s="1"/>
      <c r="O150" s="1"/>
    </row>
    <row r="151" spans="1:15">
      <c r="A151" s="1"/>
      <c r="B151" s="1"/>
      <c r="C151" s="1"/>
      <c r="D151" s="1"/>
      <c r="E151" s="1"/>
      <c r="F151" s="1"/>
      <c r="G151" s="1"/>
      <c r="H151" s="1"/>
      <c r="I151" s="1"/>
      <c r="J151" s="1"/>
      <c r="K151" s="1"/>
      <c r="L151" s="1"/>
      <c r="M151" s="1"/>
      <c r="N151" s="1"/>
      <c r="O151" s="1"/>
    </row>
    <row r="152" spans="1:15">
      <c r="A152" s="1"/>
      <c r="B152" s="1"/>
      <c r="C152" s="1"/>
      <c r="D152" s="1"/>
      <c r="E152" s="1"/>
      <c r="F152" s="1"/>
      <c r="G152" s="1"/>
      <c r="H152" s="1"/>
      <c r="I152" s="1"/>
      <c r="J152" s="1"/>
      <c r="K152" s="1"/>
      <c r="L152" s="1"/>
      <c r="M152" s="1"/>
      <c r="N152" s="1"/>
      <c r="O152" s="1"/>
    </row>
    <row r="153" spans="1:15">
      <c r="A153" s="1"/>
      <c r="B153" s="1"/>
      <c r="C153" s="1"/>
      <c r="D153" s="1"/>
      <c r="E153" s="1"/>
      <c r="F153" s="1"/>
      <c r="G153" s="1"/>
      <c r="H153" s="1"/>
      <c r="I153" s="1"/>
      <c r="J153" s="1"/>
      <c r="K153" s="1"/>
      <c r="L153" s="1"/>
      <c r="M153" s="1"/>
      <c r="N153" s="1"/>
      <c r="O153" s="1"/>
    </row>
    <row r="154" spans="1:15">
      <c r="A154" s="1"/>
      <c r="B154" s="1"/>
      <c r="C154" s="1"/>
      <c r="D154" s="1"/>
      <c r="E154" s="1"/>
      <c r="F154" s="1"/>
      <c r="G154" s="1"/>
      <c r="H154" s="1"/>
      <c r="I154" s="1"/>
      <c r="J154" s="1"/>
      <c r="K154" s="1"/>
      <c r="L154" s="1"/>
      <c r="M154" s="1"/>
      <c r="N154" s="1"/>
      <c r="O154" s="1"/>
    </row>
    <row r="155" spans="1:15">
      <c r="A155" s="1"/>
      <c r="B155" s="1"/>
      <c r="C155" s="1"/>
      <c r="D155" s="1"/>
      <c r="E155" s="1"/>
      <c r="F155" s="1"/>
      <c r="G155" s="1"/>
      <c r="H155" s="1"/>
      <c r="I155" s="1"/>
      <c r="J155" s="1"/>
      <c r="K155" s="1"/>
      <c r="L155" s="1"/>
      <c r="M155" s="1"/>
      <c r="N155" s="1"/>
      <c r="O155" s="1"/>
    </row>
    <row r="156" spans="1:15">
      <c r="A156" s="1"/>
      <c r="B156" s="1"/>
      <c r="C156" s="1"/>
      <c r="D156" s="1"/>
      <c r="E156" s="1"/>
      <c r="F156" s="1"/>
      <c r="G156" s="1"/>
      <c r="H156" s="1"/>
      <c r="I156" s="1"/>
      <c r="J156" s="1"/>
      <c r="K156" s="1"/>
      <c r="L156" s="1"/>
      <c r="M156" s="1"/>
      <c r="N156" s="1"/>
      <c r="O156" s="1"/>
    </row>
    <row r="157" spans="1:15">
      <c r="A157" s="1"/>
      <c r="B157" s="1"/>
      <c r="C157" s="1"/>
      <c r="D157" s="1"/>
      <c r="E157" s="1"/>
      <c r="F157" s="1"/>
      <c r="G157" s="1"/>
      <c r="H157" s="1"/>
      <c r="I157" s="1"/>
      <c r="J157" s="1"/>
      <c r="K157" s="1"/>
      <c r="L157" s="1"/>
      <c r="M157" s="1"/>
      <c r="N157" s="1"/>
      <c r="O157" s="1"/>
    </row>
    <row r="158" spans="1:15">
      <c r="A158" s="1"/>
      <c r="B158" s="1"/>
      <c r="C158" s="1"/>
      <c r="D158" s="1"/>
      <c r="E158" s="1"/>
      <c r="F158" s="1"/>
      <c r="G158" s="1"/>
      <c r="H158" s="1"/>
      <c r="I158" s="1"/>
      <c r="J158" s="1"/>
      <c r="K158" s="1"/>
      <c r="L158" s="1"/>
      <c r="M158" s="1"/>
      <c r="N158" s="1"/>
      <c r="O158" s="1"/>
    </row>
    <row r="159" spans="1:15">
      <c r="A159" s="1"/>
      <c r="B159" s="1"/>
      <c r="C159" s="1"/>
      <c r="D159" s="1"/>
      <c r="E159" s="1"/>
      <c r="F159" s="1"/>
      <c r="G159" s="1"/>
      <c r="H159" s="1"/>
      <c r="I159" s="1"/>
      <c r="J159" s="1"/>
      <c r="K159" s="1"/>
      <c r="L159" s="1"/>
      <c r="M159" s="1"/>
      <c r="N159" s="1"/>
      <c r="O159" s="1"/>
    </row>
    <row r="160" spans="1:15">
      <c r="A160" s="1"/>
      <c r="B160" s="1"/>
      <c r="C160" s="1"/>
      <c r="D160" s="1"/>
      <c r="E160" s="1"/>
      <c r="F160" s="1"/>
      <c r="G160" s="1"/>
      <c r="H160" s="1"/>
      <c r="I160" s="1"/>
      <c r="J160" s="1"/>
      <c r="K160" s="1"/>
      <c r="L160" s="1"/>
      <c r="M160" s="1"/>
      <c r="N160" s="1"/>
      <c r="O160" s="1"/>
    </row>
    <row r="161" spans="1:15">
      <c r="A161" s="1"/>
      <c r="B161" s="1"/>
      <c r="C161" s="1"/>
      <c r="D161" s="1"/>
      <c r="E161" s="1"/>
      <c r="F161" s="1"/>
      <c r="G161" s="1"/>
      <c r="H161" s="1"/>
      <c r="I161" s="1"/>
      <c r="J161" s="1"/>
      <c r="K161" s="1"/>
      <c r="L161" s="1"/>
      <c r="M161" s="1"/>
      <c r="N161" s="1"/>
      <c r="O161" s="1"/>
    </row>
  </sheetData>
  <sheetProtection password="D9CA" sheet="1" objects="1" scenarios="1" selectLockedCells="1"/>
  <mergeCells count="16">
    <mergeCell ref="H2:J2"/>
    <mergeCell ref="B68:E68"/>
    <mergeCell ref="D69:E69"/>
    <mergeCell ref="B69:C69"/>
    <mergeCell ref="O19:O20"/>
    <mergeCell ref="B101:C101"/>
    <mergeCell ref="P19:P20"/>
    <mergeCell ref="Q19:Q20"/>
    <mergeCell ref="R19:R20"/>
    <mergeCell ref="B117:C117"/>
    <mergeCell ref="H19:M19"/>
    <mergeCell ref="N19:N20"/>
    <mergeCell ref="B35:F35"/>
    <mergeCell ref="B52:F52"/>
    <mergeCell ref="B85:F85"/>
    <mergeCell ref="B19:G19"/>
  </mergeCells>
  <dataValidations count="1">
    <dataValidation type="list" allowBlank="1" showInputMessage="1" showErrorMessage="1" sqref="J21">
      <formula1>"40,50,80"</formula1>
    </dataValidation>
  </dataValidations>
  <pageMargins left="0.7" right="0.7" top="0.78740157499999996" bottom="0.78740157499999996" header="0.3" footer="0.3"/>
  <pageSetup paperSize="9" orientation="portrait" r:id="rId1"/>
  <drawing r:id="rId2"/>
  <legacyDrawing r:id="rId3"/>
  <oleObjects>
    <mc:AlternateContent xmlns:mc="http://schemas.openxmlformats.org/markup-compatibility/2006">
      <mc:Choice Requires="x14">
        <oleObject progId="Equation.3" shapeId="23554" r:id="rId4">
          <objectPr defaultSize="0" autoPict="0" r:id="rId5">
            <anchor moveWithCells="1">
              <from>
                <xdr:col>0</xdr:col>
                <xdr:colOff>180975</xdr:colOff>
                <xdr:row>10</xdr:row>
                <xdr:rowOff>142875</xdr:rowOff>
              </from>
              <to>
                <xdr:col>4</xdr:col>
                <xdr:colOff>533400</xdr:colOff>
                <xdr:row>12</xdr:row>
                <xdr:rowOff>76200</xdr:rowOff>
              </to>
            </anchor>
          </objectPr>
        </oleObject>
      </mc:Choice>
      <mc:Fallback>
        <oleObject progId="Equation.3" shapeId="23554"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175"/>
  <sheetViews>
    <sheetView showGridLines="0" showRowColHeaders="0" zoomScaleNormal="100" workbookViewId="0">
      <selection activeCell="A39" sqref="A39"/>
    </sheetView>
  </sheetViews>
  <sheetFormatPr baseColWidth="10" defaultColWidth="11" defaultRowHeight="15.75"/>
  <cols>
    <col min="1" max="1" width="23.5" style="85" customWidth="1"/>
    <col min="2" max="13" width="11" style="85"/>
    <col min="14" max="14" width="20.875" style="85" customWidth="1"/>
    <col min="15" max="19" width="11.25" style="85" bestFit="1" customWidth="1"/>
    <col min="20" max="20" width="11" style="85"/>
    <col min="21" max="21" width="19.25" style="85" customWidth="1"/>
    <col min="22" max="23" width="11" style="85"/>
    <col min="24" max="24" width="14.25" style="85" customWidth="1"/>
    <col min="25" max="29" width="11" style="85"/>
    <col min="30" max="30" width="22.875" style="85" customWidth="1"/>
    <col min="31" max="32" width="11" style="85"/>
    <col min="33" max="33" width="13.125" style="85" customWidth="1"/>
    <col min="34" max="16384" width="11" style="85"/>
  </cols>
  <sheetData>
    <row r="1" spans="1:19">
      <c r="A1" s="84" t="s">
        <v>84</v>
      </c>
    </row>
    <row r="2" spans="1:19">
      <c r="A2" s="86" t="s">
        <v>85</v>
      </c>
    </row>
    <row r="4" spans="1:19" ht="26.25">
      <c r="A4" s="87" t="s">
        <v>27</v>
      </c>
      <c r="P4" s="88"/>
      <c r="Q4" s="88"/>
      <c r="R4" s="88"/>
    </row>
    <row r="6" spans="1:19" ht="18.75">
      <c r="A6" s="89" t="s">
        <v>280</v>
      </c>
      <c r="P6" s="88"/>
      <c r="Q6" s="88"/>
      <c r="R6" s="88"/>
    </row>
    <row r="7" spans="1:19">
      <c r="K7" s="88">
        <f>Bemessung!B35</f>
        <v>1</v>
      </c>
      <c r="M7" s="90"/>
      <c r="O7" s="425"/>
      <c r="P7" s="425"/>
      <c r="Q7" s="425"/>
      <c r="R7" s="425"/>
    </row>
    <row r="8" spans="1:19" ht="18.75">
      <c r="A8" s="91" t="s">
        <v>28</v>
      </c>
      <c r="B8" s="92" t="s">
        <v>29</v>
      </c>
      <c r="C8" s="92" t="s">
        <v>30</v>
      </c>
      <c r="D8" s="92" t="s">
        <v>31</v>
      </c>
      <c r="E8" s="92" t="s">
        <v>32</v>
      </c>
      <c r="F8" s="92" t="s">
        <v>33</v>
      </c>
      <c r="G8" s="92" t="s">
        <v>34</v>
      </c>
      <c r="H8" s="92" t="s">
        <v>35</v>
      </c>
      <c r="I8" s="92" t="s">
        <v>36</v>
      </c>
      <c r="J8" s="92" t="s">
        <v>37</v>
      </c>
      <c r="K8" s="93" t="s">
        <v>86</v>
      </c>
      <c r="L8" s="94" t="s">
        <v>38</v>
      </c>
      <c r="M8" s="188"/>
      <c r="N8" s="91" t="s">
        <v>28</v>
      </c>
      <c r="O8" s="426" t="s">
        <v>89</v>
      </c>
      <c r="P8" s="427"/>
      <c r="Q8" s="427"/>
      <c r="R8" s="427"/>
      <c r="S8" s="428"/>
    </row>
    <row r="9" spans="1:19">
      <c r="A9" s="95"/>
      <c r="B9" s="96" t="s">
        <v>39</v>
      </c>
      <c r="C9" s="96" t="s">
        <v>16</v>
      </c>
      <c r="D9" s="96" t="s">
        <v>16</v>
      </c>
      <c r="E9" s="96" t="s">
        <v>40</v>
      </c>
      <c r="F9" s="218" t="s">
        <v>16</v>
      </c>
      <c r="G9" s="96" t="s">
        <v>16</v>
      </c>
      <c r="H9" s="96" t="s">
        <v>16</v>
      </c>
      <c r="I9" s="96" t="s">
        <v>39</v>
      </c>
      <c r="J9" s="96" t="s">
        <v>39</v>
      </c>
      <c r="K9" s="96" t="s">
        <v>39</v>
      </c>
      <c r="L9" s="97" t="s">
        <v>39</v>
      </c>
      <c r="M9" s="188"/>
      <c r="N9" s="95"/>
      <c r="O9" s="299">
        <f>IF(AND(Bemessung!$B$36=Berechnungstabellen!$K$17,Bemessung!$F$24=3),0,IF(OR(Bemessung!$F$24=1,Bemessung!$F$24=2),0.6,0.5))</f>
        <v>0.6</v>
      </c>
      <c r="P9" s="299">
        <f>IF(AND(Bemessung!$B$36=Berechnungstabellen!$K$17,Bemessung!$F$24=3),0,IF(OR(Bemessung!$F$24=1,Bemessung!$F$24=2),0.7,0.55))</f>
        <v>0.7</v>
      </c>
      <c r="Q9" s="299">
        <f>IF(AND(Bemessung!$B$36=Berechnungstabellen!$K$17,Bemessung!$F$24=3),0,IF(OR(Bemessung!$F$24=1,Bemessung!$F$24=2),0.8,0.65))</f>
        <v>0.8</v>
      </c>
      <c r="R9" s="299">
        <f>IF(AND(Bemessung!$B$36=Berechnungstabellen!$K$17,Bemessung!$F$24=3),0,IF(OR(Bemessung!$F$24=1,Bemessung!$F$24=2),0.9,0.7))</f>
        <v>0.9</v>
      </c>
      <c r="S9" s="299">
        <f>IF(AND(Bemessung!$B$36=Berechnungstabellen!$K$17,Bemessung!$F$24=3),0,IF(OR(Bemessung!$F$24=1,Bemessung!$F$24=2),1,0.8))</f>
        <v>1</v>
      </c>
    </row>
    <row r="10" spans="1:19">
      <c r="A10" s="248" t="s">
        <v>234</v>
      </c>
      <c r="B10" s="98">
        <v>5.9</v>
      </c>
      <c r="C10" s="99">
        <v>34</v>
      </c>
      <c r="D10" s="99">
        <f>P28</f>
        <v>-10</v>
      </c>
      <c r="E10" s="151">
        <f t="shared" ref="E10:E15" si="0">Q28</f>
        <v>0</v>
      </c>
      <c r="F10" s="99">
        <v>35</v>
      </c>
      <c r="G10" s="100">
        <f>Berechnungstabellen!J21-15</f>
        <v>65</v>
      </c>
      <c r="H10" s="99">
        <v>8</v>
      </c>
      <c r="I10" s="151">
        <f t="shared" ref="I10:I21" si="1">(0.52*SQRT(H10)*(F10)^0.9*$B$23^0.8)/1000</f>
        <v>4.2225826668958426</v>
      </c>
      <c r="J10" s="151">
        <f>($J$23*0.52*SQRT(H10)*G10^0.9*$B$23^0.8)/1000</f>
        <v>2.2113638026311735</v>
      </c>
      <c r="K10" s="98">
        <v>15</v>
      </c>
      <c r="L10" s="151">
        <f t="shared" ref="L10:L15" si="2">E10*MIN(I10:J10)</f>
        <v>0</v>
      </c>
      <c r="M10" s="187"/>
      <c r="N10" s="248" t="s">
        <v>234</v>
      </c>
      <c r="O10" s="151">
        <f>$E10*MIN($B10/$B$22,$I10*O$9/$J$22,$J10*O$9/1.3,$K10/$K$22)</f>
        <v>0</v>
      </c>
      <c r="P10" s="151">
        <f t="shared" ref="P10:S21" si="3">$E10*MIN($B10/$B$22,$I10*P$9/$J$22,$J10*P$9/1.3,$K10/$K$22)</f>
        <v>0</v>
      </c>
      <c r="Q10" s="151">
        <f t="shared" si="3"/>
        <v>0</v>
      </c>
      <c r="R10" s="151">
        <f t="shared" si="3"/>
        <v>0</v>
      </c>
      <c r="S10" s="151">
        <f t="shared" si="3"/>
        <v>0</v>
      </c>
    </row>
    <row r="11" spans="1:19">
      <c r="A11" s="249" t="s">
        <v>235</v>
      </c>
      <c r="B11" s="101">
        <v>5.9</v>
      </c>
      <c r="C11" s="102">
        <v>54</v>
      </c>
      <c r="D11" s="102">
        <f t="shared" ref="D11:D21" si="4">P29</f>
        <v>-10</v>
      </c>
      <c r="E11" s="189">
        <f t="shared" si="0"/>
        <v>0</v>
      </c>
      <c r="F11" s="102">
        <v>35</v>
      </c>
      <c r="G11" s="100">
        <f>Berechnungstabellen!J22-15</f>
        <v>65</v>
      </c>
      <c r="H11" s="102">
        <v>8</v>
      </c>
      <c r="I11" s="189">
        <f t="shared" si="1"/>
        <v>4.2225826668958426</v>
      </c>
      <c r="J11" s="189">
        <f t="shared" ref="J11:J21" si="5">($J$23*0.52*SQRT(H11)*G11^0.9*$B$23^0.8)/1000</f>
        <v>2.2113638026311735</v>
      </c>
      <c r="K11" s="101">
        <v>15</v>
      </c>
      <c r="L11" s="189">
        <f t="shared" si="2"/>
        <v>0</v>
      </c>
      <c r="M11" s="187"/>
      <c r="N11" s="249" t="s">
        <v>235</v>
      </c>
      <c r="O11" s="189">
        <f t="shared" ref="O11:O21" si="6">$E11*MIN($B11/$B$22,$I11*O$9/$J$22,$J11*O$9/1.3,$K11/$K$22)</f>
        <v>0</v>
      </c>
      <c r="P11" s="189">
        <f t="shared" si="3"/>
        <v>0</v>
      </c>
      <c r="Q11" s="189">
        <f t="shared" si="3"/>
        <v>0</v>
      </c>
      <c r="R11" s="189">
        <f t="shared" si="3"/>
        <v>0</v>
      </c>
      <c r="S11" s="189">
        <f t="shared" si="3"/>
        <v>0</v>
      </c>
    </row>
    <row r="12" spans="1:19">
      <c r="A12" s="248" t="s">
        <v>236</v>
      </c>
      <c r="B12" s="98">
        <v>5.9</v>
      </c>
      <c r="C12" s="99">
        <v>74</v>
      </c>
      <c r="D12" s="99">
        <f t="shared" si="4"/>
        <v>-10</v>
      </c>
      <c r="E12" s="151">
        <f t="shared" si="0"/>
        <v>0</v>
      </c>
      <c r="F12" s="99">
        <v>35</v>
      </c>
      <c r="G12" s="100">
        <f>Berechnungstabellen!J23-15</f>
        <v>65</v>
      </c>
      <c r="H12" s="99">
        <v>8</v>
      </c>
      <c r="I12" s="151">
        <f t="shared" si="1"/>
        <v>4.2225826668958426</v>
      </c>
      <c r="J12" s="151">
        <f t="shared" si="5"/>
        <v>2.2113638026311735</v>
      </c>
      <c r="K12" s="98">
        <v>15</v>
      </c>
      <c r="L12" s="151">
        <f t="shared" si="2"/>
        <v>0</v>
      </c>
      <c r="M12" s="187"/>
      <c r="N12" s="248" t="s">
        <v>236</v>
      </c>
      <c r="O12" s="151">
        <f t="shared" si="6"/>
        <v>0</v>
      </c>
      <c r="P12" s="151">
        <f t="shared" si="3"/>
        <v>0</v>
      </c>
      <c r="Q12" s="151">
        <f t="shared" si="3"/>
        <v>0</v>
      </c>
      <c r="R12" s="151">
        <f t="shared" si="3"/>
        <v>0</v>
      </c>
      <c r="S12" s="151">
        <f t="shared" si="3"/>
        <v>0</v>
      </c>
    </row>
    <row r="13" spans="1:19">
      <c r="A13" s="249" t="s">
        <v>237</v>
      </c>
      <c r="B13" s="101">
        <v>5.9</v>
      </c>
      <c r="C13" s="102">
        <v>94</v>
      </c>
      <c r="D13" s="102">
        <f t="shared" si="4"/>
        <v>-10</v>
      </c>
      <c r="E13" s="189">
        <f t="shared" si="0"/>
        <v>0</v>
      </c>
      <c r="F13" s="102">
        <v>35</v>
      </c>
      <c r="G13" s="100">
        <f>Berechnungstabellen!J24-15</f>
        <v>65</v>
      </c>
      <c r="H13" s="102">
        <v>8</v>
      </c>
      <c r="I13" s="189">
        <f t="shared" si="1"/>
        <v>4.2225826668958426</v>
      </c>
      <c r="J13" s="189">
        <f t="shared" si="5"/>
        <v>2.2113638026311735</v>
      </c>
      <c r="K13" s="101">
        <v>15</v>
      </c>
      <c r="L13" s="189">
        <f t="shared" si="2"/>
        <v>0</v>
      </c>
      <c r="M13" s="187"/>
      <c r="N13" s="249" t="s">
        <v>237</v>
      </c>
      <c r="O13" s="189">
        <f t="shared" si="6"/>
        <v>0</v>
      </c>
      <c r="P13" s="189">
        <f t="shared" si="3"/>
        <v>0</v>
      </c>
      <c r="Q13" s="189">
        <f t="shared" si="3"/>
        <v>0</v>
      </c>
      <c r="R13" s="189">
        <f t="shared" si="3"/>
        <v>0</v>
      </c>
      <c r="S13" s="189">
        <f t="shared" si="3"/>
        <v>0</v>
      </c>
    </row>
    <row r="14" spans="1:19">
      <c r="A14" s="248" t="s">
        <v>238</v>
      </c>
      <c r="B14" s="98">
        <v>5.9</v>
      </c>
      <c r="C14" s="99">
        <v>114</v>
      </c>
      <c r="D14" s="99">
        <f t="shared" si="4"/>
        <v>-10</v>
      </c>
      <c r="E14" s="151">
        <f t="shared" si="0"/>
        <v>0</v>
      </c>
      <c r="F14" s="99">
        <v>35</v>
      </c>
      <c r="G14" s="100">
        <f>Berechnungstabellen!J25-15</f>
        <v>65</v>
      </c>
      <c r="H14" s="99">
        <v>8</v>
      </c>
      <c r="I14" s="151">
        <f t="shared" si="1"/>
        <v>4.2225826668958426</v>
      </c>
      <c r="J14" s="151">
        <f t="shared" si="5"/>
        <v>2.2113638026311735</v>
      </c>
      <c r="K14" s="98">
        <v>15</v>
      </c>
      <c r="L14" s="151">
        <f t="shared" si="2"/>
        <v>0</v>
      </c>
      <c r="M14" s="187"/>
      <c r="N14" s="248" t="s">
        <v>238</v>
      </c>
      <c r="O14" s="151">
        <f t="shared" si="6"/>
        <v>0</v>
      </c>
      <c r="P14" s="151">
        <f t="shared" si="3"/>
        <v>0</v>
      </c>
      <c r="Q14" s="151">
        <f t="shared" si="3"/>
        <v>0</v>
      </c>
      <c r="R14" s="151">
        <f t="shared" si="3"/>
        <v>0</v>
      </c>
      <c r="S14" s="151">
        <f t="shared" si="3"/>
        <v>0</v>
      </c>
    </row>
    <row r="15" spans="1:19" ht="16.5" thickBot="1">
      <c r="A15" s="292" t="s">
        <v>239</v>
      </c>
      <c r="B15" s="324">
        <v>5.9</v>
      </c>
      <c r="C15" s="325">
        <v>134</v>
      </c>
      <c r="D15" s="325">
        <f t="shared" si="4"/>
        <v>-10</v>
      </c>
      <c r="E15" s="303">
        <f t="shared" si="0"/>
        <v>0</v>
      </c>
      <c r="F15" s="325">
        <v>35</v>
      </c>
      <c r="G15" s="326">
        <f>Berechnungstabellen!J26-15</f>
        <v>65</v>
      </c>
      <c r="H15" s="325">
        <v>8</v>
      </c>
      <c r="I15" s="303">
        <f t="shared" si="1"/>
        <v>4.2225826668958426</v>
      </c>
      <c r="J15" s="303">
        <f t="shared" si="5"/>
        <v>2.2113638026311735</v>
      </c>
      <c r="K15" s="320">
        <v>15</v>
      </c>
      <c r="L15" s="303">
        <f t="shared" si="2"/>
        <v>0</v>
      </c>
      <c r="M15" s="187"/>
      <c r="N15" s="292" t="s">
        <v>239</v>
      </c>
      <c r="O15" s="303">
        <f t="shared" si="6"/>
        <v>0</v>
      </c>
      <c r="P15" s="303">
        <f t="shared" si="3"/>
        <v>0</v>
      </c>
      <c r="Q15" s="303">
        <f t="shared" si="3"/>
        <v>0</v>
      </c>
      <c r="R15" s="303">
        <f t="shared" si="3"/>
        <v>0</v>
      </c>
      <c r="S15" s="303">
        <f t="shared" si="3"/>
        <v>0</v>
      </c>
    </row>
    <row r="16" spans="1:19" ht="16.5" thickTop="1">
      <c r="A16" s="291" t="s">
        <v>240</v>
      </c>
      <c r="B16" s="317">
        <v>4.0999999999999996</v>
      </c>
      <c r="C16" s="300">
        <v>40</v>
      </c>
      <c r="D16" s="300">
        <f t="shared" si="4"/>
        <v>-10</v>
      </c>
      <c r="E16" s="301">
        <f t="shared" ref="E16:E21" si="7">Q34</f>
        <v>0</v>
      </c>
      <c r="F16" s="300">
        <v>35</v>
      </c>
      <c r="G16" s="323">
        <f>Berechnungstabellen!J27-15</f>
        <v>65</v>
      </c>
      <c r="H16" s="300">
        <v>8</v>
      </c>
      <c r="I16" s="301">
        <f t="shared" si="1"/>
        <v>4.2225826668958426</v>
      </c>
      <c r="J16" s="301">
        <f t="shared" si="5"/>
        <v>2.2113638026311735</v>
      </c>
      <c r="K16" s="317">
        <v>15</v>
      </c>
      <c r="L16" s="301">
        <f t="shared" ref="L16:L21" si="8">E16*MIN(I16:J16)</f>
        <v>0</v>
      </c>
      <c r="M16" s="187"/>
      <c r="N16" s="291" t="s">
        <v>240</v>
      </c>
      <c r="O16" s="301">
        <f t="shared" si="6"/>
        <v>0</v>
      </c>
      <c r="P16" s="301">
        <f t="shared" si="3"/>
        <v>0</v>
      </c>
      <c r="Q16" s="301">
        <f t="shared" si="3"/>
        <v>0</v>
      </c>
      <c r="R16" s="301">
        <f t="shared" si="3"/>
        <v>0</v>
      </c>
      <c r="S16" s="301">
        <f t="shared" si="3"/>
        <v>0</v>
      </c>
    </row>
    <row r="17" spans="1:19">
      <c r="A17" s="249" t="s">
        <v>241</v>
      </c>
      <c r="B17" s="101">
        <v>4.0999999999999996</v>
      </c>
      <c r="C17" s="102">
        <v>60</v>
      </c>
      <c r="D17" s="102">
        <f t="shared" si="4"/>
        <v>-10</v>
      </c>
      <c r="E17" s="189">
        <f t="shared" si="7"/>
        <v>0</v>
      </c>
      <c r="F17" s="102">
        <v>35</v>
      </c>
      <c r="G17" s="100">
        <f>Berechnungstabellen!J28-15</f>
        <v>65</v>
      </c>
      <c r="H17" s="102">
        <v>8</v>
      </c>
      <c r="I17" s="189">
        <f t="shared" si="1"/>
        <v>4.2225826668958426</v>
      </c>
      <c r="J17" s="189">
        <f t="shared" si="5"/>
        <v>2.2113638026311735</v>
      </c>
      <c r="K17" s="101">
        <v>15</v>
      </c>
      <c r="L17" s="189">
        <f t="shared" si="8"/>
        <v>0</v>
      </c>
      <c r="M17" s="187"/>
      <c r="N17" s="249" t="s">
        <v>241</v>
      </c>
      <c r="O17" s="189">
        <f t="shared" si="6"/>
        <v>0</v>
      </c>
      <c r="P17" s="189">
        <f t="shared" si="3"/>
        <v>0</v>
      </c>
      <c r="Q17" s="189">
        <f t="shared" si="3"/>
        <v>0</v>
      </c>
      <c r="R17" s="189">
        <f t="shared" si="3"/>
        <v>0</v>
      </c>
      <c r="S17" s="189">
        <f t="shared" si="3"/>
        <v>0</v>
      </c>
    </row>
    <row r="18" spans="1:19">
      <c r="A18" s="248" t="s">
        <v>242</v>
      </c>
      <c r="B18" s="98">
        <v>4.0999999999999996</v>
      </c>
      <c r="C18" s="99">
        <v>80</v>
      </c>
      <c r="D18" s="99">
        <f t="shared" si="4"/>
        <v>-10</v>
      </c>
      <c r="E18" s="151">
        <f t="shared" si="7"/>
        <v>0.88888888888888884</v>
      </c>
      <c r="F18" s="99">
        <v>35</v>
      </c>
      <c r="G18" s="100">
        <f>Berechnungstabellen!J29-15</f>
        <v>65</v>
      </c>
      <c r="H18" s="99">
        <v>8</v>
      </c>
      <c r="I18" s="151">
        <f t="shared" si="1"/>
        <v>4.2225826668958426</v>
      </c>
      <c r="J18" s="151">
        <f t="shared" si="5"/>
        <v>2.2113638026311735</v>
      </c>
      <c r="K18" s="98">
        <v>15</v>
      </c>
      <c r="L18" s="151">
        <f t="shared" si="8"/>
        <v>1.9656567134499319</v>
      </c>
      <c r="M18" s="187"/>
      <c r="N18" s="248" t="s">
        <v>242</v>
      </c>
      <c r="O18" s="151">
        <f t="shared" si="6"/>
        <v>0.90722617543842998</v>
      </c>
      <c r="P18" s="151">
        <f t="shared" si="3"/>
        <v>1.0584305380115018</v>
      </c>
      <c r="Q18" s="151">
        <f t="shared" si="3"/>
        <v>1.2096349005845735</v>
      </c>
      <c r="R18" s="151">
        <f t="shared" si="3"/>
        <v>1.3608392631576454</v>
      </c>
      <c r="S18" s="151">
        <f t="shared" si="3"/>
        <v>1.5120436257307168</v>
      </c>
    </row>
    <row r="19" spans="1:19">
      <c r="A19" s="249" t="s">
        <v>243</v>
      </c>
      <c r="B19" s="101">
        <v>4.0999999999999996</v>
      </c>
      <c r="C19" s="102">
        <v>100</v>
      </c>
      <c r="D19" s="102">
        <f t="shared" si="4"/>
        <v>-10</v>
      </c>
      <c r="E19" s="189">
        <f t="shared" si="7"/>
        <v>0</v>
      </c>
      <c r="F19" s="102">
        <v>35</v>
      </c>
      <c r="G19" s="100">
        <f>Berechnungstabellen!J30-15</f>
        <v>65</v>
      </c>
      <c r="H19" s="102">
        <v>8</v>
      </c>
      <c r="I19" s="189">
        <f t="shared" si="1"/>
        <v>4.2225826668958426</v>
      </c>
      <c r="J19" s="189">
        <f t="shared" si="5"/>
        <v>2.2113638026311735</v>
      </c>
      <c r="K19" s="101">
        <v>15</v>
      </c>
      <c r="L19" s="189">
        <f t="shared" si="8"/>
        <v>0</v>
      </c>
      <c r="M19" s="187"/>
      <c r="N19" s="249" t="s">
        <v>243</v>
      </c>
      <c r="O19" s="189">
        <f t="shared" si="6"/>
        <v>0</v>
      </c>
      <c r="P19" s="189">
        <f t="shared" si="3"/>
        <v>0</v>
      </c>
      <c r="Q19" s="189">
        <f t="shared" si="3"/>
        <v>0</v>
      </c>
      <c r="R19" s="189">
        <f t="shared" si="3"/>
        <v>0</v>
      </c>
      <c r="S19" s="189">
        <f t="shared" si="3"/>
        <v>0</v>
      </c>
    </row>
    <row r="20" spans="1:19">
      <c r="A20" s="248" t="s">
        <v>244</v>
      </c>
      <c r="B20" s="98">
        <v>4.0999999999999996</v>
      </c>
      <c r="C20" s="99">
        <v>120</v>
      </c>
      <c r="D20" s="99">
        <f t="shared" si="4"/>
        <v>-10</v>
      </c>
      <c r="E20" s="151">
        <f t="shared" si="7"/>
        <v>0</v>
      </c>
      <c r="F20" s="99">
        <v>35</v>
      </c>
      <c r="G20" s="100">
        <f>Berechnungstabellen!J31-15</f>
        <v>65</v>
      </c>
      <c r="H20" s="99">
        <v>8</v>
      </c>
      <c r="I20" s="151">
        <f t="shared" si="1"/>
        <v>4.2225826668958426</v>
      </c>
      <c r="J20" s="151">
        <f t="shared" si="5"/>
        <v>2.2113638026311735</v>
      </c>
      <c r="K20" s="98">
        <v>15</v>
      </c>
      <c r="L20" s="151">
        <f t="shared" si="8"/>
        <v>0</v>
      </c>
      <c r="M20" s="187"/>
      <c r="N20" s="248" t="s">
        <v>244</v>
      </c>
      <c r="O20" s="151">
        <f t="shared" si="6"/>
        <v>0</v>
      </c>
      <c r="P20" s="151">
        <f t="shared" si="3"/>
        <v>0</v>
      </c>
      <c r="Q20" s="151">
        <f t="shared" si="3"/>
        <v>0</v>
      </c>
      <c r="R20" s="151">
        <f t="shared" si="3"/>
        <v>0</v>
      </c>
      <c r="S20" s="151">
        <f t="shared" si="3"/>
        <v>0</v>
      </c>
    </row>
    <row r="21" spans="1:19">
      <c r="A21" s="249" t="s">
        <v>245</v>
      </c>
      <c r="B21" s="101">
        <v>4.0999999999999996</v>
      </c>
      <c r="C21" s="102">
        <v>140</v>
      </c>
      <c r="D21" s="102">
        <f t="shared" si="4"/>
        <v>-10</v>
      </c>
      <c r="E21" s="189">
        <f t="shared" si="7"/>
        <v>0</v>
      </c>
      <c r="F21" s="102">
        <v>35</v>
      </c>
      <c r="G21" s="100">
        <f>Berechnungstabellen!J32-15</f>
        <v>65</v>
      </c>
      <c r="H21" s="102">
        <v>8</v>
      </c>
      <c r="I21" s="189">
        <f t="shared" si="1"/>
        <v>4.2225826668958426</v>
      </c>
      <c r="J21" s="189">
        <f t="shared" si="5"/>
        <v>2.2113638026311735</v>
      </c>
      <c r="K21" s="101">
        <v>15</v>
      </c>
      <c r="L21" s="189">
        <f t="shared" si="8"/>
        <v>0</v>
      </c>
      <c r="M21" s="187"/>
      <c r="N21" s="249" t="s">
        <v>245</v>
      </c>
      <c r="O21" s="189">
        <f t="shared" si="6"/>
        <v>0</v>
      </c>
      <c r="P21" s="189">
        <f t="shared" si="3"/>
        <v>0</v>
      </c>
      <c r="Q21" s="189">
        <f t="shared" si="3"/>
        <v>0</v>
      </c>
      <c r="R21" s="189">
        <f t="shared" si="3"/>
        <v>0</v>
      </c>
      <c r="S21" s="189">
        <f t="shared" si="3"/>
        <v>0</v>
      </c>
    </row>
    <row r="22" spans="1:19">
      <c r="A22" s="329" t="s">
        <v>251</v>
      </c>
      <c r="B22" s="328">
        <v>1</v>
      </c>
      <c r="I22" s="329" t="s">
        <v>251</v>
      </c>
      <c r="J22" s="328">
        <v>1.3</v>
      </c>
      <c r="K22" s="330">
        <v>1.25</v>
      </c>
      <c r="P22" s="88"/>
      <c r="Q22" s="88"/>
      <c r="R22" s="88"/>
    </row>
    <row r="23" spans="1:19" ht="18.75">
      <c r="A23" s="103" t="s">
        <v>41</v>
      </c>
      <c r="B23" s="104">
        <f>Bemessung!B37</f>
        <v>385</v>
      </c>
      <c r="C23" s="85" t="s">
        <v>42</v>
      </c>
      <c r="D23" s="105" t="str">
        <f>Bemessung!B36</f>
        <v>GL24h</v>
      </c>
      <c r="I23" s="336" t="s">
        <v>259</v>
      </c>
      <c r="J23" s="189">
        <f>IF(Herleitung!J24&gt;45,1,0.3+(J24*0.7/45))</f>
        <v>0.3</v>
      </c>
      <c r="N23" s="225" t="s">
        <v>176</v>
      </c>
      <c r="O23" s="85">
        <f>IF(Bemessung!B35=1,Bemessung!D76,Bemessung!H76)</f>
        <v>0</v>
      </c>
      <c r="P23" s="88"/>
      <c r="Q23" s="88"/>
      <c r="R23" s="88"/>
    </row>
    <row r="24" spans="1:19">
      <c r="I24" s="337" t="s">
        <v>260</v>
      </c>
      <c r="J24" s="338">
        <f>90-Bemessung!B34</f>
        <v>0</v>
      </c>
      <c r="N24" s="103" t="s">
        <v>247</v>
      </c>
      <c r="O24" s="85">
        <f>Bemessung!D72</f>
        <v>0</v>
      </c>
      <c r="P24" s="88"/>
      <c r="Q24" s="88"/>
      <c r="R24" s="88"/>
    </row>
    <row r="25" spans="1:19" ht="18.75">
      <c r="N25" s="226" t="s">
        <v>177</v>
      </c>
      <c r="O25" s="194">
        <f>IF(Bemessung!B35=1,Bemessung!B73,Bemessung!E72)</f>
        <v>10</v>
      </c>
      <c r="P25" s="228" t="s">
        <v>180</v>
      </c>
      <c r="Q25" s="229">
        <f>O25</f>
        <v>10</v>
      </c>
      <c r="R25" s="88"/>
    </row>
    <row r="27" spans="1:19" ht="26.25">
      <c r="A27" s="87" t="s">
        <v>43</v>
      </c>
      <c r="N27" s="91" t="s">
        <v>28</v>
      </c>
      <c r="O27" s="224" t="s">
        <v>173</v>
      </c>
      <c r="P27" s="224" t="s">
        <v>174</v>
      </c>
      <c r="Q27" s="224" t="s">
        <v>175</v>
      </c>
    </row>
    <row r="28" spans="1:19">
      <c r="N28" s="248" t="s">
        <v>234</v>
      </c>
      <c r="O28" s="99">
        <v>34</v>
      </c>
      <c r="P28" s="99">
        <f t="shared" ref="P28:P39" si="9">MIN($O$23/2-$Q$25,$O$23/2-$O$25,O28-$O$23/2+$Q$25,O28-$O$23/2+$O$25)</f>
        <v>-10</v>
      </c>
      <c r="Q28" s="151">
        <f>IF(Bemessung!$B$29="RICON 60/40 EA A2",O28/(O28-P28),0)</f>
        <v>0</v>
      </c>
    </row>
    <row r="29" spans="1:19" ht="18.75">
      <c r="A29" s="89" t="s">
        <v>279</v>
      </c>
      <c r="D29" s="106"/>
      <c r="N29" s="249" t="s">
        <v>235</v>
      </c>
      <c r="O29" s="102">
        <v>54</v>
      </c>
      <c r="P29" s="102">
        <f t="shared" si="9"/>
        <v>-10</v>
      </c>
      <c r="Q29" s="189">
        <f>IF(Bemessung!$B$29="RICON 80/40 EA A2",O29/(O29-P29),0)</f>
        <v>0</v>
      </c>
      <c r="R29" s="88"/>
    </row>
    <row r="30" spans="1:19" ht="18.75">
      <c r="A30" s="89"/>
      <c r="D30" s="106"/>
      <c r="N30" s="248" t="s">
        <v>236</v>
      </c>
      <c r="O30" s="99">
        <v>74</v>
      </c>
      <c r="P30" s="99">
        <f t="shared" si="9"/>
        <v>-10</v>
      </c>
      <c r="Q30" s="151">
        <f>IF(Bemessung!$B$29="RICON 100/40 EA A2",O30/(O30-P30),0)</f>
        <v>0</v>
      </c>
      <c r="R30" s="88"/>
    </row>
    <row r="31" spans="1:19" ht="18">
      <c r="A31" s="107" t="s">
        <v>90</v>
      </c>
      <c r="B31" s="339">
        <f>B23</f>
        <v>385</v>
      </c>
      <c r="C31" s="340" t="s">
        <v>42</v>
      </c>
      <c r="D31" s="108" t="str">
        <f>Bemessung!B36</f>
        <v>GL24h</v>
      </c>
      <c r="N31" s="249" t="s">
        <v>237</v>
      </c>
      <c r="O31" s="102">
        <v>94</v>
      </c>
      <c r="P31" s="102">
        <f t="shared" si="9"/>
        <v>-10</v>
      </c>
      <c r="Q31" s="189">
        <f>IF(Bemessung!$B$29="RICON 120/40 EA A2",O31/(O31-P31),0)</f>
        <v>0</v>
      </c>
      <c r="R31" s="88"/>
    </row>
    <row r="32" spans="1:19" ht="18">
      <c r="A32" s="107" t="s">
        <v>91</v>
      </c>
      <c r="B32" s="341">
        <v>15000</v>
      </c>
      <c r="C32" s="341">
        <v>4400</v>
      </c>
      <c r="D32" s="109" t="s">
        <v>44</v>
      </c>
      <c r="E32" s="109" t="str">
        <f>Bemessung!A12</f>
        <v>mit KNAPP® A2 Edelstahlschrauben nach ETA-10/0189</v>
      </c>
      <c r="N32" s="248" t="s">
        <v>238</v>
      </c>
      <c r="O32" s="99">
        <v>114</v>
      </c>
      <c r="P32" s="99">
        <f t="shared" si="9"/>
        <v>-10</v>
      </c>
      <c r="Q32" s="151">
        <f>IF(Bemessung!$B$29="RICON 140/40 EA A2",O32/(O32-P32),0)</f>
        <v>0</v>
      </c>
      <c r="R32" s="88"/>
    </row>
    <row r="33" spans="1:18" ht="16.5" thickBot="1">
      <c r="A33" s="107" t="s">
        <v>45</v>
      </c>
      <c r="B33" s="341">
        <v>8</v>
      </c>
      <c r="C33" s="341">
        <v>5</v>
      </c>
      <c r="D33" s="109" t="s">
        <v>46</v>
      </c>
      <c r="N33" s="292" t="s">
        <v>239</v>
      </c>
      <c r="O33" s="302">
        <v>134</v>
      </c>
      <c r="P33" s="302">
        <f t="shared" si="9"/>
        <v>-10</v>
      </c>
      <c r="Q33" s="303">
        <f>IF(Bemessung!$B$29="RICON 160/40 EA A2",O33/(O33-P33),0)</f>
        <v>0</v>
      </c>
      <c r="R33" s="88"/>
    </row>
    <row r="34" spans="1:18" ht="18.75" thickTop="1">
      <c r="A34" s="107" t="s">
        <v>92</v>
      </c>
      <c r="B34" s="342">
        <f>0.082*B33^-0.3*B31/(2.5*COS(RADIANS(J24))^2+SIN(RADIANS(J24))^2)</f>
        <v>6.767177642454155</v>
      </c>
      <c r="C34" s="342">
        <f>0.082*C33^-0.3*B31/(2.5*COS(RADIANS(J24))^2+SIN(RADIANS(J24))^2)</f>
        <v>7.7919036184282815</v>
      </c>
      <c r="D34" s="109" t="s">
        <v>18</v>
      </c>
      <c r="E34" s="343"/>
      <c r="H34" s="238"/>
      <c r="I34" s="238"/>
      <c r="N34" s="291" t="s">
        <v>240</v>
      </c>
      <c r="O34" s="300">
        <v>40</v>
      </c>
      <c r="P34" s="300">
        <f t="shared" si="9"/>
        <v>-10</v>
      </c>
      <c r="Q34" s="301">
        <f>IF(Bemessung!$B$29="RICON 60/30 EA A2",O34/(O34-P34),0)</f>
        <v>0</v>
      </c>
      <c r="R34" s="88"/>
    </row>
    <row r="35" spans="1:18" ht="18">
      <c r="A35" s="107" t="s">
        <v>93</v>
      </c>
      <c r="B35" s="239">
        <f>0.082*B33^-0.3*$B$31</f>
        <v>16.917944106135387</v>
      </c>
      <c r="C35" s="239">
        <f>0.082*C33^-0.3*$B$31</f>
        <v>19.479759046070704</v>
      </c>
      <c r="D35" s="109" t="s">
        <v>18</v>
      </c>
      <c r="H35" s="238"/>
      <c r="I35" s="238"/>
      <c r="N35" s="249" t="s">
        <v>241</v>
      </c>
      <c r="O35" s="102">
        <v>60</v>
      </c>
      <c r="P35" s="102">
        <f t="shared" si="9"/>
        <v>-10</v>
      </c>
      <c r="Q35" s="189">
        <f>IF(Bemessung!$B$29="RICON 80/30 EA A2",O35/(O35-P35),0)</f>
        <v>0</v>
      </c>
      <c r="R35" s="88"/>
    </row>
    <row r="36" spans="1:18">
      <c r="A36" s="90"/>
      <c r="D36" s="106"/>
      <c r="N36" s="248" t="s">
        <v>242</v>
      </c>
      <c r="O36" s="99">
        <v>80</v>
      </c>
      <c r="P36" s="99">
        <f t="shared" si="9"/>
        <v>-10</v>
      </c>
      <c r="Q36" s="151">
        <f>IF(Bemessung!$B$29="RICON 100/30 EA A2",O36/(O36-P36),0)</f>
        <v>0.88888888888888884</v>
      </c>
      <c r="R36" s="88"/>
    </row>
    <row r="37" spans="1:18">
      <c r="A37" s="90"/>
      <c r="N37" s="249" t="s">
        <v>243</v>
      </c>
      <c r="O37" s="102">
        <v>100</v>
      </c>
      <c r="P37" s="102">
        <f t="shared" si="9"/>
        <v>-10</v>
      </c>
      <c r="Q37" s="189">
        <f>IF(Bemessung!$B$29="RICON 120/30 EA a2",O37/(O37-P37),0)</f>
        <v>0</v>
      </c>
      <c r="R37" s="88"/>
    </row>
    <row r="38" spans="1:18" ht="18">
      <c r="A38" s="91" t="s">
        <v>28</v>
      </c>
      <c r="B38" s="190" t="s">
        <v>47</v>
      </c>
      <c r="C38" s="190" t="s">
        <v>35</v>
      </c>
      <c r="D38" s="190" t="s">
        <v>48</v>
      </c>
      <c r="E38" s="190" t="s">
        <v>49</v>
      </c>
      <c r="F38" s="190" t="s">
        <v>50</v>
      </c>
      <c r="G38" s="190" t="s">
        <v>47</v>
      </c>
      <c r="H38" s="190" t="s">
        <v>35</v>
      </c>
      <c r="I38" s="190" t="s">
        <v>48</v>
      </c>
      <c r="J38" s="190" t="s">
        <v>49</v>
      </c>
      <c r="K38" s="190" t="s">
        <v>50</v>
      </c>
      <c r="L38" s="190" t="s">
        <v>51</v>
      </c>
      <c r="N38" s="248" t="s">
        <v>244</v>
      </c>
      <c r="O38" s="99">
        <v>120</v>
      </c>
      <c r="P38" s="99">
        <f t="shared" si="9"/>
        <v>-10</v>
      </c>
      <c r="Q38" s="151">
        <f>IF(Bemessung!$B$29="RICON 140/30 EA A2",O38/(O38-P38),0)</f>
        <v>0</v>
      </c>
      <c r="R38" s="88"/>
    </row>
    <row r="39" spans="1:18">
      <c r="A39" s="95"/>
      <c r="B39" s="191" t="s">
        <v>40</v>
      </c>
      <c r="C39" s="191" t="s">
        <v>16</v>
      </c>
      <c r="D39" s="191" t="s">
        <v>16</v>
      </c>
      <c r="E39" s="191" t="s">
        <v>39</v>
      </c>
      <c r="F39" s="191" t="s">
        <v>39</v>
      </c>
      <c r="G39" s="191" t="s">
        <v>40</v>
      </c>
      <c r="H39" s="191" t="s">
        <v>16</v>
      </c>
      <c r="I39" s="191" t="s">
        <v>16</v>
      </c>
      <c r="J39" s="191" t="s">
        <v>39</v>
      </c>
      <c r="K39" s="191" t="s">
        <v>39</v>
      </c>
      <c r="L39" s="192" t="s">
        <v>39</v>
      </c>
      <c r="N39" s="312" t="s">
        <v>245</v>
      </c>
      <c r="O39" s="313">
        <v>140</v>
      </c>
      <c r="P39" s="313">
        <f t="shared" si="9"/>
        <v>-10</v>
      </c>
      <c r="Q39" s="314">
        <f>IF(Bemessung!$B$29="RICON 160/30 EA A2",O39/(O39-P39),0)</f>
        <v>0</v>
      </c>
      <c r="R39" s="88"/>
    </row>
    <row r="40" spans="1:18">
      <c r="A40" s="248" t="s">
        <v>234</v>
      </c>
      <c r="B40" s="99">
        <v>1</v>
      </c>
      <c r="C40" s="99">
        <v>8</v>
      </c>
      <c r="D40" s="100">
        <f>Berechnungstabellen!J21-15</f>
        <v>65</v>
      </c>
      <c r="E40" s="151">
        <f>(0.3*0.52*SQRT($C40)*(D40)^0.9*$B$31^0.8)/1000</f>
        <v>2.2113638026311735</v>
      </c>
      <c r="F40" s="151">
        <f t="shared" ref="F40:F45" si="10">MIN($D40*$B$33*$B$34/1000,(2.3*SQRT($B$32*$B$33*$B$34))/1000+(E40/4),$B$34*$D40*$B$33*(SQRT(2+4*$B$32/($B$34*$D40^2*$B$33))-1)/1000+E40/4)</f>
        <v>2.3267353614878385</v>
      </c>
      <c r="G40" s="99">
        <v>2</v>
      </c>
      <c r="H40" s="99">
        <v>5</v>
      </c>
      <c r="I40" s="100">
        <f>Berechnungstabellen!M21-10</f>
        <v>70</v>
      </c>
      <c r="J40" s="151">
        <f>($J$52*0.52*SQRT($H40)*(I40)^0.9*$B$31^0.8)/1000</f>
        <v>1.8688154683555778</v>
      </c>
      <c r="K40" s="151">
        <f t="shared" ref="K40:K45" si="11">MIN($C$34*$I40*$C$33/1000,(2.3*SQRT($C$32*$C$33*$C$34))/1000+(J40/4),$C$34*$I40*$C$33*(SQRT(2+4*$C$32/($C$34*$I40^2*$C$33)-1)/1000+J40/4))</f>
        <v>1.4194757521682992</v>
      </c>
      <c r="L40" s="151">
        <f t="shared" ref="L40:L45" si="12">B40*F40+G40*K40</f>
        <v>5.165686865824437</v>
      </c>
      <c r="N40" s="305"/>
      <c r="O40" s="315"/>
      <c r="P40" s="316"/>
      <c r="Q40" s="316"/>
      <c r="R40" s="88"/>
    </row>
    <row r="41" spans="1:18">
      <c r="A41" s="249" t="s">
        <v>235</v>
      </c>
      <c r="B41" s="102">
        <v>2</v>
      </c>
      <c r="C41" s="102">
        <v>8</v>
      </c>
      <c r="D41" s="100">
        <f>Berechnungstabellen!J22-15</f>
        <v>65</v>
      </c>
      <c r="E41" s="189">
        <f t="shared" ref="E41:E51" si="13">(0.3*0.52*SQRT($C41)*(D41)^0.9*$B$31^0.8)/1000</f>
        <v>2.2113638026311735</v>
      </c>
      <c r="F41" s="189">
        <f t="shared" si="10"/>
        <v>2.3267353614878385</v>
      </c>
      <c r="G41" s="102">
        <v>2</v>
      </c>
      <c r="H41" s="102">
        <v>5</v>
      </c>
      <c r="I41" s="100">
        <f>Berechnungstabellen!M22-10</f>
        <v>70</v>
      </c>
      <c r="J41" s="189">
        <f t="shared" ref="J41:J51" si="14">($J$52*0.52*SQRT($H41)*(I41)^0.9*$B$31^0.8)/1000</f>
        <v>1.8688154683555778</v>
      </c>
      <c r="K41" s="189">
        <f t="shared" si="11"/>
        <v>1.4194757521682992</v>
      </c>
      <c r="L41" s="189">
        <f t="shared" si="12"/>
        <v>7.4924222273122751</v>
      </c>
      <c r="N41" s="251"/>
      <c r="O41" s="297"/>
      <c r="P41" s="298"/>
      <c r="Q41" s="298"/>
      <c r="R41" s="88"/>
    </row>
    <row r="42" spans="1:18">
      <c r="A42" s="248" t="s">
        <v>236</v>
      </c>
      <c r="B42" s="99">
        <v>2</v>
      </c>
      <c r="C42" s="99">
        <v>8</v>
      </c>
      <c r="D42" s="100">
        <f>Berechnungstabellen!J23-15</f>
        <v>65</v>
      </c>
      <c r="E42" s="151">
        <f t="shared" si="13"/>
        <v>2.2113638026311735</v>
      </c>
      <c r="F42" s="151">
        <f t="shared" si="10"/>
        <v>2.3267353614878385</v>
      </c>
      <c r="G42" s="99">
        <v>4</v>
      </c>
      <c r="H42" s="99">
        <v>5</v>
      </c>
      <c r="I42" s="100">
        <f>Berechnungstabellen!M23-10</f>
        <v>70</v>
      </c>
      <c r="J42" s="151">
        <f t="shared" si="14"/>
        <v>1.8688154683555778</v>
      </c>
      <c r="K42" s="151">
        <f t="shared" si="11"/>
        <v>1.4194757521682992</v>
      </c>
      <c r="L42" s="151">
        <f t="shared" si="12"/>
        <v>10.331373731648874</v>
      </c>
      <c r="M42" s="111"/>
      <c r="P42" s="88"/>
      <c r="Q42" s="88"/>
      <c r="R42" s="88"/>
    </row>
    <row r="43" spans="1:18">
      <c r="A43" s="249" t="s">
        <v>237</v>
      </c>
      <c r="B43" s="102">
        <v>2</v>
      </c>
      <c r="C43" s="102">
        <v>8</v>
      </c>
      <c r="D43" s="100">
        <f>Berechnungstabellen!J24-15</f>
        <v>65</v>
      </c>
      <c r="E43" s="189">
        <f t="shared" si="13"/>
        <v>2.2113638026311735</v>
      </c>
      <c r="F43" s="189">
        <f t="shared" si="10"/>
        <v>2.3267353614878385</v>
      </c>
      <c r="G43" s="102">
        <v>6</v>
      </c>
      <c r="H43" s="102">
        <v>5</v>
      </c>
      <c r="I43" s="100">
        <f>Berechnungstabellen!M24-10</f>
        <v>70</v>
      </c>
      <c r="J43" s="189">
        <f t="shared" si="14"/>
        <v>1.8688154683555778</v>
      </c>
      <c r="K43" s="189">
        <f t="shared" si="11"/>
        <v>1.4194757521682992</v>
      </c>
      <c r="L43" s="189">
        <f t="shared" si="12"/>
        <v>13.170325235985473</v>
      </c>
      <c r="M43" s="112"/>
      <c r="P43" s="88"/>
      <c r="Q43" s="88"/>
      <c r="R43" s="88"/>
    </row>
    <row r="44" spans="1:18">
      <c r="A44" s="248" t="s">
        <v>238</v>
      </c>
      <c r="B44" s="99">
        <v>2</v>
      </c>
      <c r="C44" s="99">
        <v>8</v>
      </c>
      <c r="D44" s="100">
        <f>Berechnungstabellen!J25-15</f>
        <v>65</v>
      </c>
      <c r="E44" s="151">
        <f t="shared" si="13"/>
        <v>2.2113638026311735</v>
      </c>
      <c r="F44" s="151">
        <f t="shared" si="10"/>
        <v>2.3267353614878385</v>
      </c>
      <c r="G44" s="99">
        <v>8</v>
      </c>
      <c r="H44" s="99">
        <v>5</v>
      </c>
      <c r="I44" s="100">
        <f>Berechnungstabellen!M25-10</f>
        <v>70</v>
      </c>
      <c r="J44" s="151">
        <f t="shared" si="14"/>
        <v>1.8688154683555778</v>
      </c>
      <c r="K44" s="151">
        <f t="shared" si="11"/>
        <v>1.4194757521682992</v>
      </c>
      <c r="L44" s="151">
        <f t="shared" si="12"/>
        <v>16.009276740322072</v>
      </c>
      <c r="P44" s="88"/>
      <c r="Q44" s="88"/>
      <c r="R44" s="88"/>
    </row>
    <row r="45" spans="1:18" ht="16.5" thickBot="1">
      <c r="A45" s="292" t="s">
        <v>239</v>
      </c>
      <c r="B45" s="302">
        <v>2</v>
      </c>
      <c r="C45" s="325">
        <v>8</v>
      </c>
      <c r="D45" s="326">
        <f>Berechnungstabellen!J26-15</f>
        <v>65</v>
      </c>
      <c r="E45" s="303">
        <f t="shared" si="13"/>
        <v>2.2113638026311735</v>
      </c>
      <c r="F45" s="303">
        <f t="shared" si="10"/>
        <v>2.3267353614878385</v>
      </c>
      <c r="G45" s="325">
        <v>10</v>
      </c>
      <c r="H45" s="325">
        <v>5</v>
      </c>
      <c r="I45" s="326">
        <f>Berechnungstabellen!M26-10</f>
        <v>70</v>
      </c>
      <c r="J45" s="303">
        <f t="shared" si="14"/>
        <v>1.8688154683555778</v>
      </c>
      <c r="K45" s="303">
        <f t="shared" si="11"/>
        <v>1.4194757521682992</v>
      </c>
      <c r="L45" s="303">
        <f t="shared" si="12"/>
        <v>18.848228244658671</v>
      </c>
      <c r="M45" s="111"/>
      <c r="P45" s="88"/>
      <c r="Q45" s="88"/>
      <c r="R45" s="88"/>
    </row>
    <row r="46" spans="1:18" ht="16.5" thickTop="1">
      <c r="A46" s="291" t="s">
        <v>240</v>
      </c>
      <c r="B46" s="300">
        <v>1</v>
      </c>
      <c r="C46" s="300">
        <v>8</v>
      </c>
      <c r="D46" s="323">
        <f>Berechnungstabellen!J27-15</f>
        <v>65</v>
      </c>
      <c r="E46" s="301">
        <f t="shared" si="13"/>
        <v>2.2113638026311735</v>
      </c>
      <c r="F46" s="301">
        <f t="shared" ref="F46:F51" si="15">MIN($D46*$B$33*$B$34/1000,(2.3*SQRT($B$32*$B$33*$B$34))/1000+(E46/4),$B$34*$D46*$B$33*(SQRT(2+4*$B$32/($B$34*$D46^2*$B$33))-1)/1000+E46/4)</f>
        <v>2.3267353614878385</v>
      </c>
      <c r="G46" s="300">
        <v>2</v>
      </c>
      <c r="H46" s="300">
        <v>5</v>
      </c>
      <c r="I46" s="323">
        <f>Berechnungstabellen!M27-10</f>
        <v>70</v>
      </c>
      <c r="J46" s="301">
        <f t="shared" si="14"/>
        <v>1.8688154683555778</v>
      </c>
      <c r="K46" s="301">
        <f t="shared" ref="K46:K51" si="16">MIN($C$34*$I46*$C$33/1000,(2.3*SQRT($C$32*$C$33*$C$34))/1000+(J46/4),$C$34*$I46*$C$33*(SQRT(2+4*$C$32/($C$34*$I46^2*$C$33)-1)/1000+J46/4))</f>
        <v>1.4194757521682992</v>
      </c>
      <c r="L46" s="301">
        <f t="shared" ref="L46:L51" si="17">B46*F46+G46*K46</f>
        <v>5.165686865824437</v>
      </c>
      <c r="M46" s="111"/>
      <c r="P46" s="88"/>
      <c r="Q46" s="88"/>
      <c r="R46" s="88"/>
    </row>
    <row r="47" spans="1:18">
      <c r="A47" s="249" t="s">
        <v>241</v>
      </c>
      <c r="B47" s="102">
        <v>2</v>
      </c>
      <c r="C47" s="102">
        <v>8</v>
      </c>
      <c r="D47" s="100">
        <f>Berechnungstabellen!J28-15</f>
        <v>65</v>
      </c>
      <c r="E47" s="189">
        <f t="shared" si="13"/>
        <v>2.2113638026311735</v>
      </c>
      <c r="F47" s="189">
        <f t="shared" si="15"/>
        <v>2.3267353614878385</v>
      </c>
      <c r="G47" s="102">
        <v>2</v>
      </c>
      <c r="H47" s="102">
        <v>5</v>
      </c>
      <c r="I47" s="100">
        <f>Berechnungstabellen!M28-10</f>
        <v>70</v>
      </c>
      <c r="J47" s="189">
        <f t="shared" si="14"/>
        <v>1.8688154683555778</v>
      </c>
      <c r="K47" s="189">
        <f t="shared" si="16"/>
        <v>1.4194757521682992</v>
      </c>
      <c r="L47" s="189">
        <f t="shared" si="17"/>
        <v>7.4924222273122751</v>
      </c>
      <c r="M47" s="111"/>
      <c r="P47" s="88"/>
      <c r="Q47" s="88"/>
      <c r="R47" s="88"/>
    </row>
    <row r="48" spans="1:18">
      <c r="A48" s="248" t="s">
        <v>242</v>
      </c>
      <c r="B48" s="99">
        <v>2</v>
      </c>
      <c r="C48" s="99">
        <v>8</v>
      </c>
      <c r="D48" s="100">
        <f>Berechnungstabellen!J29-15</f>
        <v>65</v>
      </c>
      <c r="E48" s="151">
        <f t="shared" si="13"/>
        <v>2.2113638026311735</v>
      </c>
      <c r="F48" s="151">
        <f t="shared" si="15"/>
        <v>2.3267353614878385</v>
      </c>
      <c r="G48" s="99">
        <v>4</v>
      </c>
      <c r="H48" s="99">
        <v>5</v>
      </c>
      <c r="I48" s="100">
        <f>Berechnungstabellen!M29-10</f>
        <v>70</v>
      </c>
      <c r="J48" s="151">
        <f t="shared" si="14"/>
        <v>1.8688154683555778</v>
      </c>
      <c r="K48" s="151">
        <f t="shared" si="16"/>
        <v>1.4194757521682992</v>
      </c>
      <c r="L48" s="151">
        <f t="shared" si="17"/>
        <v>10.331373731648874</v>
      </c>
      <c r="M48" s="111"/>
      <c r="P48" s="88"/>
      <c r="Q48" s="88"/>
      <c r="R48" s="88"/>
    </row>
    <row r="49" spans="1:37">
      <c r="A49" s="249" t="s">
        <v>243</v>
      </c>
      <c r="B49" s="102">
        <v>2</v>
      </c>
      <c r="C49" s="102">
        <v>8</v>
      </c>
      <c r="D49" s="100">
        <f>Berechnungstabellen!J30-15</f>
        <v>65</v>
      </c>
      <c r="E49" s="189">
        <f t="shared" si="13"/>
        <v>2.2113638026311735</v>
      </c>
      <c r="F49" s="189">
        <f t="shared" si="15"/>
        <v>2.3267353614878385</v>
      </c>
      <c r="G49" s="102">
        <v>6</v>
      </c>
      <c r="H49" s="102">
        <v>5</v>
      </c>
      <c r="I49" s="100">
        <f>Berechnungstabellen!M30-10</f>
        <v>70</v>
      </c>
      <c r="J49" s="189">
        <f t="shared" si="14"/>
        <v>1.8688154683555778</v>
      </c>
      <c r="K49" s="189">
        <f t="shared" si="16"/>
        <v>1.4194757521682992</v>
      </c>
      <c r="L49" s="189">
        <f t="shared" si="17"/>
        <v>13.170325235985473</v>
      </c>
      <c r="M49" s="111"/>
      <c r="P49" s="88"/>
      <c r="Q49" s="88"/>
      <c r="R49" s="88"/>
    </row>
    <row r="50" spans="1:37">
      <c r="A50" s="248" t="s">
        <v>244</v>
      </c>
      <c r="B50" s="99">
        <v>2</v>
      </c>
      <c r="C50" s="99">
        <v>8</v>
      </c>
      <c r="D50" s="100">
        <f>Berechnungstabellen!J31-15</f>
        <v>65</v>
      </c>
      <c r="E50" s="151">
        <f t="shared" si="13"/>
        <v>2.2113638026311735</v>
      </c>
      <c r="F50" s="151">
        <f t="shared" si="15"/>
        <v>2.3267353614878385</v>
      </c>
      <c r="G50" s="99">
        <v>8</v>
      </c>
      <c r="H50" s="99">
        <v>5</v>
      </c>
      <c r="I50" s="100">
        <f>Berechnungstabellen!M31-10</f>
        <v>70</v>
      </c>
      <c r="J50" s="151">
        <f t="shared" si="14"/>
        <v>1.8688154683555778</v>
      </c>
      <c r="K50" s="151">
        <f t="shared" si="16"/>
        <v>1.4194757521682992</v>
      </c>
      <c r="L50" s="151">
        <f t="shared" si="17"/>
        <v>16.009276740322072</v>
      </c>
      <c r="M50" s="111"/>
      <c r="P50" s="88"/>
      <c r="Q50" s="88"/>
      <c r="R50" s="88"/>
    </row>
    <row r="51" spans="1:37">
      <c r="A51" s="249" t="s">
        <v>245</v>
      </c>
      <c r="B51" s="102">
        <v>2</v>
      </c>
      <c r="C51" s="102">
        <v>8</v>
      </c>
      <c r="D51" s="100">
        <f>Berechnungstabellen!J32-15</f>
        <v>65</v>
      </c>
      <c r="E51" s="189">
        <f t="shared" si="13"/>
        <v>2.2113638026311735</v>
      </c>
      <c r="F51" s="189">
        <f t="shared" si="15"/>
        <v>2.3267353614878385</v>
      </c>
      <c r="G51" s="102">
        <v>10</v>
      </c>
      <c r="H51" s="102">
        <v>5</v>
      </c>
      <c r="I51" s="100">
        <f>Berechnungstabellen!M32-10</f>
        <v>70</v>
      </c>
      <c r="J51" s="189">
        <f t="shared" si="14"/>
        <v>1.8688154683555778</v>
      </c>
      <c r="K51" s="189">
        <f t="shared" si="16"/>
        <v>1.4194757521682992</v>
      </c>
      <c r="L51" s="189">
        <f t="shared" si="17"/>
        <v>18.848228244658671</v>
      </c>
      <c r="M51" s="111"/>
      <c r="P51" s="88"/>
      <c r="Q51" s="88"/>
      <c r="R51" s="88"/>
    </row>
    <row r="52" spans="1:37" ht="15" customHeight="1">
      <c r="B52" s="194"/>
      <c r="F52" s="200"/>
      <c r="G52" s="194"/>
      <c r="I52" s="102" t="s">
        <v>259</v>
      </c>
      <c r="J52" s="189">
        <f>J23</f>
        <v>0.3</v>
      </c>
      <c r="L52" s="200"/>
      <c r="P52" s="88"/>
      <c r="Q52" s="88"/>
      <c r="R52" s="88"/>
      <c r="U52" s="116"/>
      <c r="V52" s="117"/>
      <c r="W52" s="118"/>
      <c r="X52" s="119"/>
      <c r="Y52" s="114"/>
      <c r="Z52" s="114"/>
      <c r="AA52" s="114"/>
      <c r="AB52" s="114"/>
      <c r="AC52" s="115"/>
      <c r="AD52" s="116"/>
      <c r="AE52" s="117"/>
      <c r="AF52" s="118"/>
      <c r="AG52" s="119"/>
      <c r="AH52" s="114"/>
      <c r="AI52" s="114"/>
      <c r="AJ52" s="114"/>
      <c r="AK52" s="114"/>
    </row>
    <row r="53" spans="1:37">
      <c r="B53" s="194"/>
      <c r="F53" s="200"/>
      <c r="G53" s="194"/>
      <c r="J53" s="138"/>
      <c r="K53" s="200"/>
      <c r="L53" s="200"/>
      <c r="P53" s="88"/>
      <c r="Q53" s="88"/>
      <c r="R53" s="88"/>
      <c r="U53" s="116"/>
      <c r="V53" s="117"/>
      <c r="W53" s="118"/>
      <c r="X53" s="119"/>
      <c r="Y53" s="120"/>
      <c r="Z53" s="120"/>
      <c r="AA53" s="120"/>
      <c r="AB53" s="120"/>
      <c r="AC53" s="115"/>
      <c r="AD53" s="116"/>
      <c r="AE53" s="117"/>
      <c r="AF53" s="118"/>
      <c r="AG53" s="119"/>
      <c r="AH53" s="120"/>
      <c r="AI53" s="120"/>
      <c r="AJ53" s="120"/>
      <c r="AK53" s="120"/>
    </row>
    <row r="54" spans="1:37" ht="18" customHeight="1">
      <c r="A54" s="91" t="s">
        <v>28</v>
      </c>
      <c r="B54" s="195" t="s">
        <v>47</v>
      </c>
      <c r="C54" s="92" t="s">
        <v>35</v>
      </c>
      <c r="D54" s="92" t="s">
        <v>48</v>
      </c>
      <c r="E54" s="92" t="s">
        <v>52</v>
      </c>
      <c r="F54" s="197" t="s">
        <v>53</v>
      </c>
      <c r="G54" s="195" t="s">
        <v>47</v>
      </c>
      <c r="H54" s="92" t="s">
        <v>35</v>
      </c>
      <c r="I54" s="92" t="s">
        <v>48</v>
      </c>
      <c r="J54" s="197" t="s">
        <v>52</v>
      </c>
      <c r="K54" s="197" t="s">
        <v>53</v>
      </c>
      <c r="L54" s="197" t="s">
        <v>54</v>
      </c>
      <c r="P54" s="88"/>
      <c r="Q54" s="88"/>
      <c r="R54" s="88"/>
      <c r="U54" s="121"/>
      <c r="V54" s="113"/>
      <c r="W54" s="122"/>
      <c r="X54" s="123"/>
      <c r="Y54" s="124"/>
      <c r="Z54" s="124"/>
      <c r="AA54" s="124"/>
      <c r="AB54" s="124"/>
      <c r="AC54" s="115"/>
      <c r="AD54" s="121"/>
      <c r="AE54" s="113"/>
      <c r="AF54" s="122"/>
      <c r="AG54" s="123"/>
      <c r="AH54" s="125"/>
      <c r="AI54" s="125"/>
      <c r="AJ54" s="125"/>
      <c r="AK54" s="125"/>
    </row>
    <row r="55" spans="1:37">
      <c r="A55" s="95"/>
      <c r="B55" s="196" t="s">
        <v>40</v>
      </c>
      <c r="C55" s="96" t="s">
        <v>16</v>
      </c>
      <c r="D55" s="96" t="s">
        <v>16</v>
      </c>
      <c r="E55" s="96" t="s">
        <v>39</v>
      </c>
      <c r="F55" s="198" t="s">
        <v>39</v>
      </c>
      <c r="G55" s="196" t="s">
        <v>40</v>
      </c>
      <c r="H55" s="96" t="s">
        <v>16</v>
      </c>
      <c r="I55" s="96" t="s">
        <v>16</v>
      </c>
      <c r="J55" s="198" t="s">
        <v>39</v>
      </c>
      <c r="K55" s="198" t="s">
        <v>39</v>
      </c>
      <c r="L55" s="199" t="s">
        <v>39</v>
      </c>
      <c r="P55" s="88"/>
      <c r="Q55" s="88"/>
      <c r="R55" s="88"/>
      <c r="U55" s="121"/>
      <c r="V55" s="113"/>
      <c r="W55" s="122"/>
      <c r="X55" s="123"/>
      <c r="Y55" s="124"/>
      <c r="Z55" s="124"/>
      <c r="AA55" s="124"/>
      <c r="AB55" s="124"/>
      <c r="AC55" s="115"/>
      <c r="AD55" s="121"/>
      <c r="AE55" s="113"/>
      <c r="AF55" s="122"/>
      <c r="AG55" s="123"/>
      <c r="AH55" s="125"/>
      <c r="AI55" s="125"/>
      <c r="AJ55" s="125"/>
      <c r="AK55" s="125"/>
    </row>
    <row r="56" spans="1:37">
      <c r="A56" s="248" t="s">
        <v>234</v>
      </c>
      <c r="B56" s="99">
        <v>1</v>
      </c>
      <c r="C56" s="99">
        <v>8</v>
      </c>
      <c r="D56" s="99">
        <v>35</v>
      </c>
      <c r="E56" s="151">
        <f>(0.52*SQRT($B$33)*(D56)^0.9*$B$31^0.8)/1000</f>
        <v>4.2225826668958426</v>
      </c>
      <c r="F56" s="151">
        <f t="shared" ref="F56:F61" si="18">MIN($B$32*$B$33*$B$35/1000,(2.3*SQRT($B$32*$B$33*$B$35))/1000+(E56/4),$B$35*$D56*$B$33*(SQRT(2+4*$B$32/($B$35*$D56^2*$B$33))-1)/1000+E56/4)</f>
        <v>3.5986908599833538</v>
      </c>
      <c r="G56" s="99">
        <v>2</v>
      </c>
      <c r="H56" s="99">
        <v>5</v>
      </c>
      <c r="I56" s="99">
        <v>40</v>
      </c>
      <c r="J56" s="151">
        <f>(0.52*SQRT($H56)*(I56)^0.9*$B$31^0.8)/1000</f>
        <v>3.7645313796964266</v>
      </c>
      <c r="K56" s="151">
        <f t="shared" ref="K56:K61" si="19">MIN($C$35*$I56*$C$33/1000,(2.3*SQRT($C$32*$C$33*$C$35))/1000+(J56/4),$C$35*$I56*$C$33*(SQRT(2+4*$C$32/($C$35*$I56^2*$C$33)-1)/1000+J56/4))</f>
        <v>2.4468068992206229</v>
      </c>
      <c r="L56" s="151">
        <f t="shared" ref="L56:L61" si="20">B56*F56+G56*K56</f>
        <v>8.4923046584245991</v>
      </c>
      <c r="P56" s="88"/>
      <c r="Q56" s="88"/>
      <c r="R56" s="88"/>
      <c r="U56" s="121"/>
      <c r="V56" s="113"/>
      <c r="W56" s="122"/>
      <c r="X56" s="123"/>
      <c r="Y56" s="124"/>
      <c r="Z56" s="124"/>
      <c r="AA56" s="124"/>
      <c r="AB56" s="124"/>
      <c r="AC56" s="115"/>
      <c r="AD56" s="121"/>
      <c r="AE56" s="113"/>
      <c r="AF56" s="122"/>
      <c r="AG56" s="123"/>
      <c r="AH56" s="125"/>
      <c r="AI56" s="125"/>
      <c r="AJ56" s="125"/>
      <c r="AK56" s="125"/>
    </row>
    <row r="57" spans="1:37">
      <c r="A57" s="249" t="s">
        <v>235</v>
      </c>
      <c r="B57" s="102">
        <v>2</v>
      </c>
      <c r="C57" s="102">
        <v>8</v>
      </c>
      <c r="D57" s="102">
        <v>35</v>
      </c>
      <c r="E57" s="189">
        <f t="shared" ref="E57:E67" si="21">(0.52*SQRT($B$33)*(D57)^0.9*$B$31^0.8)/1000</f>
        <v>4.2225826668958426</v>
      </c>
      <c r="F57" s="189">
        <f t="shared" si="18"/>
        <v>3.5986908599833538</v>
      </c>
      <c r="G57" s="102">
        <v>2</v>
      </c>
      <c r="H57" s="102">
        <v>5</v>
      </c>
      <c r="I57" s="102">
        <v>40</v>
      </c>
      <c r="J57" s="189">
        <f t="shared" ref="J57:J67" si="22">(0.52*SQRT($H57)*(I57)^0.9*$B$31^0.8)/1000</f>
        <v>3.7645313796964266</v>
      </c>
      <c r="K57" s="189">
        <f t="shared" si="19"/>
        <v>2.4468068992206229</v>
      </c>
      <c r="L57" s="189">
        <f t="shared" si="20"/>
        <v>12.090995518407954</v>
      </c>
      <c r="P57" s="88"/>
      <c r="Q57" s="88"/>
      <c r="R57" s="88"/>
      <c r="U57" s="121"/>
      <c r="V57" s="113"/>
      <c r="W57" s="122"/>
      <c r="X57" s="123"/>
      <c r="Y57" s="124"/>
      <c r="Z57" s="124"/>
      <c r="AA57" s="124"/>
      <c r="AB57" s="124"/>
      <c r="AC57" s="115"/>
      <c r="AD57" s="121"/>
      <c r="AE57" s="113"/>
      <c r="AF57" s="122"/>
      <c r="AG57" s="123"/>
      <c r="AH57" s="125"/>
      <c r="AI57" s="125"/>
      <c r="AJ57" s="125"/>
      <c r="AK57" s="125"/>
    </row>
    <row r="58" spans="1:37">
      <c r="A58" s="248" t="s">
        <v>236</v>
      </c>
      <c r="B58" s="99">
        <v>2</v>
      </c>
      <c r="C58" s="99">
        <v>8</v>
      </c>
      <c r="D58" s="99">
        <v>35</v>
      </c>
      <c r="E58" s="151">
        <f t="shared" si="21"/>
        <v>4.2225826668958426</v>
      </c>
      <c r="F58" s="151">
        <f t="shared" si="18"/>
        <v>3.5986908599833538</v>
      </c>
      <c r="G58" s="99">
        <v>4</v>
      </c>
      <c r="H58" s="99">
        <v>5</v>
      </c>
      <c r="I58" s="99">
        <v>40</v>
      </c>
      <c r="J58" s="151">
        <f t="shared" si="22"/>
        <v>3.7645313796964266</v>
      </c>
      <c r="K58" s="151">
        <f t="shared" si="19"/>
        <v>2.4468068992206229</v>
      </c>
      <c r="L58" s="151">
        <f t="shared" si="20"/>
        <v>16.984609316849198</v>
      </c>
      <c r="M58" s="111"/>
      <c r="P58" s="88"/>
      <c r="Q58" s="88"/>
      <c r="R58" s="88"/>
      <c r="U58" s="121"/>
      <c r="V58" s="113"/>
      <c r="W58" s="122"/>
      <c r="X58" s="123"/>
      <c r="Y58" s="124"/>
      <c r="Z58" s="124"/>
      <c r="AA58" s="124"/>
      <c r="AB58" s="124"/>
      <c r="AC58" s="115"/>
      <c r="AD58" s="121"/>
      <c r="AE58" s="113"/>
      <c r="AF58" s="122"/>
      <c r="AG58" s="123"/>
      <c r="AH58" s="125"/>
      <c r="AI58" s="125"/>
      <c r="AJ58" s="125"/>
      <c r="AK58" s="125"/>
    </row>
    <row r="59" spans="1:37">
      <c r="A59" s="249" t="s">
        <v>237</v>
      </c>
      <c r="B59" s="102">
        <v>2</v>
      </c>
      <c r="C59" s="102">
        <v>8</v>
      </c>
      <c r="D59" s="102">
        <v>35</v>
      </c>
      <c r="E59" s="189">
        <f t="shared" si="21"/>
        <v>4.2225826668958426</v>
      </c>
      <c r="F59" s="189">
        <f t="shared" si="18"/>
        <v>3.5986908599833538</v>
      </c>
      <c r="G59" s="102">
        <v>6</v>
      </c>
      <c r="H59" s="102">
        <v>5</v>
      </c>
      <c r="I59" s="102">
        <v>40</v>
      </c>
      <c r="J59" s="189">
        <f t="shared" si="22"/>
        <v>3.7645313796964266</v>
      </c>
      <c r="K59" s="189">
        <f t="shared" si="19"/>
        <v>2.4468068992206229</v>
      </c>
      <c r="L59" s="189">
        <f t="shared" si="20"/>
        <v>21.878223115290446</v>
      </c>
      <c r="M59" s="112"/>
      <c r="P59" s="88"/>
      <c r="Q59" s="88"/>
      <c r="R59" s="88"/>
      <c r="U59" s="121"/>
      <c r="V59" s="113"/>
      <c r="W59" s="122"/>
      <c r="X59" s="123"/>
      <c r="Y59" s="124"/>
      <c r="Z59" s="124"/>
      <c r="AA59" s="124"/>
      <c r="AB59" s="124"/>
      <c r="AC59" s="115"/>
      <c r="AD59" s="121"/>
      <c r="AE59" s="113"/>
      <c r="AF59" s="122"/>
      <c r="AG59" s="123"/>
      <c r="AH59" s="125"/>
      <c r="AI59" s="125"/>
      <c r="AJ59" s="125"/>
      <c r="AK59" s="125"/>
    </row>
    <row r="60" spans="1:37">
      <c r="A60" s="248" t="s">
        <v>238</v>
      </c>
      <c r="B60" s="99">
        <v>2</v>
      </c>
      <c r="C60" s="99">
        <v>8</v>
      </c>
      <c r="D60" s="99">
        <v>35</v>
      </c>
      <c r="E60" s="151">
        <f t="shared" si="21"/>
        <v>4.2225826668958426</v>
      </c>
      <c r="F60" s="151">
        <f t="shared" si="18"/>
        <v>3.5986908599833538</v>
      </c>
      <c r="G60" s="99">
        <v>8</v>
      </c>
      <c r="H60" s="99">
        <v>5</v>
      </c>
      <c r="I60" s="99">
        <v>40</v>
      </c>
      <c r="J60" s="151">
        <f t="shared" si="22"/>
        <v>3.7645313796964266</v>
      </c>
      <c r="K60" s="151">
        <f t="shared" si="19"/>
        <v>2.4468068992206229</v>
      </c>
      <c r="L60" s="151">
        <f t="shared" si="20"/>
        <v>26.77183691373169</v>
      </c>
      <c r="P60" s="88"/>
      <c r="Q60" s="88"/>
      <c r="R60" s="88"/>
      <c r="U60" s="121"/>
      <c r="V60" s="113"/>
      <c r="W60" s="122"/>
      <c r="X60" s="123"/>
      <c r="Y60" s="124"/>
      <c r="Z60" s="124"/>
      <c r="AA60" s="124"/>
      <c r="AB60" s="124"/>
      <c r="AC60" s="115"/>
      <c r="AD60" s="121"/>
      <c r="AE60" s="113"/>
      <c r="AF60" s="122"/>
      <c r="AG60" s="123"/>
      <c r="AH60" s="125"/>
      <c r="AI60" s="125"/>
      <c r="AJ60" s="125"/>
      <c r="AK60" s="125"/>
    </row>
    <row r="61" spans="1:37" ht="16.5" thickBot="1">
      <c r="A61" s="292" t="s">
        <v>239</v>
      </c>
      <c r="B61" s="102">
        <v>2</v>
      </c>
      <c r="C61" s="102">
        <v>8</v>
      </c>
      <c r="D61" s="102">
        <v>35</v>
      </c>
      <c r="E61" s="189">
        <f t="shared" si="21"/>
        <v>4.2225826668958426</v>
      </c>
      <c r="F61" s="189">
        <f t="shared" si="18"/>
        <v>3.5986908599833538</v>
      </c>
      <c r="G61" s="102">
        <v>10</v>
      </c>
      <c r="H61" s="102">
        <v>5</v>
      </c>
      <c r="I61" s="102">
        <v>40</v>
      </c>
      <c r="J61" s="189">
        <f t="shared" si="22"/>
        <v>3.7645313796964266</v>
      </c>
      <c r="K61" s="189">
        <f t="shared" si="19"/>
        <v>2.4468068992206229</v>
      </c>
      <c r="L61" s="189">
        <f t="shared" si="20"/>
        <v>31.665450712172934</v>
      </c>
      <c r="M61" s="111"/>
      <c r="P61" s="88"/>
      <c r="Q61" s="88"/>
      <c r="R61" s="88"/>
      <c r="U61" s="121"/>
      <c r="V61" s="113"/>
      <c r="W61" s="122"/>
      <c r="X61" s="123"/>
      <c r="Y61" s="124"/>
      <c r="Z61" s="124"/>
      <c r="AA61" s="124"/>
      <c r="AB61" s="124"/>
      <c r="AC61" s="115"/>
      <c r="AD61" s="121"/>
      <c r="AE61" s="113"/>
      <c r="AF61" s="122"/>
      <c r="AG61" s="123"/>
      <c r="AH61" s="125"/>
      <c r="AI61" s="125"/>
      <c r="AJ61" s="125"/>
      <c r="AK61" s="125"/>
    </row>
    <row r="62" spans="1:37" ht="16.5" thickTop="1">
      <c r="A62" s="291" t="s">
        <v>240</v>
      </c>
      <c r="B62" s="99">
        <v>1</v>
      </c>
      <c r="C62" s="99">
        <v>8</v>
      </c>
      <c r="D62" s="99">
        <v>35</v>
      </c>
      <c r="E62" s="151">
        <f t="shared" si="21"/>
        <v>4.2225826668958426</v>
      </c>
      <c r="F62" s="151">
        <f t="shared" ref="F62:F67" si="23">MIN($B$32*$B$33*$B$35/1000,(2.3*SQRT($B$32*$B$33*$B$35))/1000+(E62/4),$B$35*$D62*$B$33*(SQRT(2+4*$B$32/($B$35*$D62^2*$B$33))-1)/1000+E62/4)</f>
        <v>3.5986908599833538</v>
      </c>
      <c r="G62" s="99">
        <v>2</v>
      </c>
      <c r="H62" s="99">
        <v>5</v>
      </c>
      <c r="I62" s="99">
        <v>40</v>
      </c>
      <c r="J62" s="151">
        <f t="shared" si="22"/>
        <v>3.7645313796964266</v>
      </c>
      <c r="K62" s="151">
        <f t="shared" ref="K62:K67" si="24">MIN($C$35*$I62*$C$33/1000,(2.3*SQRT($C$32*$C$33*$C$35))/1000+(J62/4),$C$35*$I62*$C$33*(SQRT(2+4*$C$32/($C$35*$I62^2*$C$33)-1)/1000+J62/4))</f>
        <v>2.4468068992206229</v>
      </c>
      <c r="L62" s="151">
        <f t="shared" ref="L62:L67" si="25">B62*F62+G62*K62</f>
        <v>8.4923046584245991</v>
      </c>
      <c r="M62" s="111"/>
      <c r="P62" s="88"/>
      <c r="Q62" s="88"/>
      <c r="R62" s="88"/>
      <c r="U62" s="121"/>
      <c r="V62" s="113"/>
      <c r="W62" s="122"/>
      <c r="X62" s="123"/>
      <c r="Y62" s="124"/>
      <c r="Z62" s="124"/>
      <c r="AA62" s="124"/>
      <c r="AB62" s="124"/>
      <c r="AC62" s="115"/>
      <c r="AD62" s="121"/>
      <c r="AE62" s="113"/>
      <c r="AF62" s="122"/>
      <c r="AG62" s="123"/>
      <c r="AH62" s="125"/>
      <c r="AI62" s="125"/>
      <c r="AJ62" s="125"/>
      <c r="AK62" s="125"/>
    </row>
    <row r="63" spans="1:37">
      <c r="A63" s="249" t="s">
        <v>241</v>
      </c>
      <c r="B63" s="102">
        <v>2</v>
      </c>
      <c r="C63" s="102">
        <v>8</v>
      </c>
      <c r="D63" s="102">
        <v>35</v>
      </c>
      <c r="E63" s="189">
        <f t="shared" si="21"/>
        <v>4.2225826668958426</v>
      </c>
      <c r="F63" s="189">
        <f t="shared" si="23"/>
        <v>3.5986908599833538</v>
      </c>
      <c r="G63" s="102">
        <v>2</v>
      </c>
      <c r="H63" s="102">
        <v>5</v>
      </c>
      <c r="I63" s="102">
        <v>40</v>
      </c>
      <c r="J63" s="189">
        <f t="shared" si="22"/>
        <v>3.7645313796964266</v>
      </c>
      <c r="K63" s="189">
        <f t="shared" si="24"/>
        <v>2.4468068992206229</v>
      </c>
      <c r="L63" s="189">
        <f t="shared" si="25"/>
        <v>12.090995518407954</v>
      </c>
      <c r="M63" s="111"/>
      <c r="P63" s="88"/>
      <c r="Q63" s="88"/>
      <c r="R63" s="88"/>
      <c r="U63" s="121"/>
      <c r="V63" s="113"/>
      <c r="W63" s="122"/>
      <c r="X63" s="123"/>
      <c r="Y63" s="124"/>
      <c r="Z63" s="124"/>
      <c r="AA63" s="124"/>
      <c r="AB63" s="124"/>
      <c r="AC63" s="115"/>
      <c r="AD63" s="121"/>
      <c r="AE63" s="113"/>
      <c r="AF63" s="122"/>
      <c r="AG63" s="123"/>
      <c r="AH63" s="125"/>
      <c r="AI63" s="125"/>
      <c r="AJ63" s="125"/>
      <c r="AK63" s="125"/>
    </row>
    <row r="64" spans="1:37">
      <c r="A64" s="248" t="s">
        <v>242</v>
      </c>
      <c r="B64" s="99">
        <v>2</v>
      </c>
      <c r="C64" s="99">
        <v>8</v>
      </c>
      <c r="D64" s="99">
        <v>35</v>
      </c>
      <c r="E64" s="151">
        <f t="shared" si="21"/>
        <v>4.2225826668958426</v>
      </c>
      <c r="F64" s="151">
        <f t="shared" si="23"/>
        <v>3.5986908599833538</v>
      </c>
      <c r="G64" s="99">
        <v>4</v>
      </c>
      <c r="H64" s="99">
        <v>5</v>
      </c>
      <c r="I64" s="99">
        <v>40</v>
      </c>
      <c r="J64" s="151">
        <f t="shared" si="22"/>
        <v>3.7645313796964266</v>
      </c>
      <c r="K64" s="151">
        <f t="shared" si="24"/>
        <v>2.4468068992206229</v>
      </c>
      <c r="L64" s="151">
        <f t="shared" si="25"/>
        <v>16.984609316849198</v>
      </c>
      <c r="M64" s="111"/>
      <c r="P64" s="88"/>
      <c r="Q64" s="88"/>
      <c r="R64" s="88"/>
      <c r="U64" s="121"/>
      <c r="V64" s="113"/>
      <c r="W64" s="122"/>
      <c r="X64" s="123"/>
      <c r="Y64" s="124"/>
      <c r="Z64" s="124"/>
      <c r="AA64" s="124"/>
      <c r="AB64" s="124"/>
      <c r="AC64" s="115"/>
      <c r="AD64" s="121"/>
      <c r="AE64" s="113"/>
      <c r="AF64" s="122"/>
      <c r="AG64" s="123"/>
      <c r="AH64" s="125"/>
      <c r="AI64" s="125"/>
      <c r="AJ64" s="125"/>
      <c r="AK64" s="125"/>
    </row>
    <row r="65" spans="1:37">
      <c r="A65" s="249" t="s">
        <v>243</v>
      </c>
      <c r="B65" s="102">
        <v>2</v>
      </c>
      <c r="C65" s="102">
        <v>8</v>
      </c>
      <c r="D65" s="102">
        <v>35</v>
      </c>
      <c r="E65" s="189">
        <f t="shared" si="21"/>
        <v>4.2225826668958426</v>
      </c>
      <c r="F65" s="189">
        <f t="shared" si="23"/>
        <v>3.5986908599833538</v>
      </c>
      <c r="G65" s="102">
        <v>6</v>
      </c>
      <c r="H65" s="102">
        <v>5</v>
      </c>
      <c r="I65" s="102">
        <v>40</v>
      </c>
      <c r="J65" s="189">
        <f t="shared" si="22"/>
        <v>3.7645313796964266</v>
      </c>
      <c r="K65" s="189">
        <f t="shared" si="24"/>
        <v>2.4468068992206229</v>
      </c>
      <c r="L65" s="189">
        <f t="shared" si="25"/>
        <v>21.878223115290446</v>
      </c>
      <c r="M65" s="111"/>
      <c r="P65" s="88"/>
      <c r="Q65" s="88"/>
      <c r="R65" s="88"/>
      <c r="U65" s="121"/>
      <c r="V65" s="113"/>
      <c r="W65" s="122"/>
      <c r="X65" s="123"/>
      <c r="Y65" s="124"/>
      <c r="Z65" s="124"/>
      <c r="AA65" s="124"/>
      <c r="AB65" s="124"/>
      <c r="AC65" s="115"/>
      <c r="AD65" s="121"/>
      <c r="AE65" s="113"/>
      <c r="AF65" s="122"/>
      <c r="AG65" s="123"/>
      <c r="AH65" s="125"/>
      <c r="AI65" s="125"/>
      <c r="AJ65" s="125"/>
      <c r="AK65" s="125"/>
    </row>
    <row r="66" spans="1:37">
      <c r="A66" s="248" t="s">
        <v>244</v>
      </c>
      <c r="B66" s="99">
        <v>2</v>
      </c>
      <c r="C66" s="99">
        <v>8</v>
      </c>
      <c r="D66" s="99">
        <v>35</v>
      </c>
      <c r="E66" s="151">
        <f t="shared" si="21"/>
        <v>4.2225826668958426</v>
      </c>
      <c r="F66" s="151">
        <f t="shared" si="23"/>
        <v>3.5986908599833538</v>
      </c>
      <c r="G66" s="99">
        <v>8</v>
      </c>
      <c r="H66" s="99">
        <v>5</v>
      </c>
      <c r="I66" s="99">
        <v>40</v>
      </c>
      <c r="J66" s="151">
        <f t="shared" si="22"/>
        <v>3.7645313796964266</v>
      </c>
      <c r="K66" s="151">
        <f t="shared" si="24"/>
        <v>2.4468068992206229</v>
      </c>
      <c r="L66" s="151">
        <f t="shared" si="25"/>
        <v>26.77183691373169</v>
      </c>
      <c r="M66" s="111"/>
      <c r="P66" s="88"/>
      <c r="Q66" s="88"/>
      <c r="R66" s="88"/>
      <c r="U66" s="121"/>
      <c r="V66" s="113"/>
      <c r="W66" s="122"/>
      <c r="X66" s="123"/>
      <c r="Y66" s="124"/>
      <c r="Z66" s="124"/>
      <c r="AA66" s="124"/>
      <c r="AB66" s="124"/>
      <c r="AC66" s="115"/>
      <c r="AD66" s="121"/>
      <c r="AE66" s="113"/>
      <c r="AF66" s="122"/>
      <c r="AG66" s="123"/>
      <c r="AH66" s="125"/>
      <c r="AI66" s="125"/>
      <c r="AJ66" s="125"/>
      <c r="AK66" s="125"/>
    </row>
    <row r="67" spans="1:37">
      <c r="A67" s="249" t="s">
        <v>245</v>
      </c>
      <c r="B67" s="102">
        <v>2</v>
      </c>
      <c r="C67" s="102">
        <v>8</v>
      </c>
      <c r="D67" s="102">
        <v>35</v>
      </c>
      <c r="E67" s="189">
        <f t="shared" si="21"/>
        <v>4.2225826668958426</v>
      </c>
      <c r="F67" s="189">
        <f t="shared" si="23"/>
        <v>3.5986908599833538</v>
      </c>
      <c r="G67" s="102">
        <v>10</v>
      </c>
      <c r="H67" s="102">
        <v>5</v>
      </c>
      <c r="I67" s="102">
        <v>40</v>
      </c>
      <c r="J67" s="189">
        <f t="shared" si="22"/>
        <v>3.7645313796964266</v>
      </c>
      <c r="K67" s="189">
        <f t="shared" si="24"/>
        <v>2.4468068992206229</v>
      </c>
      <c r="L67" s="189">
        <f t="shared" si="25"/>
        <v>31.665450712172934</v>
      </c>
      <c r="M67" s="111"/>
      <c r="P67" s="88"/>
      <c r="Q67" s="88"/>
      <c r="R67" s="88"/>
      <c r="U67" s="121"/>
      <c r="V67" s="113"/>
      <c r="W67" s="122"/>
      <c r="X67" s="123"/>
      <c r="Y67" s="124"/>
      <c r="Z67" s="124"/>
      <c r="AA67" s="124"/>
      <c r="AB67" s="124"/>
      <c r="AC67" s="115"/>
      <c r="AD67" s="121"/>
      <c r="AE67" s="113"/>
      <c r="AF67" s="122"/>
      <c r="AG67" s="123"/>
      <c r="AH67" s="125"/>
      <c r="AI67" s="125"/>
      <c r="AJ67" s="125"/>
      <c r="AK67" s="125"/>
    </row>
    <row r="68" spans="1:37">
      <c r="P68" s="88"/>
      <c r="Q68" s="88"/>
      <c r="R68" s="88"/>
      <c r="U68" s="121"/>
      <c r="V68" s="113"/>
      <c r="W68" s="122"/>
      <c r="X68" s="123"/>
      <c r="Y68" s="124"/>
      <c r="Z68" s="124"/>
      <c r="AA68" s="124"/>
      <c r="AB68" s="124"/>
      <c r="AC68" s="115"/>
      <c r="AD68" s="121"/>
      <c r="AE68" s="113"/>
      <c r="AF68" s="122"/>
      <c r="AG68" s="123"/>
      <c r="AH68" s="126"/>
      <c r="AI68" s="126"/>
      <c r="AJ68" s="126"/>
      <c r="AK68" s="126"/>
    </row>
    <row r="69" spans="1:37">
      <c r="P69" s="88"/>
      <c r="Q69" s="88"/>
      <c r="R69" s="88"/>
      <c r="U69" s="121"/>
      <c r="V69" s="113"/>
      <c r="W69" s="122"/>
      <c r="X69" s="123"/>
      <c r="Y69" s="124"/>
      <c r="Z69" s="124"/>
      <c r="AA69" s="124"/>
      <c r="AB69" s="124"/>
      <c r="AC69" s="115"/>
      <c r="AD69" s="121"/>
      <c r="AE69" s="113"/>
      <c r="AF69" s="122"/>
      <c r="AG69" s="123"/>
      <c r="AH69" s="126"/>
      <c r="AI69" s="126"/>
      <c r="AJ69" s="126"/>
      <c r="AK69" s="127"/>
    </row>
    <row r="70" spans="1:37" ht="15.75" customHeight="1">
      <c r="A70" s="90"/>
      <c r="B70" s="128"/>
      <c r="F70" s="85" t="s">
        <v>55</v>
      </c>
      <c r="O70" s="425"/>
      <c r="P70" s="425"/>
      <c r="Q70" s="425"/>
      <c r="R70" s="425"/>
      <c r="U70" s="121"/>
      <c r="V70" s="113"/>
      <c r="W70" s="122"/>
      <c r="X70" s="123"/>
      <c r="Y70" s="124"/>
      <c r="Z70" s="124"/>
      <c r="AA70" s="124"/>
      <c r="AB70" s="124"/>
      <c r="AC70" s="115"/>
      <c r="AD70" s="121"/>
      <c r="AE70" s="113"/>
      <c r="AF70" s="122"/>
      <c r="AG70" s="123"/>
      <c r="AH70" s="125"/>
      <c r="AI70" s="125"/>
      <c r="AJ70" s="125"/>
      <c r="AK70" s="125"/>
    </row>
    <row r="71" spans="1:37" ht="18">
      <c r="A71" s="91" t="s">
        <v>28</v>
      </c>
      <c r="B71" s="129" t="s">
        <v>51</v>
      </c>
      <c r="C71" s="129" t="s">
        <v>57</v>
      </c>
      <c r="D71" s="92" t="s">
        <v>58</v>
      </c>
      <c r="E71" s="129" t="s">
        <v>59</v>
      </c>
      <c r="F71" s="130" t="s">
        <v>60</v>
      </c>
      <c r="G71" s="131"/>
      <c r="N71" s="91" t="s">
        <v>28</v>
      </c>
      <c r="O71" s="426" t="s">
        <v>56</v>
      </c>
      <c r="P71" s="427"/>
      <c r="Q71" s="427"/>
      <c r="R71" s="427"/>
      <c r="S71" s="428"/>
      <c r="U71" s="121"/>
      <c r="V71" s="113"/>
      <c r="W71" s="122"/>
      <c r="X71" s="123"/>
      <c r="Y71" s="124"/>
      <c r="Z71" s="124"/>
      <c r="AA71" s="124"/>
      <c r="AB71" s="124"/>
      <c r="AC71" s="115"/>
      <c r="AD71" s="121"/>
      <c r="AE71" s="113"/>
      <c r="AF71" s="122"/>
      <c r="AG71" s="123"/>
      <c r="AH71" s="125"/>
      <c r="AI71" s="125"/>
      <c r="AJ71" s="125"/>
      <c r="AK71" s="125"/>
    </row>
    <row r="72" spans="1:37">
      <c r="A72" s="95"/>
      <c r="B72" s="132" t="s">
        <v>39</v>
      </c>
      <c r="C72" s="132" t="s">
        <v>39</v>
      </c>
      <c r="D72" s="96" t="s">
        <v>17</v>
      </c>
      <c r="E72" s="132" t="s">
        <v>39</v>
      </c>
      <c r="F72" s="133" t="s">
        <v>39</v>
      </c>
      <c r="G72" s="134"/>
      <c r="N72" s="95"/>
      <c r="O72" s="299">
        <f>IF(AND(Bemessung!$B$36=Berechnungstabellen!$K$17,Bemessung!$F$24=3),0,IF(OR(Bemessung!$F$24=1,Bemessung!$F$24=2),0.6,0.5))</f>
        <v>0.6</v>
      </c>
      <c r="P72" s="299">
        <f>IF(AND(Bemessung!$B$36=Berechnungstabellen!$K$17,Bemessung!$F$24=3),0,IF(OR(Bemessung!$F$24=1,Bemessung!$F$24=2),0.7,0.55))</f>
        <v>0.7</v>
      </c>
      <c r="Q72" s="299">
        <f>IF(AND(Bemessung!$B$36=Berechnungstabellen!$K$17,Bemessung!$F$24=3),0,IF(OR(Bemessung!$F$24=1,Bemessung!$F$24=2),0.8,0.65))</f>
        <v>0.8</v>
      </c>
      <c r="R72" s="299">
        <f>IF(AND(Bemessung!$B$36=Berechnungstabellen!$K$17,Bemessung!$F$24=3),0,IF(OR(Bemessung!$F$24=1,Bemessung!$F$24=2),0.9,0.7))</f>
        <v>0.9</v>
      </c>
      <c r="S72" s="299">
        <f>IF(AND(Bemessung!$B$36=Berechnungstabellen!$K$17,Bemessung!$F$24=3),0,IF(OR(Bemessung!$F$24=1,Bemessung!$F$24=2),1,0.8))</f>
        <v>1</v>
      </c>
      <c r="U72" s="121"/>
      <c r="V72" s="113"/>
      <c r="W72" s="122"/>
      <c r="X72" s="123"/>
      <c r="Y72" s="124"/>
      <c r="Z72" s="124"/>
      <c r="AA72" s="124"/>
      <c r="AB72" s="124"/>
      <c r="AC72" s="115"/>
      <c r="AD72" s="121"/>
      <c r="AE72" s="113"/>
      <c r="AF72" s="122"/>
      <c r="AG72" s="123"/>
      <c r="AH72" s="125"/>
      <c r="AI72" s="125"/>
      <c r="AJ72" s="125"/>
      <c r="AK72" s="135"/>
    </row>
    <row r="73" spans="1:37">
      <c r="A73" s="248" t="s">
        <v>234</v>
      </c>
      <c r="B73" s="98">
        <f t="shared" ref="B73:B84" si="26">L40</f>
        <v>5.165686865824437</v>
      </c>
      <c r="C73" s="98">
        <v>4.5</v>
      </c>
      <c r="D73" s="98">
        <v>2.4</v>
      </c>
      <c r="E73" s="193">
        <f t="shared" ref="E73:E84" si="27">1/(SQRT((1/L56)^2+(1/(D73*E56)^2)))</f>
        <v>6.5090543877268745</v>
      </c>
      <c r="F73" s="201">
        <f t="shared" ref="F73:F78" si="28">MIN(B73,E73)</f>
        <v>5.165686865824437</v>
      </c>
      <c r="G73" s="134"/>
      <c r="N73" s="248" t="s">
        <v>234</v>
      </c>
      <c r="O73" s="151">
        <f>IF(Bemessung!$B$29="RICON 60/40 EA A2",MIN(O$72*$B73/$B$85,$C73/$C$85,O$72*$E73/$E$85),0)</f>
        <v>0</v>
      </c>
      <c r="P73" s="151">
        <f>IF(Bemessung!$B$29="RICON 60/40 EA A2",MIN(P$72*$B73/$B$85,$C73/$C$85,P$72*$E73/$E$85),0)</f>
        <v>0</v>
      </c>
      <c r="Q73" s="151">
        <f>IF(Bemessung!$B$29="RICON 60/40 EA A2",MIN(Q$72*$B73/$B$85,$C73/$C$85,Q$72*$E73/$E$85),0)</f>
        <v>0</v>
      </c>
      <c r="R73" s="151">
        <f>IF(Bemessung!$B$29="RICON 60/40 EA A2",MIN(R$72*$B73/$B$85,$C73/$C$85,R$72*$E73/$E$85),0)</f>
        <v>0</v>
      </c>
      <c r="S73" s="151">
        <f>IF(Bemessung!$B$29="RICON 60/40 EA A2",MIN(S$72*$B73/$B$85,$C73/$C$85,S$72*$E73/$E$85),0)</f>
        <v>0</v>
      </c>
      <c r="U73" s="121"/>
      <c r="V73" s="113"/>
      <c r="W73" s="122"/>
      <c r="X73" s="123"/>
      <c r="Y73" s="124"/>
      <c r="Z73" s="124"/>
      <c r="AA73" s="124"/>
      <c r="AB73" s="124"/>
      <c r="AC73" s="115"/>
      <c r="AD73" s="121"/>
      <c r="AE73" s="113"/>
      <c r="AF73" s="122"/>
      <c r="AG73" s="123"/>
      <c r="AH73" s="125"/>
      <c r="AI73" s="125"/>
      <c r="AJ73" s="125"/>
      <c r="AK73" s="135"/>
    </row>
    <row r="74" spans="1:37">
      <c r="A74" s="249" t="s">
        <v>235</v>
      </c>
      <c r="B74" s="101">
        <f t="shared" si="26"/>
        <v>7.4924222273122751</v>
      </c>
      <c r="C74" s="101">
        <v>8.1999999999999993</v>
      </c>
      <c r="D74" s="101">
        <v>6.02</v>
      </c>
      <c r="E74" s="193">
        <f t="shared" si="27"/>
        <v>10.918772579456981</v>
      </c>
      <c r="F74" s="202">
        <f t="shared" si="28"/>
        <v>7.4924222273122751</v>
      </c>
      <c r="G74" s="136"/>
      <c r="N74" s="249" t="s">
        <v>235</v>
      </c>
      <c r="O74" s="189">
        <f>IF(Bemessung!$B$29="RICON 80/40 EA A2",MIN(O$72*$B74/$B$85,$C74/$C$85,O$72*$E74/$E$85),0)</f>
        <v>0</v>
      </c>
      <c r="P74" s="189">
        <f>IF(Bemessung!$B$29="RICON 80/40 EA A2",MIN(P$72*$B74/$B$85,$C74/$C$85,P$72*$E74/$E$85),0)</f>
        <v>0</v>
      </c>
      <c r="Q74" s="189">
        <f>IF(Bemessung!$B$29="RICON 80/40 EA A2",MIN(Q$72*$B74/$B$85,$C74/$C$85,Q$72*$E74/$E$85),0)</f>
        <v>0</v>
      </c>
      <c r="R74" s="189">
        <f>IF(Bemessung!$B$29="RICON 80/40 EA A2",MIN(R$72*$B74/$B$85,$C74/$C$85,R$72*$E74/$E$85),0)</f>
        <v>0</v>
      </c>
      <c r="S74" s="189">
        <f>IF(Bemessung!$B$29="RICON 80/40 EA A2",MIN(S$72*$B74/$B$85,$C74/$C$85,S$72*$E74/$E$85),0)</f>
        <v>0</v>
      </c>
      <c r="U74" s="121"/>
      <c r="V74" s="113"/>
      <c r="W74" s="122"/>
      <c r="X74" s="123"/>
      <c r="Y74" s="124"/>
      <c r="Z74" s="124"/>
      <c r="AA74" s="124"/>
      <c r="AB74" s="124"/>
      <c r="AC74" s="115"/>
      <c r="AD74" s="121"/>
      <c r="AE74" s="113"/>
      <c r="AF74" s="122"/>
      <c r="AG74" s="123"/>
      <c r="AH74" s="125"/>
      <c r="AI74" s="125"/>
      <c r="AJ74" s="125"/>
      <c r="AK74" s="135"/>
    </row>
    <row r="75" spans="1:37">
      <c r="A75" s="248" t="s">
        <v>236</v>
      </c>
      <c r="B75" s="98">
        <f t="shared" si="26"/>
        <v>10.331373731648874</v>
      </c>
      <c r="C75" s="98">
        <v>10.4</v>
      </c>
      <c r="D75" s="98">
        <v>12</v>
      </c>
      <c r="E75" s="193">
        <f t="shared" si="27"/>
        <v>16.104003664850044</v>
      </c>
      <c r="F75" s="201">
        <f t="shared" si="28"/>
        <v>10.331373731648874</v>
      </c>
      <c r="G75" s="136"/>
      <c r="N75" s="248" t="s">
        <v>236</v>
      </c>
      <c r="O75" s="151">
        <f>IF(Bemessung!$B$29="RICON 100/40 EA A2",MIN(O$72*$B75/$B$85,$C75/$C$85,O$72*$E75/$E$85),0)</f>
        <v>0</v>
      </c>
      <c r="P75" s="151">
        <f>IF(Bemessung!$B$29="RICON 100/40 EA A2",MIN(P$72*$B75/$B$85,$C75/$C$85,P$72*$E75/$E$85),0)</f>
        <v>0</v>
      </c>
      <c r="Q75" s="151">
        <f>IF(Bemessung!$B$29="RICON 100/40 EA A2",MIN(Q$72*$B75/$B$85,$C75/$C$85,Q$72*$E75/$E$85),0)</f>
        <v>0</v>
      </c>
      <c r="R75" s="151">
        <f>IF(Bemessung!$B$29="RICON 100/40 EA A2",MIN(R$72*$B75/$B$85,$C75/$C$85,R$72*$E75/$E$85),0)</f>
        <v>0</v>
      </c>
      <c r="S75" s="151">
        <f>IF(Bemessung!$B$29="RICON 100/40 EA A2",MIN(S$72*$B75/$B$85,$C75/$C$85,S$72*$E75/$E$85),0)</f>
        <v>0</v>
      </c>
      <c r="U75" s="121"/>
      <c r="V75" s="113"/>
      <c r="W75" s="122"/>
      <c r="X75" s="123"/>
      <c r="Y75" s="124"/>
      <c r="Z75" s="124"/>
      <c r="AA75" s="124"/>
      <c r="AB75" s="124"/>
      <c r="AC75" s="115"/>
      <c r="AD75" s="121"/>
      <c r="AE75" s="113"/>
      <c r="AF75" s="122"/>
      <c r="AG75" s="123"/>
      <c r="AH75" s="125"/>
      <c r="AI75" s="125"/>
      <c r="AJ75" s="125"/>
      <c r="AK75" s="135"/>
    </row>
    <row r="76" spans="1:37">
      <c r="A76" s="249" t="s">
        <v>237</v>
      </c>
      <c r="B76" s="101">
        <f t="shared" si="26"/>
        <v>13.170325235985473</v>
      </c>
      <c r="C76" s="101">
        <v>13.4</v>
      </c>
      <c r="D76" s="101">
        <v>20.3</v>
      </c>
      <c r="E76" s="193">
        <f t="shared" si="27"/>
        <v>21.198632468182748</v>
      </c>
      <c r="F76" s="202">
        <f t="shared" si="28"/>
        <v>13.170325235985473</v>
      </c>
      <c r="G76" s="136"/>
      <c r="N76" s="249" t="s">
        <v>237</v>
      </c>
      <c r="O76" s="189">
        <f>IF(Bemessung!$B$29="RICON 120/40 EA A2",MIN(O$72*$B76/$B$85,$C76/$C$85,O$72*$E76/$E$85),0)</f>
        <v>0</v>
      </c>
      <c r="P76" s="189">
        <f>IF(Bemessung!$B$29="RICON 120/40 EA A2",MIN(P$72*$B76/$B$85,$C76/$C$85,P$72*$E76/$E$85),0)</f>
        <v>0</v>
      </c>
      <c r="Q76" s="189">
        <f>IF(Bemessung!$B$29="RICON 120/40 EA A2",MIN(Q$72*$B76/$B$85,$C76/$C$85,Q$72*$E76/$E$85),0)</f>
        <v>0</v>
      </c>
      <c r="R76" s="189">
        <f>IF(Bemessung!$B$29="RICON 120/40 EA A2",MIN(R$72*$B76/$B$85,$C76/$C$85,R$72*$E76/$E$85),0)</f>
        <v>0</v>
      </c>
      <c r="S76" s="189">
        <f>IF(Bemessung!$B$29="RICON 120/40 EA A2",MIN(S$72*$B76/$B$85,$C76/$C$85,S$72*$E76/$E$85),0)</f>
        <v>0</v>
      </c>
      <c r="U76" s="121"/>
      <c r="V76" s="113"/>
      <c r="W76" s="122"/>
      <c r="X76" s="123"/>
      <c r="Y76" s="124"/>
      <c r="Z76" s="124"/>
      <c r="AA76" s="124"/>
      <c r="AB76" s="124"/>
      <c r="AC76" s="115"/>
      <c r="AD76" s="121"/>
      <c r="AE76" s="113"/>
      <c r="AF76" s="122"/>
      <c r="AG76" s="123"/>
      <c r="AH76" s="125"/>
      <c r="AI76" s="125"/>
      <c r="AJ76" s="125"/>
      <c r="AK76" s="135"/>
    </row>
    <row r="77" spans="1:37">
      <c r="A77" s="248" t="s">
        <v>238</v>
      </c>
      <c r="B77" s="98">
        <f t="shared" si="26"/>
        <v>16.009276740322072</v>
      </c>
      <c r="C77" s="98">
        <v>13.4</v>
      </c>
      <c r="D77" s="98">
        <v>31</v>
      </c>
      <c r="E77" s="193">
        <f t="shared" si="27"/>
        <v>26.228893320616869</v>
      </c>
      <c r="F77" s="201">
        <f t="shared" si="28"/>
        <v>16.009276740322072</v>
      </c>
      <c r="G77" s="137"/>
      <c r="M77" s="138"/>
      <c r="N77" s="248" t="s">
        <v>238</v>
      </c>
      <c r="O77" s="151">
        <f>IF(Bemessung!$B$29="RICON 140/40 EA A2",MIN(O$72*$B77/$B$85,$C77/$C$85,O$72*$E77/$E$85),0)</f>
        <v>0</v>
      </c>
      <c r="P77" s="151">
        <f>IF(Bemessung!$B$29="RICON 140/40 EA A2",MIN(P$72*$B77/$B$85,$C77/$C$85,P$72*$E77/$E$85),0)</f>
        <v>0</v>
      </c>
      <c r="Q77" s="151">
        <f>IF(Bemessung!$B$29="RICON 140/40 EA A2",MIN(Q$72*$B77/$B$85,$C77/$C$85,Q$72*$E77/$E$85),0)</f>
        <v>0</v>
      </c>
      <c r="R77" s="151">
        <f>IF(Bemessung!$B$29="RICON 140/40 EA A2",MIN(R$72*$B77/$B$85,$C77/$C$85,R$72*$E77/$E$85),0)</f>
        <v>0</v>
      </c>
      <c r="S77" s="151">
        <f>IF(Bemessung!$B$29="RICON 140/40 EA A2",MIN(S$72*$B77/$B$85,$C77/$C$85,S$72*$E77/$E$85),0)</f>
        <v>0</v>
      </c>
      <c r="U77" s="121"/>
      <c r="V77" s="113"/>
      <c r="W77" s="122"/>
      <c r="X77" s="123"/>
      <c r="Y77" s="124"/>
      <c r="Z77" s="124"/>
      <c r="AA77" s="124"/>
      <c r="AB77" s="124"/>
      <c r="AC77" s="115"/>
      <c r="AD77" s="121"/>
      <c r="AE77" s="113"/>
      <c r="AF77" s="122"/>
      <c r="AG77" s="123"/>
      <c r="AH77" s="125"/>
      <c r="AI77" s="125"/>
      <c r="AJ77" s="125"/>
      <c r="AK77" s="135"/>
    </row>
    <row r="78" spans="1:37" ht="15.75" customHeight="1" thickBot="1">
      <c r="A78" s="292" t="s">
        <v>239</v>
      </c>
      <c r="B78" s="320">
        <f t="shared" si="26"/>
        <v>18.848228244658671</v>
      </c>
      <c r="C78" s="320">
        <v>13.4</v>
      </c>
      <c r="D78" s="320">
        <v>44</v>
      </c>
      <c r="E78" s="321">
        <f t="shared" si="27"/>
        <v>31.21533140781359</v>
      </c>
      <c r="F78" s="322">
        <f t="shared" si="28"/>
        <v>18.848228244658671</v>
      </c>
      <c r="G78" s="137"/>
      <c r="M78" s="138"/>
      <c r="N78" s="292" t="s">
        <v>239</v>
      </c>
      <c r="O78" s="303">
        <f>IF(Bemessung!$B$29="RICON 160/40 EA A2",MIN(O$72*$B78/$B$85,$C78/$C$85,O$72*$E78/$E$85),0)</f>
        <v>0</v>
      </c>
      <c r="P78" s="303">
        <f>IF(Bemessung!$B$29="RICON 160/40 EA A2",MIN(P$72*$B78/$B$85,$C78/$C$85,P$72*$E78/$E$85),0)</f>
        <v>0</v>
      </c>
      <c r="Q78" s="303">
        <f>IF(Bemessung!$B$29="RICON 160/40 EA A2",MIN(Q$72*$B78/$B$85,$C78/$C$85,Q$72*$E78/$E$85),0)</f>
        <v>0</v>
      </c>
      <c r="R78" s="303">
        <f>IF(Bemessung!$B$29="RICON 160/40 EA A2",MIN(R$72*$B78/$B$85,$C78/$C$85,R$72*$E78/$E$85),0)</f>
        <v>0</v>
      </c>
      <c r="S78" s="303">
        <f>IF(Bemessung!$B$29="RICON 160/40 EA A2",MIN(S$72*$B78/$B$85,$C78/$C$85,S$72*$E78/$E$85),0)</f>
        <v>0</v>
      </c>
      <c r="U78" s="121"/>
      <c r="V78" s="113"/>
      <c r="W78" s="122"/>
      <c r="X78" s="123"/>
      <c r="Y78" s="124"/>
      <c r="Z78" s="124"/>
      <c r="AA78" s="124"/>
      <c r="AB78" s="124"/>
      <c r="AC78" s="115"/>
      <c r="AD78" s="121"/>
      <c r="AE78" s="113"/>
      <c r="AF78" s="122"/>
      <c r="AG78" s="123"/>
      <c r="AH78" s="126"/>
      <c r="AI78" s="126"/>
      <c r="AJ78" s="126"/>
      <c r="AK78" s="126"/>
    </row>
    <row r="79" spans="1:37" ht="15.75" customHeight="1" thickTop="1">
      <c r="A79" s="291" t="s">
        <v>240</v>
      </c>
      <c r="B79" s="317">
        <f t="shared" si="26"/>
        <v>5.165686865824437</v>
      </c>
      <c r="C79" s="317">
        <v>4.5</v>
      </c>
      <c r="D79" s="317">
        <v>2.2999999999999998</v>
      </c>
      <c r="E79" s="318">
        <f t="shared" si="27"/>
        <v>6.3929510461985073</v>
      </c>
      <c r="F79" s="319">
        <f t="shared" ref="F79:F84" si="29">MIN(B79,E79)</f>
        <v>5.165686865824437</v>
      </c>
      <c r="G79" s="304"/>
      <c r="M79" s="138"/>
      <c r="N79" s="291" t="s">
        <v>240</v>
      </c>
      <c r="O79" s="301">
        <f>IF(Bemessung!$B$29="RICON 60/30 EA A2",MIN(O$72*$B79/$B$85,$C79/$C$85,O$72*$E79/$E$85),0)</f>
        <v>0</v>
      </c>
      <c r="P79" s="301">
        <f>IF(Bemessung!$B$29="RICON 60/30 EA A2",MIN(P$72*$B79/$B$85,$C79/$C$85,P$72*$E79/$E$85),0)</f>
        <v>0</v>
      </c>
      <c r="Q79" s="301">
        <f>IF(Bemessung!$B$29="RICON 60/30 EA A2",MIN(Q$72*$B79/$B$85,$C79/$C$85,Q$72*$E79/$E$85),0)</f>
        <v>0</v>
      </c>
      <c r="R79" s="301">
        <f>IF(Bemessung!$B$29="RICON 60/30 EA A2",MIN(R$72*$B79/$B$85,$C79/$C$85,R$72*$E79/$E$85),0)</f>
        <v>0</v>
      </c>
      <c r="S79" s="301">
        <f>IF(Bemessung!$B$29="RICON 60/30 EA A2",MIN(S$72*$B79/$B$85,$C79/$C$85,S$72*$E79/$E$85),0)</f>
        <v>0</v>
      </c>
      <c r="U79" s="121"/>
      <c r="V79" s="113"/>
      <c r="W79" s="122"/>
      <c r="X79" s="123"/>
      <c r="Y79" s="124"/>
      <c r="Z79" s="124"/>
      <c r="AA79" s="124"/>
      <c r="AB79" s="124"/>
      <c r="AC79" s="115"/>
      <c r="AD79" s="121"/>
      <c r="AE79" s="113"/>
      <c r="AF79" s="122"/>
      <c r="AG79" s="123"/>
      <c r="AH79" s="126"/>
      <c r="AI79" s="126"/>
      <c r="AJ79" s="126"/>
      <c r="AK79" s="126"/>
    </row>
    <row r="80" spans="1:37" ht="15.75" customHeight="1">
      <c r="A80" s="249" t="s">
        <v>241</v>
      </c>
      <c r="B80" s="101">
        <f t="shared" si="26"/>
        <v>7.4924222273122751</v>
      </c>
      <c r="C80" s="101">
        <v>8.1999999999999993</v>
      </c>
      <c r="D80" s="101">
        <v>4.68</v>
      </c>
      <c r="E80" s="193">
        <f t="shared" si="27"/>
        <v>10.313679331804762</v>
      </c>
      <c r="F80" s="202">
        <f t="shared" si="29"/>
        <v>7.4924222273122751</v>
      </c>
      <c r="G80" s="304"/>
      <c r="M80" s="138"/>
      <c r="N80" s="249" t="s">
        <v>241</v>
      </c>
      <c r="O80" s="189">
        <f>IF(Bemessung!$B$29="RICON 80/30 EA A2",MIN(O$72*$B80/$B$85,$C80/$C$85,O$72*$E80/$E$85),0)</f>
        <v>0</v>
      </c>
      <c r="P80" s="189">
        <f>IF(Bemessung!$B$29="RICON 80/30 EA A2",MIN(P$72*$B80/$B$85,$C80/$C$85,P$72*$E80/$E$85),0)</f>
        <v>0</v>
      </c>
      <c r="Q80" s="189">
        <f>IF(Bemessung!$B$29="RICON 80/30 EA A2",MIN(Q$72*$B80/$B$85,$C80/$C$85,Q$72*$E80/$E$85),0)</f>
        <v>0</v>
      </c>
      <c r="R80" s="189">
        <f>IF(Bemessung!$B$29="RICON 80/30 EA A2",MIN(R$72*$B80/$B$85,$C80/$C$85,R$72*$E80/$E$85),0)</f>
        <v>0</v>
      </c>
      <c r="S80" s="189">
        <f>IF(Bemessung!$B$29="RICON 80/30 EA A2",MIN(S$72*$B80/$B$85,$C80/$C$85,S$72*$E80/$E$85),0)</f>
        <v>0</v>
      </c>
      <c r="U80" s="121"/>
      <c r="V80" s="113"/>
      <c r="W80" s="122"/>
      <c r="X80" s="123"/>
      <c r="Y80" s="124"/>
      <c r="Z80" s="124"/>
      <c r="AA80" s="124"/>
      <c r="AB80" s="124"/>
      <c r="AC80" s="115"/>
      <c r="AD80" s="121"/>
      <c r="AE80" s="113"/>
      <c r="AF80" s="122"/>
      <c r="AG80" s="123"/>
      <c r="AH80" s="126"/>
      <c r="AI80" s="126"/>
      <c r="AJ80" s="126"/>
      <c r="AK80" s="126"/>
    </row>
    <row r="81" spans="1:37" ht="15.75" customHeight="1">
      <c r="A81" s="248" t="s">
        <v>242</v>
      </c>
      <c r="B81" s="98">
        <f t="shared" si="26"/>
        <v>10.331373731648874</v>
      </c>
      <c r="C81" s="98">
        <v>10.4</v>
      </c>
      <c r="D81" s="98">
        <v>9.34</v>
      </c>
      <c r="E81" s="193">
        <f t="shared" si="27"/>
        <v>15.599521068660529</v>
      </c>
      <c r="F81" s="201">
        <f t="shared" si="29"/>
        <v>10.331373731648874</v>
      </c>
      <c r="G81" s="304"/>
      <c r="M81" s="138"/>
      <c r="N81" s="248" t="s">
        <v>242</v>
      </c>
      <c r="O81" s="151">
        <f>IF(Bemessung!$B$29="RICON 100/30 EA A2",MIN(O$72*$B81/$B$85,$C81/$C$85,O$72*$E81/$E$85),0)</f>
        <v>4.7683263376840959</v>
      </c>
      <c r="P81" s="151">
        <f>IF(Bemessung!$B$29="RICON 100/30 EA A2",MIN(P$72*$B81/$B$85,$C81/$C$85,P$72*$E81/$E$85),0)</f>
        <v>5.5630473939647773</v>
      </c>
      <c r="Q81" s="151">
        <f>IF(Bemessung!$B$29="RICON 100/30 EA A2",MIN(Q$72*$B81/$B$85,$C81/$C$85,Q$72*$E81/$E$85),0)</f>
        <v>6.3577684502454606</v>
      </c>
      <c r="R81" s="151">
        <f>IF(Bemessung!$B$29="RICON 100/30 EA A2",MIN(R$72*$B81/$B$85,$C81/$C$85,R$72*$E81/$E$85),0)</f>
        <v>7.1524895065261429</v>
      </c>
      <c r="S81" s="151">
        <f>IF(Bemessung!$B$29="RICON 100/30 EA A2",MIN(S$72*$B81/$B$85,$C81/$C$85,S$72*$E81/$E$85),0)</f>
        <v>7.9472105628068261</v>
      </c>
      <c r="U81" s="121"/>
      <c r="V81" s="113"/>
      <c r="W81" s="122"/>
      <c r="X81" s="123"/>
      <c r="Y81" s="124"/>
      <c r="Z81" s="124"/>
      <c r="AA81" s="124"/>
      <c r="AB81" s="124"/>
      <c r="AC81" s="115"/>
      <c r="AD81" s="121"/>
      <c r="AE81" s="113"/>
      <c r="AF81" s="122"/>
      <c r="AG81" s="123"/>
      <c r="AH81" s="126"/>
      <c r="AI81" s="126"/>
      <c r="AJ81" s="126"/>
      <c r="AK81" s="126"/>
    </row>
    <row r="82" spans="1:37" ht="15.75" customHeight="1">
      <c r="A82" s="249" t="s">
        <v>243</v>
      </c>
      <c r="B82" s="101">
        <f t="shared" si="26"/>
        <v>13.170325235985473</v>
      </c>
      <c r="C82" s="101">
        <v>13.4</v>
      </c>
      <c r="D82" s="101">
        <v>15.7</v>
      </c>
      <c r="E82" s="193">
        <f t="shared" si="27"/>
        <v>20.77609211566914</v>
      </c>
      <c r="F82" s="202">
        <f t="shared" si="29"/>
        <v>13.170325235985473</v>
      </c>
      <c r="G82" s="304"/>
      <c r="M82" s="138"/>
      <c r="N82" s="249" t="s">
        <v>243</v>
      </c>
      <c r="O82" s="189">
        <f>IF(Bemessung!$B$29="RICON 120/30 EA A2",MIN(O$72*$B82/$B$85,$C82/$C$85,O$72*$E82/$E$85),0)</f>
        <v>0</v>
      </c>
      <c r="P82" s="189">
        <f>IF(Bemessung!$B$29="RICON 120/30 EA A2",MIN(P$72*$B82/$B$85,$C82/$C$85,P$72*$E82/$E$85),0)</f>
        <v>0</v>
      </c>
      <c r="Q82" s="189">
        <f>IF(Bemessung!$B$29="RICON 120/30 EA A2",MIN(Q$72*$B82/$B$85,$C82/$C$85,Q$72*$E82/$E$85),0)</f>
        <v>0</v>
      </c>
      <c r="R82" s="189">
        <f>IF(Bemessung!$B$29="RICON 120/30 EA A2",MIN(R$72*$B82/$B$85,$C82/$C$85,R$72*$E82/$E$85),0)</f>
        <v>0</v>
      </c>
      <c r="S82" s="189">
        <f>IF(Bemessung!$B$29="RICON 120/30 EA A2",MIN(S$72*$B82/$B$85,$C82/$C$85,S$72*$E82/$E$85),0)</f>
        <v>0</v>
      </c>
      <c r="U82" s="121"/>
      <c r="V82" s="113"/>
      <c r="W82" s="122"/>
      <c r="X82" s="123"/>
      <c r="Y82" s="124"/>
      <c r="Z82" s="124"/>
      <c r="AA82" s="124"/>
      <c r="AB82" s="124"/>
      <c r="AC82" s="115"/>
      <c r="AD82" s="121"/>
      <c r="AE82" s="113"/>
      <c r="AF82" s="122"/>
      <c r="AG82" s="123"/>
      <c r="AH82" s="126"/>
      <c r="AI82" s="126"/>
      <c r="AJ82" s="126"/>
      <c r="AK82" s="126"/>
    </row>
    <row r="83" spans="1:37" ht="15.75" customHeight="1">
      <c r="A83" s="248" t="s">
        <v>244</v>
      </c>
      <c r="B83" s="98">
        <f t="shared" si="26"/>
        <v>16.009276740322072</v>
      </c>
      <c r="C83" s="98">
        <v>13.4</v>
      </c>
      <c r="D83" s="98">
        <v>23.7</v>
      </c>
      <c r="E83" s="193">
        <f t="shared" si="27"/>
        <v>25.862399864841805</v>
      </c>
      <c r="F83" s="201">
        <f t="shared" si="29"/>
        <v>16.009276740322072</v>
      </c>
      <c r="G83" s="304"/>
      <c r="M83" s="138"/>
      <c r="N83" s="248" t="s">
        <v>244</v>
      </c>
      <c r="O83" s="151">
        <f>IF(Bemessung!$B$29="RICON 140/30 EA A2",MIN(O$72*$B83/$B$85,$C83/$C$85,O$72*$E83/$E$85),0)</f>
        <v>0</v>
      </c>
      <c r="P83" s="151">
        <f>IF(Bemessung!$B$29="RICON 140/30 EA A2",MIN(P$72*$B83/$B$85,$C83/$C$85,P$72*$E83/$E$85),0)</f>
        <v>0</v>
      </c>
      <c r="Q83" s="151">
        <f>IF(Bemessung!$B$29="RICON 140/30 EA A2",MIN(Q$72*$B83/$B$85,$C83/$C$85,Q$72*$E83/$E$85),0)</f>
        <v>0</v>
      </c>
      <c r="R83" s="151">
        <f>IF(Bemessung!$B$29="RICON 140/30 EA A2",MIN(R$72*$B83/$B$85,$C83/$C$85,R$72*$E83/$E$85),0)</f>
        <v>0</v>
      </c>
      <c r="S83" s="151">
        <f>IF(Bemessung!$B$29="RICON 140/30 EA A2",MIN(S$72*$B83/$B$85,$C83/$C$85,S$72*$E83/$E$85),0)</f>
        <v>0</v>
      </c>
      <c r="U83" s="121"/>
      <c r="V83" s="113"/>
      <c r="W83" s="122"/>
      <c r="X83" s="123"/>
      <c r="Y83" s="124"/>
      <c r="Z83" s="124"/>
      <c r="AA83" s="124"/>
      <c r="AB83" s="124"/>
      <c r="AC83" s="115"/>
      <c r="AD83" s="121"/>
      <c r="AE83" s="113"/>
      <c r="AF83" s="122"/>
      <c r="AG83" s="123"/>
      <c r="AH83" s="126"/>
      <c r="AI83" s="126"/>
      <c r="AJ83" s="126"/>
      <c r="AK83" s="126"/>
    </row>
    <row r="84" spans="1:37" ht="15.75" customHeight="1">
      <c r="A84" s="249" t="s">
        <v>245</v>
      </c>
      <c r="B84" s="101">
        <f t="shared" si="26"/>
        <v>18.848228244658671</v>
      </c>
      <c r="C84" s="101">
        <v>13.4</v>
      </c>
      <c r="D84" s="101">
        <v>33.299999999999997</v>
      </c>
      <c r="E84" s="193">
        <f t="shared" si="27"/>
        <v>30.891816471143176</v>
      </c>
      <c r="F84" s="202">
        <f t="shared" si="29"/>
        <v>18.848228244658671</v>
      </c>
      <c r="G84" s="304"/>
      <c r="M84" s="138"/>
      <c r="N84" s="249" t="s">
        <v>245</v>
      </c>
      <c r="O84" s="189">
        <f>IF(Bemessung!$B$29="RICON 160/30 EA A2",MIN(O$72*$B84/$B$85,$C84/$C$85,O$72*$E84/$E$85),0)</f>
        <v>0</v>
      </c>
      <c r="P84" s="189">
        <f>IF(Bemessung!$B$29="RICON 160/30 EA A2",MIN(P$72*$B84/$B$85,$C84/$C$85,P$72*$E84/$E$85),0)</f>
        <v>0</v>
      </c>
      <c r="Q84" s="189">
        <f>IF(Bemessung!$B$29="RICON 160/30 EA A2",MIN(Q$72*$B84/$B$85,$C84/$C$85,Q$72*$E84/$E$85),0)</f>
        <v>0</v>
      </c>
      <c r="R84" s="189">
        <f>IF(Bemessung!$B$29="RICON 160/30 EA A2",MIN(R$72*$B84/$B$85,$C84/$C$85,R$72*$E84/$E$85),0)</f>
        <v>0</v>
      </c>
      <c r="S84" s="189">
        <f>IF(Bemessung!$B$29="RICON 160/30 EA A2",MIN(S$72*$B84/$B$85,$C84/$C$85,S$72*$E84/$E$85),0)</f>
        <v>0</v>
      </c>
      <c r="U84" s="121"/>
      <c r="V84" s="113"/>
      <c r="W84" s="122"/>
      <c r="X84" s="123"/>
      <c r="Y84" s="124"/>
      <c r="Z84" s="124"/>
      <c r="AA84" s="124"/>
      <c r="AB84" s="124"/>
      <c r="AC84" s="115"/>
      <c r="AD84" s="121"/>
      <c r="AE84" s="113"/>
      <c r="AF84" s="122"/>
      <c r="AG84" s="123"/>
      <c r="AH84" s="126"/>
      <c r="AI84" s="126"/>
      <c r="AJ84" s="126"/>
      <c r="AK84" s="126"/>
    </row>
    <row r="85" spans="1:37">
      <c r="A85" s="329" t="s">
        <v>251</v>
      </c>
      <c r="B85" s="328">
        <v>1.3</v>
      </c>
      <c r="C85" s="328">
        <v>1</v>
      </c>
      <c r="D85" s="329" t="s">
        <v>251</v>
      </c>
      <c r="E85" s="328">
        <v>1.3</v>
      </c>
      <c r="P85" s="88"/>
      <c r="Q85" s="88"/>
      <c r="R85" s="88"/>
      <c r="U85" s="121"/>
      <c r="V85" s="113"/>
      <c r="W85" s="122"/>
      <c r="X85" s="123"/>
      <c r="Y85" s="124"/>
      <c r="Z85" s="124"/>
      <c r="AA85" s="124"/>
      <c r="AB85" s="124"/>
      <c r="AC85" s="115"/>
      <c r="AD85" s="121"/>
      <c r="AE85" s="113"/>
      <c r="AF85" s="122"/>
      <c r="AG85" s="123"/>
      <c r="AH85" s="126"/>
      <c r="AI85" s="126"/>
      <c r="AJ85" s="126"/>
      <c r="AK85" s="127"/>
    </row>
    <row r="86" spans="1:37">
      <c r="O86" s="244"/>
      <c r="P86" s="244"/>
      <c r="Q86" s="244"/>
      <c r="R86" s="244"/>
    </row>
    <row r="87" spans="1:37">
      <c r="O87" s="244"/>
      <c r="P87" s="244"/>
      <c r="Q87" s="244"/>
      <c r="R87" s="244"/>
    </row>
    <row r="88" spans="1:37" ht="26.25">
      <c r="A88" s="140" t="s">
        <v>61</v>
      </c>
      <c r="O88" s="244"/>
      <c r="P88" s="244"/>
      <c r="Q88" s="244"/>
      <c r="R88" s="244"/>
    </row>
    <row r="89" spans="1:37">
      <c r="O89" s="244"/>
      <c r="P89" s="244"/>
      <c r="Q89" s="244"/>
      <c r="R89" s="244"/>
    </row>
    <row r="90" spans="1:37" ht="18.75">
      <c r="A90" s="89" t="s">
        <v>279</v>
      </c>
      <c r="D90" s="106"/>
      <c r="O90" s="244"/>
      <c r="P90" s="244"/>
      <c r="Q90" s="244"/>
      <c r="R90" s="244"/>
    </row>
    <row r="91" spans="1:37" ht="18.75">
      <c r="A91" s="89"/>
      <c r="D91" s="106"/>
      <c r="O91" s="244"/>
      <c r="P91" s="244"/>
      <c r="Q91" s="244"/>
      <c r="R91" s="244"/>
    </row>
    <row r="92" spans="1:37">
      <c r="A92" s="90"/>
      <c r="D92" s="106"/>
      <c r="P92" s="88"/>
      <c r="Q92" s="88"/>
      <c r="R92" s="88"/>
    </row>
    <row r="93" spans="1:37">
      <c r="A93" s="90"/>
      <c r="P93" s="88"/>
      <c r="Q93" s="88"/>
      <c r="R93" s="88"/>
    </row>
    <row r="94" spans="1:37" ht="18">
      <c r="A94" s="91" t="s">
        <v>28</v>
      </c>
      <c r="B94" s="92" t="s">
        <v>47</v>
      </c>
      <c r="C94" s="92" t="s">
        <v>35</v>
      </c>
      <c r="D94" s="92" t="s">
        <v>48</v>
      </c>
      <c r="E94" s="92" t="s">
        <v>49</v>
      </c>
      <c r="F94" s="92" t="s">
        <v>50</v>
      </c>
      <c r="G94" s="92" t="s">
        <v>47</v>
      </c>
      <c r="H94" s="92" t="s">
        <v>35</v>
      </c>
      <c r="I94" s="92" t="s">
        <v>48</v>
      </c>
      <c r="J94" s="92" t="s">
        <v>49</v>
      </c>
      <c r="K94" s="92" t="s">
        <v>50</v>
      </c>
      <c r="L94" s="92" t="s">
        <v>62</v>
      </c>
      <c r="P94" s="88"/>
      <c r="Q94" s="88"/>
      <c r="R94" s="88"/>
    </row>
    <row r="95" spans="1:37">
      <c r="A95" s="95"/>
      <c r="B95" s="96" t="s">
        <v>40</v>
      </c>
      <c r="C95" s="96" t="s">
        <v>16</v>
      </c>
      <c r="D95" s="96" t="s">
        <v>16</v>
      </c>
      <c r="E95" s="96" t="s">
        <v>39</v>
      </c>
      <c r="F95" s="96" t="s">
        <v>39</v>
      </c>
      <c r="G95" s="96" t="s">
        <v>40</v>
      </c>
      <c r="H95" s="96" t="s">
        <v>16</v>
      </c>
      <c r="I95" s="96" t="s">
        <v>16</v>
      </c>
      <c r="J95" s="96" t="s">
        <v>39</v>
      </c>
      <c r="K95" s="96" t="s">
        <v>39</v>
      </c>
      <c r="L95" s="110" t="s">
        <v>39</v>
      </c>
      <c r="P95" s="88"/>
      <c r="Q95" s="88"/>
      <c r="R95" s="88"/>
    </row>
    <row r="96" spans="1:37">
      <c r="A96" s="248" t="s">
        <v>234</v>
      </c>
      <c r="B96" s="99">
        <v>1</v>
      </c>
      <c r="C96" s="99">
        <v>8</v>
      </c>
      <c r="D96" s="100">
        <f>Berechnungstabellen!J21-15</f>
        <v>65</v>
      </c>
      <c r="E96" s="151">
        <f>($E$108*0.52*SQRT($C96)*(D96)^0.9*$B$31^0.8)/1000</f>
        <v>2.2113638026311735</v>
      </c>
      <c r="F96" s="151">
        <f t="shared" ref="F96:F101" si="30">MIN($B$33*$B$34*$D96/1000,(2.3*SQRT($B$32*$B$33*$B$34))/1000+(E96/4),$B$34*$D96*$B$33*(SQRT(2+4*$B$32/($B$34*$D96^2*$B$33))-1)/1000+E96/4)</f>
        <v>2.3267353614878385</v>
      </c>
      <c r="G96" s="99">
        <v>2</v>
      </c>
      <c r="H96" s="99">
        <v>5</v>
      </c>
      <c r="I96" s="100">
        <f>Berechnungstabellen!M21-10</f>
        <v>70</v>
      </c>
      <c r="J96" s="429" t="s">
        <v>150</v>
      </c>
      <c r="K96" s="430"/>
      <c r="L96" s="431"/>
      <c r="P96" s="88"/>
      <c r="Q96" s="88"/>
      <c r="R96" s="88"/>
    </row>
    <row r="97" spans="1:18">
      <c r="A97" s="249" t="s">
        <v>235</v>
      </c>
      <c r="B97" s="102">
        <v>2</v>
      </c>
      <c r="C97" s="102">
        <v>8</v>
      </c>
      <c r="D97" s="100">
        <f>Berechnungstabellen!J22-15</f>
        <v>65</v>
      </c>
      <c r="E97" s="189">
        <f t="shared" ref="E97:E107" si="31">($E$108*0.52*SQRT($C97)*(D97)^0.9*$B$31^0.8)/1000</f>
        <v>2.2113638026311735</v>
      </c>
      <c r="F97" s="189">
        <f t="shared" si="30"/>
        <v>2.3267353614878385</v>
      </c>
      <c r="G97" s="102">
        <v>2</v>
      </c>
      <c r="H97" s="102">
        <v>5</v>
      </c>
      <c r="I97" s="100">
        <f>Berechnungstabellen!M22-10</f>
        <v>70</v>
      </c>
      <c r="J97" s="432"/>
      <c r="K97" s="433"/>
      <c r="L97" s="434"/>
      <c r="P97" s="88"/>
      <c r="Q97" s="88"/>
      <c r="R97" s="88"/>
    </row>
    <row r="98" spans="1:18">
      <c r="A98" s="248" t="s">
        <v>236</v>
      </c>
      <c r="B98" s="99">
        <v>2</v>
      </c>
      <c r="C98" s="99">
        <v>8</v>
      </c>
      <c r="D98" s="100">
        <f>Berechnungstabellen!J23-15</f>
        <v>65</v>
      </c>
      <c r="E98" s="151">
        <f t="shared" si="31"/>
        <v>2.2113638026311735</v>
      </c>
      <c r="F98" s="151">
        <f t="shared" si="30"/>
        <v>2.3267353614878385</v>
      </c>
      <c r="G98" s="99">
        <v>4</v>
      </c>
      <c r="H98" s="99">
        <v>5</v>
      </c>
      <c r="I98" s="100">
        <f>Berechnungstabellen!M23-10</f>
        <v>70</v>
      </c>
      <c r="J98" s="432"/>
      <c r="K98" s="433"/>
      <c r="L98" s="434"/>
      <c r="P98" s="88"/>
      <c r="Q98" s="88"/>
      <c r="R98" s="88"/>
    </row>
    <row r="99" spans="1:18">
      <c r="A99" s="249" t="s">
        <v>237</v>
      </c>
      <c r="B99" s="102">
        <v>2</v>
      </c>
      <c r="C99" s="102">
        <v>8</v>
      </c>
      <c r="D99" s="100">
        <f>Berechnungstabellen!J24-15</f>
        <v>65</v>
      </c>
      <c r="E99" s="189">
        <f t="shared" si="31"/>
        <v>2.2113638026311735</v>
      </c>
      <c r="F99" s="189">
        <f t="shared" si="30"/>
        <v>2.3267353614878385</v>
      </c>
      <c r="G99" s="102">
        <v>6</v>
      </c>
      <c r="H99" s="102">
        <v>5</v>
      </c>
      <c r="I99" s="100">
        <f>Berechnungstabellen!M24-10</f>
        <v>70</v>
      </c>
      <c r="J99" s="432"/>
      <c r="K99" s="433"/>
      <c r="L99" s="434"/>
      <c r="P99" s="88"/>
      <c r="Q99" s="88"/>
      <c r="R99" s="88"/>
    </row>
    <row r="100" spans="1:18">
      <c r="A100" s="248" t="s">
        <v>238</v>
      </c>
      <c r="B100" s="99">
        <v>2</v>
      </c>
      <c r="C100" s="99">
        <v>8</v>
      </c>
      <c r="D100" s="100">
        <f>Berechnungstabellen!J25-15</f>
        <v>65</v>
      </c>
      <c r="E100" s="151">
        <f t="shared" si="31"/>
        <v>2.2113638026311735</v>
      </c>
      <c r="F100" s="151">
        <f t="shared" si="30"/>
        <v>2.3267353614878385</v>
      </c>
      <c r="G100" s="99">
        <v>8</v>
      </c>
      <c r="H100" s="99">
        <v>5</v>
      </c>
      <c r="I100" s="100">
        <f>Berechnungstabellen!M25-10</f>
        <v>70</v>
      </c>
      <c r="J100" s="432"/>
      <c r="K100" s="433"/>
      <c r="L100" s="434"/>
      <c r="P100" s="88"/>
      <c r="Q100" s="88"/>
      <c r="R100" s="88"/>
    </row>
    <row r="101" spans="1:18" ht="16.5" thickBot="1">
      <c r="A101" s="292" t="s">
        <v>239</v>
      </c>
      <c r="B101" s="102">
        <v>2</v>
      </c>
      <c r="C101" s="102">
        <v>8</v>
      </c>
      <c r="D101" s="100">
        <f>Berechnungstabellen!J26-15</f>
        <v>65</v>
      </c>
      <c r="E101" s="189">
        <f t="shared" si="31"/>
        <v>2.2113638026311735</v>
      </c>
      <c r="F101" s="189">
        <f t="shared" si="30"/>
        <v>2.3267353614878385</v>
      </c>
      <c r="G101" s="102">
        <v>10</v>
      </c>
      <c r="H101" s="102">
        <v>5</v>
      </c>
      <c r="I101" s="100">
        <f>Berechnungstabellen!M26-10</f>
        <v>70</v>
      </c>
      <c r="J101" s="435"/>
      <c r="K101" s="436"/>
      <c r="L101" s="437"/>
      <c r="P101" s="88"/>
      <c r="Q101" s="88"/>
      <c r="R101" s="88"/>
    </row>
    <row r="102" spans="1:18" ht="16.5" thickTop="1">
      <c r="A102" s="291" t="s">
        <v>240</v>
      </c>
      <c r="B102" s="99">
        <v>2.3333333333333299</v>
      </c>
      <c r="C102" s="99">
        <v>8</v>
      </c>
      <c r="D102" s="100">
        <f>Berechnungstabellen!J27-15</f>
        <v>65</v>
      </c>
      <c r="E102" s="151">
        <f t="shared" si="31"/>
        <v>2.2113638026311735</v>
      </c>
      <c r="F102" s="151">
        <f t="shared" ref="F102:F107" si="32">MIN($B$33*$B$34*$D102/1000,(2.3*SQRT($B$32*$B$33*$B$34))/1000+(E102/4),$B$34*$D102*$B$33*(SQRT(2+4*$B$32/($B$34*$D102^2*$B$33))-1)/1000+E102/4)</f>
        <v>2.3267353614878385</v>
      </c>
      <c r="G102" s="99">
        <v>11.3333333333333</v>
      </c>
      <c r="H102" s="99">
        <v>5</v>
      </c>
      <c r="I102" s="100">
        <f>Berechnungstabellen!M27-10</f>
        <v>70</v>
      </c>
      <c r="J102" s="429" t="s">
        <v>150</v>
      </c>
      <c r="K102" s="430"/>
      <c r="L102" s="431"/>
      <c r="P102" s="88"/>
      <c r="Q102" s="88"/>
      <c r="R102" s="88"/>
    </row>
    <row r="103" spans="1:18">
      <c r="A103" s="249" t="s">
        <v>241</v>
      </c>
      <c r="B103" s="102">
        <v>2.4761904761904798</v>
      </c>
      <c r="C103" s="102">
        <v>8</v>
      </c>
      <c r="D103" s="100">
        <f>Berechnungstabellen!J28-15</f>
        <v>65</v>
      </c>
      <c r="E103" s="189">
        <f t="shared" si="31"/>
        <v>2.2113638026311735</v>
      </c>
      <c r="F103" s="189">
        <f t="shared" si="32"/>
        <v>2.3267353614878385</v>
      </c>
      <c r="G103" s="102">
        <v>13.047619047618999</v>
      </c>
      <c r="H103" s="102">
        <v>5</v>
      </c>
      <c r="I103" s="100">
        <f>Berechnungstabellen!M28-10</f>
        <v>70</v>
      </c>
      <c r="J103" s="432"/>
      <c r="K103" s="433"/>
      <c r="L103" s="434"/>
      <c r="P103" s="88"/>
      <c r="Q103" s="88"/>
      <c r="R103" s="88"/>
    </row>
    <row r="104" spans="1:18">
      <c r="A104" s="248" t="s">
        <v>242</v>
      </c>
      <c r="B104" s="99">
        <v>2.61904761904762</v>
      </c>
      <c r="C104" s="99">
        <v>8</v>
      </c>
      <c r="D104" s="100">
        <f>Berechnungstabellen!J29-15</f>
        <v>65</v>
      </c>
      <c r="E104" s="151">
        <f t="shared" si="31"/>
        <v>2.2113638026311735</v>
      </c>
      <c r="F104" s="151">
        <f t="shared" si="32"/>
        <v>2.3267353614878385</v>
      </c>
      <c r="G104" s="99">
        <v>14.761904761904701</v>
      </c>
      <c r="H104" s="99">
        <v>5</v>
      </c>
      <c r="I104" s="100">
        <f>Berechnungstabellen!M29-10</f>
        <v>70</v>
      </c>
      <c r="J104" s="432"/>
      <c r="K104" s="433"/>
      <c r="L104" s="434"/>
      <c r="P104" s="88"/>
      <c r="Q104" s="88"/>
      <c r="R104" s="88"/>
    </row>
    <row r="105" spans="1:18">
      <c r="A105" s="249" t="s">
        <v>243</v>
      </c>
      <c r="B105" s="102">
        <v>2.7619047619047699</v>
      </c>
      <c r="C105" s="102">
        <v>8</v>
      </c>
      <c r="D105" s="100">
        <f>Berechnungstabellen!J30-15</f>
        <v>65</v>
      </c>
      <c r="E105" s="189">
        <f t="shared" si="31"/>
        <v>2.2113638026311735</v>
      </c>
      <c r="F105" s="189">
        <f t="shared" si="32"/>
        <v>2.3267353614878385</v>
      </c>
      <c r="G105" s="102">
        <v>16.4761904761904</v>
      </c>
      <c r="H105" s="102">
        <v>5</v>
      </c>
      <c r="I105" s="100">
        <f>Berechnungstabellen!M30-10</f>
        <v>70</v>
      </c>
      <c r="J105" s="432"/>
      <c r="K105" s="433"/>
      <c r="L105" s="434"/>
      <c r="P105" s="88"/>
      <c r="Q105" s="88"/>
      <c r="R105" s="88"/>
    </row>
    <row r="106" spans="1:18">
      <c r="A106" s="248" t="s">
        <v>244</v>
      </c>
      <c r="B106" s="99">
        <v>2.90476190476191</v>
      </c>
      <c r="C106" s="99">
        <v>8</v>
      </c>
      <c r="D106" s="100">
        <f>Berechnungstabellen!J31-15</f>
        <v>65</v>
      </c>
      <c r="E106" s="151">
        <f t="shared" si="31"/>
        <v>2.2113638026311735</v>
      </c>
      <c r="F106" s="151">
        <f t="shared" si="32"/>
        <v>2.3267353614878385</v>
      </c>
      <c r="G106" s="99">
        <v>18.190476190476101</v>
      </c>
      <c r="H106" s="99">
        <v>5</v>
      </c>
      <c r="I106" s="100">
        <f>Berechnungstabellen!M31-10</f>
        <v>70</v>
      </c>
      <c r="J106" s="432"/>
      <c r="K106" s="433"/>
      <c r="L106" s="434"/>
      <c r="P106" s="88"/>
      <c r="Q106" s="88"/>
      <c r="R106" s="88"/>
    </row>
    <row r="107" spans="1:18">
      <c r="A107" s="249" t="s">
        <v>245</v>
      </c>
      <c r="B107" s="102">
        <v>3.0476190476190501</v>
      </c>
      <c r="C107" s="102">
        <v>8</v>
      </c>
      <c r="D107" s="100">
        <f>Berechnungstabellen!J32-15</f>
        <v>65</v>
      </c>
      <c r="E107" s="189">
        <f t="shared" si="31"/>
        <v>2.2113638026311735</v>
      </c>
      <c r="F107" s="189">
        <f t="shared" si="32"/>
        <v>2.3267353614878385</v>
      </c>
      <c r="G107" s="102">
        <v>19.904761904761902</v>
      </c>
      <c r="H107" s="102">
        <v>5</v>
      </c>
      <c r="I107" s="100">
        <f>Berechnungstabellen!M32-10</f>
        <v>70</v>
      </c>
      <c r="J107" s="435"/>
      <c r="K107" s="436"/>
      <c r="L107" s="437"/>
      <c r="P107" s="88"/>
      <c r="Q107" s="88"/>
      <c r="R107" s="88"/>
    </row>
    <row r="108" spans="1:18">
      <c r="D108" s="102" t="s">
        <v>259</v>
      </c>
      <c r="E108" s="189">
        <f>J23</f>
        <v>0.3</v>
      </c>
      <c r="J108" s="203"/>
      <c r="K108" s="203"/>
      <c r="L108" s="203"/>
      <c r="P108" s="88"/>
      <c r="Q108" s="88"/>
      <c r="R108" s="88"/>
    </row>
    <row r="109" spans="1:18">
      <c r="J109" s="203"/>
      <c r="K109" s="203"/>
      <c r="L109" s="203"/>
      <c r="P109" s="88"/>
      <c r="Q109" s="88"/>
      <c r="R109" s="88"/>
    </row>
    <row r="110" spans="1:18">
      <c r="A110" s="90"/>
      <c r="J110" s="203"/>
      <c r="K110" s="203"/>
      <c r="L110" s="203"/>
      <c r="P110" s="88"/>
      <c r="Q110" s="88"/>
      <c r="R110" s="88"/>
    </row>
    <row r="111" spans="1:18" ht="18">
      <c r="A111" s="91" t="s">
        <v>28</v>
      </c>
      <c r="B111" s="92" t="s">
        <v>63</v>
      </c>
      <c r="C111" s="92" t="s">
        <v>64</v>
      </c>
      <c r="D111" s="92" t="s">
        <v>65</v>
      </c>
      <c r="E111" s="92" t="s">
        <v>66</v>
      </c>
      <c r="F111" s="92" t="s">
        <v>67</v>
      </c>
      <c r="G111" s="141" t="s">
        <v>68</v>
      </c>
      <c r="H111" s="142"/>
      <c r="I111" s="143"/>
      <c r="J111" s="143"/>
      <c r="K111" s="143"/>
      <c r="L111" s="143"/>
      <c r="P111" s="88"/>
      <c r="Q111" s="88"/>
      <c r="R111" s="88"/>
    </row>
    <row r="112" spans="1:18">
      <c r="A112" s="95"/>
      <c r="B112" s="110" t="s">
        <v>39</v>
      </c>
      <c r="C112" s="96" t="s">
        <v>40</v>
      </c>
      <c r="D112" s="96" t="s">
        <v>17</v>
      </c>
      <c r="E112" s="96" t="s">
        <v>17</v>
      </c>
      <c r="F112" s="96" t="s">
        <v>16</v>
      </c>
      <c r="G112" s="144" t="s">
        <v>39</v>
      </c>
      <c r="H112" s="142"/>
      <c r="I112" s="143"/>
      <c r="J112" s="143"/>
      <c r="K112" s="143"/>
      <c r="L112" s="143"/>
      <c r="P112" s="88"/>
      <c r="Q112" s="88"/>
      <c r="R112" s="88"/>
    </row>
    <row r="113" spans="1:18" ht="15.75" customHeight="1">
      <c r="A113" s="248" t="s">
        <v>234</v>
      </c>
      <c r="B113" s="438" t="s">
        <v>150</v>
      </c>
      <c r="C113" s="98">
        <v>2.8</v>
      </c>
      <c r="D113" s="99">
        <v>29</v>
      </c>
      <c r="E113" s="99">
        <v>43</v>
      </c>
      <c r="F113" s="99">
        <v>0</v>
      </c>
      <c r="G113" s="98">
        <f t="shared" ref="G113:G124" si="33">$F96/SQRT((1/$C113+F113/$D113)^2+(F113/$E113)^2)</f>
        <v>6.5148590121659478</v>
      </c>
      <c r="H113" s="142"/>
      <c r="I113" s="143"/>
      <c r="J113" s="143"/>
      <c r="K113" s="143"/>
      <c r="L113" s="143"/>
      <c r="P113" s="88"/>
      <c r="Q113" s="88"/>
      <c r="R113" s="88"/>
    </row>
    <row r="114" spans="1:18">
      <c r="A114" s="249" t="s">
        <v>235</v>
      </c>
      <c r="B114" s="439"/>
      <c r="C114" s="101">
        <v>3.8</v>
      </c>
      <c r="D114" s="102">
        <v>42</v>
      </c>
      <c r="E114" s="102">
        <v>81</v>
      </c>
      <c r="F114" s="102">
        <v>0</v>
      </c>
      <c r="G114" s="101">
        <f t="shared" si="33"/>
        <v>8.8415943736537876</v>
      </c>
      <c r="H114" s="145"/>
      <c r="I114" s="146"/>
      <c r="J114" s="106"/>
      <c r="K114" s="106"/>
      <c r="L114" s="106"/>
      <c r="P114" s="88"/>
      <c r="Q114" s="88"/>
      <c r="R114" s="88"/>
    </row>
    <row r="115" spans="1:18">
      <c r="A115" s="248" t="s">
        <v>236</v>
      </c>
      <c r="B115" s="439"/>
      <c r="C115" s="98">
        <v>5.6</v>
      </c>
      <c r="D115" s="99">
        <v>72</v>
      </c>
      <c r="E115" s="99">
        <v>212</v>
      </c>
      <c r="F115" s="99">
        <v>0</v>
      </c>
      <c r="G115" s="98">
        <f t="shared" si="33"/>
        <v>13.029718024331896</v>
      </c>
      <c r="H115" s="145"/>
      <c r="I115" s="146"/>
      <c r="J115" s="106"/>
      <c r="K115" s="106"/>
      <c r="L115" s="106"/>
      <c r="P115" s="88"/>
      <c r="Q115" s="88"/>
      <c r="R115" s="88"/>
    </row>
    <row r="116" spans="1:18">
      <c r="A116" s="249" t="s">
        <v>237</v>
      </c>
      <c r="B116" s="439"/>
      <c r="C116" s="101">
        <v>7.3</v>
      </c>
      <c r="D116" s="102">
        <v>109</v>
      </c>
      <c r="E116" s="102">
        <v>433</v>
      </c>
      <c r="F116" s="102">
        <v>0</v>
      </c>
      <c r="G116" s="101">
        <f t="shared" si="33"/>
        <v>16.985168138861223</v>
      </c>
      <c r="H116" s="145"/>
      <c r="I116" s="146"/>
      <c r="J116" s="106"/>
      <c r="K116" s="106"/>
      <c r="L116" s="106"/>
      <c r="P116" s="88"/>
      <c r="Q116" s="88"/>
      <c r="R116" s="88"/>
    </row>
    <row r="117" spans="1:18">
      <c r="A117" s="248" t="s">
        <v>238</v>
      </c>
      <c r="B117" s="439"/>
      <c r="C117" s="98">
        <v>9.1</v>
      </c>
      <c r="D117" s="99">
        <v>154</v>
      </c>
      <c r="E117" s="99">
        <v>767</v>
      </c>
      <c r="F117" s="99">
        <v>0</v>
      </c>
      <c r="G117" s="98">
        <f t="shared" si="33"/>
        <v>21.173291789539331</v>
      </c>
      <c r="H117" s="145"/>
      <c r="I117" s="146"/>
      <c r="J117" s="106"/>
      <c r="K117" s="106"/>
      <c r="L117" s="106"/>
      <c r="P117" s="88"/>
      <c r="Q117" s="88"/>
      <c r="R117" s="88"/>
    </row>
    <row r="118" spans="1:18" ht="16.5" thickBot="1">
      <c r="A118" s="292" t="s">
        <v>239</v>
      </c>
      <c r="B118" s="440"/>
      <c r="C118" s="101">
        <v>10.9</v>
      </c>
      <c r="D118" s="102">
        <v>208</v>
      </c>
      <c r="E118" s="102">
        <v>1241</v>
      </c>
      <c r="F118" s="102">
        <v>0</v>
      </c>
      <c r="G118" s="101">
        <f t="shared" si="33"/>
        <v>25.361415440217442</v>
      </c>
      <c r="H118" s="145"/>
      <c r="I118" s="146"/>
      <c r="J118" s="106"/>
      <c r="K118" s="106"/>
      <c r="L118" s="106"/>
      <c r="P118" s="88"/>
      <c r="Q118" s="88"/>
      <c r="R118" s="88"/>
    </row>
    <row r="119" spans="1:18" ht="16.5" thickTop="1">
      <c r="A119" s="291" t="s">
        <v>240</v>
      </c>
      <c r="B119" s="438" t="s">
        <v>150</v>
      </c>
      <c r="C119" s="98">
        <v>2.8</v>
      </c>
      <c r="D119" s="99">
        <v>26</v>
      </c>
      <c r="E119" s="99">
        <v>51</v>
      </c>
      <c r="F119" s="99">
        <v>0</v>
      </c>
      <c r="G119" s="98">
        <f t="shared" si="33"/>
        <v>6.5148590121659478</v>
      </c>
      <c r="H119" s="147"/>
      <c r="I119" s="146"/>
      <c r="J119" s="106"/>
      <c r="K119" s="106"/>
      <c r="L119" s="106"/>
      <c r="P119" s="88"/>
      <c r="Q119" s="88"/>
      <c r="R119" s="88"/>
    </row>
    <row r="120" spans="1:18">
      <c r="A120" s="249" t="s">
        <v>241</v>
      </c>
      <c r="B120" s="439"/>
      <c r="C120" s="101">
        <v>3.8</v>
      </c>
      <c r="D120" s="102">
        <v>46</v>
      </c>
      <c r="E120" s="102">
        <v>131</v>
      </c>
      <c r="F120" s="102">
        <v>0</v>
      </c>
      <c r="G120" s="101">
        <f t="shared" si="33"/>
        <v>8.8415943736537876</v>
      </c>
      <c r="H120" s="147"/>
      <c r="I120" s="146"/>
      <c r="J120" s="106"/>
      <c r="K120" s="106"/>
      <c r="L120" s="106"/>
      <c r="P120" s="88"/>
      <c r="Q120" s="88"/>
      <c r="R120" s="88"/>
    </row>
    <row r="121" spans="1:18">
      <c r="A121" s="248" t="s">
        <v>242</v>
      </c>
      <c r="B121" s="439"/>
      <c r="C121" s="98">
        <v>5.6</v>
      </c>
      <c r="D121" s="99">
        <v>74</v>
      </c>
      <c r="E121" s="99">
        <v>307</v>
      </c>
      <c r="F121" s="99">
        <v>0</v>
      </c>
      <c r="G121" s="98">
        <f t="shared" si="33"/>
        <v>13.029718024331896</v>
      </c>
      <c r="H121" s="147"/>
      <c r="I121" s="146"/>
      <c r="J121" s="106"/>
      <c r="K121" s="106"/>
      <c r="L121" s="106"/>
      <c r="P121" s="88"/>
      <c r="Q121" s="88"/>
      <c r="R121" s="88"/>
    </row>
    <row r="122" spans="1:18">
      <c r="A122" s="249" t="s">
        <v>243</v>
      </c>
      <c r="B122" s="439"/>
      <c r="C122" s="101">
        <v>7.3</v>
      </c>
      <c r="D122" s="102">
        <v>110</v>
      </c>
      <c r="E122" s="102">
        <v>595</v>
      </c>
      <c r="F122" s="102">
        <v>0</v>
      </c>
      <c r="G122" s="101">
        <f t="shared" si="33"/>
        <v>16.985168138861223</v>
      </c>
      <c r="H122" s="147"/>
      <c r="I122" s="146"/>
      <c r="J122" s="106"/>
      <c r="K122" s="106"/>
      <c r="L122" s="106"/>
      <c r="P122" s="88"/>
      <c r="Q122" s="88"/>
      <c r="R122" s="88"/>
    </row>
    <row r="123" spans="1:18">
      <c r="A123" s="248" t="s">
        <v>244</v>
      </c>
      <c r="B123" s="439"/>
      <c r="C123" s="98">
        <v>9.1</v>
      </c>
      <c r="D123" s="99">
        <v>153</v>
      </c>
      <c r="E123" s="99">
        <v>1025</v>
      </c>
      <c r="F123" s="99">
        <v>0</v>
      </c>
      <c r="G123" s="98">
        <f t="shared" si="33"/>
        <v>21.173291789539331</v>
      </c>
      <c r="H123" s="147"/>
      <c r="I123" s="146"/>
      <c r="J123" s="106"/>
      <c r="K123" s="106"/>
      <c r="L123" s="106"/>
      <c r="P123" s="88"/>
      <c r="Q123" s="88"/>
      <c r="R123" s="88"/>
    </row>
    <row r="124" spans="1:18">
      <c r="A124" s="249" t="s">
        <v>245</v>
      </c>
      <c r="B124" s="440"/>
      <c r="C124" s="101">
        <v>10.9</v>
      </c>
      <c r="D124" s="102">
        <v>205</v>
      </c>
      <c r="E124" s="102">
        <v>1629</v>
      </c>
      <c r="F124" s="102">
        <v>0</v>
      </c>
      <c r="G124" s="101">
        <f t="shared" si="33"/>
        <v>25.361415440217442</v>
      </c>
      <c r="H124" s="147"/>
      <c r="I124" s="146"/>
      <c r="J124" s="106"/>
      <c r="K124" s="106"/>
      <c r="L124" s="106"/>
      <c r="P124" s="88"/>
      <c r="Q124" s="88"/>
      <c r="R124" s="88"/>
    </row>
    <row r="125" spans="1:18">
      <c r="A125" s="90"/>
      <c r="B125" s="147"/>
      <c r="C125" s="147"/>
      <c r="D125" s="146"/>
      <c r="E125" s="106"/>
      <c r="F125" s="106"/>
      <c r="G125" s="147"/>
      <c r="H125" s="147"/>
      <c r="I125" s="146"/>
      <c r="J125" s="106"/>
      <c r="K125" s="106"/>
      <c r="L125" s="106"/>
      <c r="P125" s="88"/>
      <c r="Q125" s="88"/>
      <c r="R125" s="88"/>
    </row>
    <row r="126" spans="1:18">
      <c r="P126" s="88"/>
      <c r="Q126" s="88"/>
      <c r="R126" s="88"/>
    </row>
    <row r="127" spans="1:18" ht="18">
      <c r="A127" s="91" t="s">
        <v>28</v>
      </c>
      <c r="B127" s="92" t="s">
        <v>47</v>
      </c>
      <c r="C127" s="92" t="s">
        <v>35</v>
      </c>
      <c r="D127" s="92" t="s">
        <v>48</v>
      </c>
      <c r="E127" s="92" t="s">
        <v>52</v>
      </c>
      <c r="F127" s="92" t="s">
        <v>53</v>
      </c>
      <c r="G127" s="92" t="s">
        <v>47</v>
      </c>
      <c r="H127" s="92" t="s">
        <v>35</v>
      </c>
      <c r="I127" s="92" t="s">
        <v>48</v>
      </c>
      <c r="J127" s="92" t="s">
        <v>52</v>
      </c>
      <c r="K127" s="92" t="s">
        <v>53</v>
      </c>
      <c r="L127" s="92" t="s">
        <v>69</v>
      </c>
      <c r="P127" s="88"/>
      <c r="Q127" s="88"/>
      <c r="R127" s="88"/>
    </row>
    <row r="128" spans="1:18">
      <c r="A128" s="95"/>
      <c r="B128" s="96" t="s">
        <v>40</v>
      </c>
      <c r="C128" s="96" t="s">
        <v>16</v>
      </c>
      <c r="D128" s="96" t="s">
        <v>16</v>
      </c>
      <c r="E128" s="96" t="s">
        <v>39</v>
      </c>
      <c r="F128" s="96" t="s">
        <v>39</v>
      </c>
      <c r="G128" s="96" t="s">
        <v>40</v>
      </c>
      <c r="H128" s="96" t="s">
        <v>16</v>
      </c>
      <c r="I128" s="96" t="s">
        <v>16</v>
      </c>
      <c r="J128" s="96" t="s">
        <v>39</v>
      </c>
      <c r="K128" s="96" t="s">
        <v>39</v>
      </c>
      <c r="L128" s="110" t="s">
        <v>39</v>
      </c>
      <c r="P128" s="88"/>
      <c r="Q128" s="88"/>
      <c r="R128" s="88"/>
    </row>
    <row r="129" spans="1:18">
      <c r="A129" s="248" t="s">
        <v>234</v>
      </c>
      <c r="B129" s="99">
        <v>1</v>
      </c>
      <c r="C129" s="99">
        <v>8</v>
      </c>
      <c r="D129" s="99">
        <v>35</v>
      </c>
      <c r="E129" s="151">
        <f>(0.52*SQRT($B$33)*(D129)^0.9*$B$31^0.8)/1000</f>
        <v>4.2225826668958426</v>
      </c>
      <c r="F129" s="151">
        <f t="shared" ref="F129:F134" si="34">MIN($B$33*$B$35*$D129/1000,(2.3*SQRT($B$32*$B$33*$B$35))/1000+(E129/4),$B$35*$D129*$B$33*(SQRT(2+4*$B$32/($B$35*$D129^2*$B$33))-1)/1000+E129/4)</f>
        <v>3.5986908599833538</v>
      </c>
      <c r="G129" s="99">
        <v>2</v>
      </c>
      <c r="H129" s="99">
        <v>5</v>
      </c>
      <c r="I129" s="99">
        <v>40</v>
      </c>
      <c r="J129" s="429" t="s">
        <v>150</v>
      </c>
      <c r="K129" s="430"/>
      <c r="L129" s="431"/>
      <c r="P129" s="88"/>
      <c r="Q129" s="88"/>
      <c r="R129" s="88"/>
    </row>
    <row r="130" spans="1:18">
      <c r="A130" s="249" t="s">
        <v>235</v>
      </c>
      <c r="B130" s="102">
        <v>2</v>
      </c>
      <c r="C130" s="102">
        <v>8</v>
      </c>
      <c r="D130" s="102">
        <v>35</v>
      </c>
      <c r="E130" s="189">
        <f>(0.52*SQRT($B$33)*(D130)^0.9*$B$31^0.8)/1000</f>
        <v>4.2225826668958426</v>
      </c>
      <c r="F130" s="189">
        <f t="shared" si="34"/>
        <v>3.5986908599833538</v>
      </c>
      <c r="G130" s="102">
        <v>2</v>
      </c>
      <c r="H130" s="102">
        <v>5</v>
      </c>
      <c r="I130" s="102">
        <v>40</v>
      </c>
      <c r="J130" s="432"/>
      <c r="K130" s="433"/>
      <c r="L130" s="434"/>
      <c r="P130" s="88"/>
      <c r="Q130" s="88"/>
      <c r="R130" s="88"/>
    </row>
    <row r="131" spans="1:18">
      <c r="A131" s="248" t="s">
        <v>236</v>
      </c>
      <c r="B131" s="99">
        <v>2</v>
      </c>
      <c r="C131" s="99">
        <v>8</v>
      </c>
      <c r="D131" s="99">
        <v>35</v>
      </c>
      <c r="E131" s="151">
        <f t="shared" ref="E131:E140" si="35">(0.52*SQRT($B$33)*(D131)^0.9*$B$31^0.8)/1000</f>
        <v>4.2225826668958426</v>
      </c>
      <c r="F131" s="151">
        <f t="shared" si="34"/>
        <v>3.5986908599833538</v>
      </c>
      <c r="G131" s="99">
        <v>4</v>
      </c>
      <c r="H131" s="99">
        <v>5</v>
      </c>
      <c r="I131" s="99">
        <v>40</v>
      </c>
      <c r="J131" s="432"/>
      <c r="K131" s="433"/>
      <c r="L131" s="434"/>
      <c r="P131" s="88"/>
      <c r="Q131" s="88"/>
      <c r="R131" s="88"/>
    </row>
    <row r="132" spans="1:18">
      <c r="A132" s="249" t="s">
        <v>237</v>
      </c>
      <c r="B132" s="102">
        <v>2</v>
      </c>
      <c r="C132" s="102">
        <v>8</v>
      </c>
      <c r="D132" s="102">
        <v>35</v>
      </c>
      <c r="E132" s="189">
        <f t="shared" si="35"/>
        <v>4.2225826668958426</v>
      </c>
      <c r="F132" s="189">
        <f t="shared" si="34"/>
        <v>3.5986908599833538</v>
      </c>
      <c r="G132" s="102">
        <v>6</v>
      </c>
      <c r="H132" s="102">
        <v>5</v>
      </c>
      <c r="I132" s="102">
        <v>40</v>
      </c>
      <c r="J132" s="432"/>
      <c r="K132" s="433"/>
      <c r="L132" s="434"/>
      <c r="P132" s="88"/>
      <c r="Q132" s="88"/>
      <c r="R132" s="88"/>
    </row>
    <row r="133" spans="1:18">
      <c r="A133" s="248" t="s">
        <v>238</v>
      </c>
      <c r="B133" s="99">
        <v>2</v>
      </c>
      <c r="C133" s="99">
        <v>8</v>
      </c>
      <c r="D133" s="99">
        <v>35</v>
      </c>
      <c r="E133" s="151">
        <f t="shared" si="35"/>
        <v>4.2225826668958426</v>
      </c>
      <c r="F133" s="151">
        <f t="shared" si="34"/>
        <v>3.5986908599833538</v>
      </c>
      <c r="G133" s="99">
        <v>8</v>
      </c>
      <c r="H133" s="99">
        <v>5</v>
      </c>
      <c r="I133" s="99">
        <v>40</v>
      </c>
      <c r="J133" s="432"/>
      <c r="K133" s="433"/>
      <c r="L133" s="434"/>
      <c r="P133" s="88"/>
      <c r="Q133" s="88"/>
      <c r="R133" s="88"/>
    </row>
    <row r="134" spans="1:18" ht="16.5" thickBot="1">
      <c r="A134" s="292" t="s">
        <v>239</v>
      </c>
      <c r="B134" s="102">
        <v>2</v>
      </c>
      <c r="C134" s="102">
        <v>8</v>
      </c>
      <c r="D134" s="102">
        <v>35</v>
      </c>
      <c r="E134" s="189">
        <f t="shared" si="35"/>
        <v>4.2225826668958426</v>
      </c>
      <c r="F134" s="189">
        <f t="shared" si="34"/>
        <v>3.5986908599833538</v>
      </c>
      <c r="G134" s="102">
        <v>10</v>
      </c>
      <c r="H134" s="102">
        <v>5</v>
      </c>
      <c r="I134" s="102">
        <v>40</v>
      </c>
      <c r="J134" s="435"/>
      <c r="K134" s="436"/>
      <c r="L134" s="437"/>
      <c r="P134" s="88"/>
      <c r="Q134" s="88"/>
      <c r="R134" s="88"/>
    </row>
    <row r="135" spans="1:18" ht="16.5" thickTop="1">
      <c r="A135" s="291" t="s">
        <v>240</v>
      </c>
      <c r="B135" s="99">
        <v>1</v>
      </c>
      <c r="C135" s="99">
        <v>8</v>
      </c>
      <c r="D135" s="99">
        <v>35</v>
      </c>
      <c r="E135" s="151">
        <f t="shared" si="35"/>
        <v>4.2225826668958426</v>
      </c>
      <c r="F135" s="151">
        <f t="shared" ref="F135:F140" si="36">MIN($B$33*$B$35*$D135/1000,(2.3*SQRT($B$32*$B$33*$B$35))/1000+(E135/4),$B$35*$D135*$B$33*(SQRT(2+4*$B$32/($B$35*$D135^2*$B$33))-1)/1000+E135/4)</f>
        <v>3.5986908599833538</v>
      </c>
      <c r="G135" s="99">
        <v>2</v>
      </c>
      <c r="H135" s="99">
        <v>5</v>
      </c>
      <c r="I135" s="99">
        <v>40</v>
      </c>
      <c r="J135" s="429" t="s">
        <v>150</v>
      </c>
      <c r="K135" s="430"/>
      <c r="L135" s="431"/>
      <c r="P135" s="88"/>
      <c r="Q135" s="88"/>
      <c r="R135" s="88"/>
    </row>
    <row r="136" spans="1:18">
      <c r="A136" s="249" t="s">
        <v>241</v>
      </c>
      <c r="B136" s="102">
        <v>2</v>
      </c>
      <c r="C136" s="102">
        <v>8</v>
      </c>
      <c r="D136" s="102">
        <v>35</v>
      </c>
      <c r="E136" s="189">
        <f t="shared" si="35"/>
        <v>4.2225826668958426</v>
      </c>
      <c r="F136" s="189">
        <f t="shared" si="36"/>
        <v>3.5986908599833538</v>
      </c>
      <c r="G136" s="102">
        <v>2</v>
      </c>
      <c r="H136" s="102">
        <v>5</v>
      </c>
      <c r="I136" s="102">
        <v>40</v>
      </c>
      <c r="J136" s="432"/>
      <c r="K136" s="433"/>
      <c r="L136" s="434"/>
      <c r="P136" s="88"/>
      <c r="Q136" s="88"/>
      <c r="R136" s="88"/>
    </row>
    <row r="137" spans="1:18">
      <c r="A137" s="248" t="s">
        <v>242</v>
      </c>
      <c r="B137" s="99">
        <v>2</v>
      </c>
      <c r="C137" s="99">
        <v>8</v>
      </c>
      <c r="D137" s="99">
        <v>35</v>
      </c>
      <c r="E137" s="151">
        <f t="shared" si="35"/>
        <v>4.2225826668958426</v>
      </c>
      <c r="F137" s="151">
        <f t="shared" si="36"/>
        <v>3.5986908599833538</v>
      </c>
      <c r="G137" s="99">
        <v>4</v>
      </c>
      <c r="H137" s="99">
        <v>5</v>
      </c>
      <c r="I137" s="99">
        <v>40</v>
      </c>
      <c r="J137" s="432"/>
      <c r="K137" s="433"/>
      <c r="L137" s="434"/>
      <c r="P137" s="88"/>
      <c r="Q137" s="88"/>
      <c r="R137" s="88"/>
    </row>
    <row r="138" spans="1:18">
      <c r="A138" s="249" t="s">
        <v>243</v>
      </c>
      <c r="B138" s="102">
        <v>2</v>
      </c>
      <c r="C138" s="102">
        <v>8</v>
      </c>
      <c r="D138" s="102">
        <v>35</v>
      </c>
      <c r="E138" s="189">
        <f t="shared" si="35"/>
        <v>4.2225826668958426</v>
      </c>
      <c r="F138" s="189">
        <f t="shared" si="36"/>
        <v>3.5986908599833538</v>
      </c>
      <c r="G138" s="102">
        <v>6</v>
      </c>
      <c r="H138" s="102">
        <v>5</v>
      </c>
      <c r="I138" s="102">
        <v>40</v>
      </c>
      <c r="J138" s="432"/>
      <c r="K138" s="433"/>
      <c r="L138" s="434"/>
      <c r="P138" s="88"/>
      <c r="Q138" s="88"/>
      <c r="R138" s="88"/>
    </row>
    <row r="139" spans="1:18">
      <c r="A139" s="248" t="s">
        <v>244</v>
      </c>
      <c r="B139" s="99">
        <v>2</v>
      </c>
      <c r="C139" s="99">
        <v>8</v>
      </c>
      <c r="D139" s="99">
        <v>35</v>
      </c>
      <c r="E139" s="151">
        <f t="shared" si="35"/>
        <v>4.2225826668958426</v>
      </c>
      <c r="F139" s="151">
        <f t="shared" si="36"/>
        <v>3.5986908599833538</v>
      </c>
      <c r="G139" s="99">
        <v>8</v>
      </c>
      <c r="H139" s="99">
        <v>5</v>
      </c>
      <c r="I139" s="99">
        <v>40</v>
      </c>
      <c r="J139" s="432"/>
      <c r="K139" s="433"/>
      <c r="L139" s="434"/>
      <c r="P139" s="88"/>
      <c r="Q139" s="88"/>
      <c r="R139" s="88"/>
    </row>
    <row r="140" spans="1:18">
      <c r="A140" s="249" t="s">
        <v>245</v>
      </c>
      <c r="B140" s="102">
        <v>2</v>
      </c>
      <c r="C140" s="102">
        <v>8</v>
      </c>
      <c r="D140" s="102">
        <v>35</v>
      </c>
      <c r="E140" s="189">
        <f t="shared" si="35"/>
        <v>4.2225826668958426</v>
      </c>
      <c r="F140" s="189">
        <f t="shared" si="36"/>
        <v>3.5986908599833538</v>
      </c>
      <c r="G140" s="102">
        <v>10</v>
      </c>
      <c r="H140" s="102">
        <v>5</v>
      </c>
      <c r="I140" s="102">
        <v>40</v>
      </c>
      <c r="J140" s="435"/>
      <c r="K140" s="436"/>
      <c r="L140" s="437"/>
      <c r="P140" s="88"/>
      <c r="Q140" s="88"/>
      <c r="R140" s="88"/>
    </row>
    <row r="141" spans="1:18">
      <c r="L141" s="139"/>
      <c r="P141" s="88"/>
      <c r="Q141" s="88"/>
      <c r="R141" s="88"/>
    </row>
    <row r="142" spans="1:18">
      <c r="P142" s="88"/>
      <c r="Q142" s="88"/>
      <c r="R142" s="88"/>
    </row>
    <row r="143" spans="1:18" ht="18">
      <c r="A143" s="91" t="s">
        <v>28</v>
      </c>
      <c r="B143" s="92" t="s">
        <v>70</v>
      </c>
      <c r="C143" s="92" t="s">
        <v>71</v>
      </c>
      <c r="D143" s="92" t="s">
        <v>64</v>
      </c>
      <c r="E143" s="92" t="s">
        <v>65</v>
      </c>
      <c r="F143" s="92" t="s">
        <v>66</v>
      </c>
      <c r="G143" s="92" t="s">
        <v>72</v>
      </c>
      <c r="H143" s="92" t="s">
        <v>73</v>
      </c>
      <c r="I143" s="92" t="s">
        <v>74</v>
      </c>
      <c r="P143" s="88"/>
      <c r="Q143" s="88"/>
      <c r="R143" s="88"/>
    </row>
    <row r="144" spans="1:18">
      <c r="A144" s="95"/>
      <c r="B144" s="110" t="s">
        <v>39</v>
      </c>
      <c r="C144" s="110" t="s">
        <v>39</v>
      </c>
      <c r="D144" s="96" t="s">
        <v>40</v>
      </c>
      <c r="E144" s="96" t="s">
        <v>17</v>
      </c>
      <c r="F144" s="96" t="s">
        <v>17</v>
      </c>
      <c r="G144" s="96" t="s">
        <v>17</v>
      </c>
      <c r="H144" s="96" t="s">
        <v>16</v>
      </c>
      <c r="I144" s="96" t="s">
        <v>39</v>
      </c>
      <c r="P144" s="88"/>
      <c r="Q144" s="88"/>
      <c r="R144" s="88"/>
    </row>
    <row r="145" spans="1:19" ht="15.75" customHeight="1">
      <c r="A145" s="248" t="s">
        <v>234</v>
      </c>
      <c r="B145" s="441" t="s">
        <v>150</v>
      </c>
      <c r="C145" s="442"/>
      <c r="D145" s="98">
        <v>2.8</v>
      </c>
      <c r="E145" s="99">
        <v>29</v>
      </c>
      <c r="F145" s="99">
        <v>43</v>
      </c>
      <c r="G145" s="151">
        <v>7.28</v>
      </c>
      <c r="H145" s="99">
        <v>0</v>
      </c>
      <c r="I145" s="98">
        <f>$F129/SQRT((1/$D145+H145/$E145)^2+(H145/$F145)^2+(F129/(G145*E129))^2)</f>
        <v>9.5750598206072546</v>
      </c>
      <c r="P145" s="88"/>
      <c r="Q145" s="88"/>
      <c r="R145" s="88"/>
    </row>
    <row r="146" spans="1:19">
      <c r="A146" s="249" t="s">
        <v>235</v>
      </c>
      <c r="B146" s="443"/>
      <c r="C146" s="444"/>
      <c r="D146" s="101">
        <v>3.8</v>
      </c>
      <c r="E146" s="102">
        <v>42</v>
      </c>
      <c r="F146" s="102">
        <v>81</v>
      </c>
      <c r="G146" s="189">
        <v>8.61</v>
      </c>
      <c r="H146" s="102">
        <v>0</v>
      </c>
      <c r="I146" s="101">
        <f t="shared" ref="I146:I156" si="37">$F130/SQRT((1/$D146+H146/$E146)^2+(H146/$F146)^2+(F130/(G146*E130))^2)</f>
        <v>12.799531425496344</v>
      </c>
      <c r="P146" s="88"/>
      <c r="Q146" s="88"/>
      <c r="R146" s="88"/>
    </row>
    <row r="147" spans="1:19">
      <c r="A147" s="248" t="s">
        <v>236</v>
      </c>
      <c r="B147" s="443"/>
      <c r="C147" s="444"/>
      <c r="D147" s="98">
        <v>5.6</v>
      </c>
      <c r="E147" s="99">
        <v>72</v>
      </c>
      <c r="F147" s="99">
        <v>212</v>
      </c>
      <c r="G147" s="151">
        <v>14.6</v>
      </c>
      <c r="H147" s="99">
        <v>0</v>
      </c>
      <c r="I147" s="98">
        <f t="shared" si="37"/>
        <v>19.155204983288076</v>
      </c>
      <c r="P147" s="88"/>
      <c r="Q147" s="88"/>
      <c r="R147" s="88"/>
    </row>
    <row r="148" spans="1:19">
      <c r="A148" s="249" t="s">
        <v>237</v>
      </c>
      <c r="B148" s="443"/>
      <c r="C148" s="444"/>
      <c r="D148" s="101">
        <v>7.3</v>
      </c>
      <c r="E148" s="102">
        <v>109</v>
      </c>
      <c r="F148" s="102">
        <v>433</v>
      </c>
      <c r="G148" s="189">
        <v>20.5</v>
      </c>
      <c r="H148" s="102">
        <v>0</v>
      </c>
      <c r="I148" s="101">
        <f t="shared" si="37"/>
        <v>25.138289776898255</v>
      </c>
      <c r="P148" s="88"/>
      <c r="Q148" s="88"/>
      <c r="R148" s="88"/>
    </row>
    <row r="149" spans="1:19">
      <c r="A149" s="248" t="s">
        <v>238</v>
      </c>
      <c r="B149" s="443"/>
      <c r="C149" s="444"/>
      <c r="D149" s="98">
        <v>9.1</v>
      </c>
      <c r="E149" s="99">
        <v>154</v>
      </c>
      <c r="F149" s="99">
        <v>767</v>
      </c>
      <c r="G149" s="151">
        <v>26.4</v>
      </c>
      <c r="H149" s="99">
        <v>0</v>
      </c>
      <c r="I149" s="98">
        <f t="shared" si="37"/>
        <v>31.420360726476584</v>
      </c>
      <c r="P149" s="88"/>
      <c r="Q149" s="88"/>
      <c r="R149" s="88"/>
    </row>
    <row r="150" spans="1:19" ht="16.5" thickBot="1">
      <c r="A150" s="292" t="s">
        <v>239</v>
      </c>
      <c r="B150" s="445"/>
      <c r="C150" s="446"/>
      <c r="D150" s="101">
        <v>10.9</v>
      </c>
      <c r="E150" s="102">
        <v>208</v>
      </c>
      <c r="F150" s="102">
        <v>1241</v>
      </c>
      <c r="G150" s="189">
        <v>32.4</v>
      </c>
      <c r="H150" s="102">
        <v>0</v>
      </c>
      <c r="I150" s="101">
        <f t="shared" si="37"/>
        <v>37.706512457973133</v>
      </c>
      <c r="P150" s="88"/>
      <c r="Q150" s="88"/>
      <c r="R150" s="88"/>
    </row>
    <row r="151" spans="1:19" ht="16.5" thickTop="1">
      <c r="A151" s="291" t="s">
        <v>240</v>
      </c>
      <c r="B151" s="441" t="s">
        <v>150</v>
      </c>
      <c r="C151" s="442"/>
      <c r="D151" s="98">
        <v>2.8</v>
      </c>
      <c r="E151" s="99">
        <v>26</v>
      </c>
      <c r="F151" s="99">
        <v>51</v>
      </c>
      <c r="G151" s="151">
        <v>5.46</v>
      </c>
      <c r="H151" s="99">
        <v>0</v>
      </c>
      <c r="I151" s="98">
        <f t="shared" si="37"/>
        <v>9.2330305421811047</v>
      </c>
      <c r="P151" s="88"/>
      <c r="Q151" s="88"/>
      <c r="R151" s="88"/>
    </row>
    <row r="152" spans="1:19">
      <c r="A152" s="249" t="s">
        <v>241</v>
      </c>
      <c r="B152" s="443"/>
      <c r="C152" s="444"/>
      <c r="D152" s="101">
        <v>3.8</v>
      </c>
      <c r="E152" s="102">
        <v>46</v>
      </c>
      <c r="F152" s="102">
        <v>131</v>
      </c>
      <c r="G152" s="189">
        <v>6.44</v>
      </c>
      <c r="H152" s="102">
        <v>0</v>
      </c>
      <c r="I152" s="101">
        <f t="shared" si="37"/>
        <v>12.217209267647137</v>
      </c>
      <c r="P152" s="88"/>
      <c r="Q152" s="88"/>
      <c r="R152" s="88"/>
    </row>
    <row r="153" spans="1:19">
      <c r="A153" s="248" t="s">
        <v>242</v>
      </c>
      <c r="B153" s="443"/>
      <c r="C153" s="444"/>
      <c r="D153" s="98">
        <v>5.6</v>
      </c>
      <c r="E153" s="99">
        <v>74</v>
      </c>
      <c r="F153" s="99">
        <v>307</v>
      </c>
      <c r="G153" s="151">
        <v>10.9</v>
      </c>
      <c r="H153" s="99">
        <v>0</v>
      </c>
      <c r="I153" s="98">
        <f t="shared" si="37"/>
        <v>18.460624437427914</v>
      </c>
      <c r="P153" s="88"/>
      <c r="Q153" s="88"/>
      <c r="R153" s="88"/>
    </row>
    <row r="154" spans="1:19">
      <c r="A154" s="249" t="s">
        <v>243</v>
      </c>
      <c r="B154" s="443"/>
      <c r="C154" s="444"/>
      <c r="D154" s="101">
        <v>7.3</v>
      </c>
      <c r="E154" s="102">
        <v>110</v>
      </c>
      <c r="F154" s="102">
        <v>595</v>
      </c>
      <c r="G154" s="189">
        <v>15.4</v>
      </c>
      <c r="H154" s="102">
        <v>0</v>
      </c>
      <c r="I154" s="101">
        <f t="shared" si="37"/>
        <v>24.357853816270559</v>
      </c>
      <c r="P154" s="88"/>
      <c r="Q154" s="88"/>
      <c r="R154" s="88"/>
    </row>
    <row r="155" spans="1:19">
      <c r="A155" s="248" t="s">
        <v>244</v>
      </c>
      <c r="B155" s="443"/>
      <c r="C155" s="444"/>
      <c r="D155" s="98">
        <v>9.1</v>
      </c>
      <c r="E155" s="99">
        <v>153</v>
      </c>
      <c r="F155" s="99">
        <v>1025</v>
      </c>
      <c r="G155" s="151">
        <v>19.899999999999999</v>
      </c>
      <c r="H155" s="99">
        <v>0</v>
      </c>
      <c r="I155" s="98">
        <f t="shared" si="37"/>
        <v>30.512776920174119</v>
      </c>
      <c r="P155" s="88"/>
      <c r="Q155" s="88"/>
      <c r="R155" s="88"/>
    </row>
    <row r="156" spans="1:19">
      <c r="A156" s="249" t="s">
        <v>245</v>
      </c>
      <c r="B156" s="445"/>
      <c r="C156" s="446"/>
      <c r="D156" s="101">
        <v>10.9</v>
      </c>
      <c r="E156" s="102">
        <v>205</v>
      </c>
      <c r="F156" s="102">
        <v>1629</v>
      </c>
      <c r="G156" s="189">
        <v>24.4</v>
      </c>
      <c r="H156" s="102">
        <v>0</v>
      </c>
      <c r="I156" s="101">
        <f t="shared" si="37"/>
        <v>36.658825363232978</v>
      </c>
      <c r="P156" s="88"/>
      <c r="Q156" s="88"/>
      <c r="R156" s="88"/>
    </row>
    <row r="157" spans="1:19">
      <c r="P157" s="88"/>
      <c r="Q157" s="88"/>
      <c r="R157" s="88"/>
    </row>
    <row r="158" spans="1:19">
      <c r="A158" s="90"/>
      <c r="B158" s="128"/>
      <c r="E158" s="85" t="s">
        <v>55</v>
      </c>
      <c r="F158" s="90"/>
      <c r="O158" s="425"/>
      <c r="P158" s="425"/>
      <c r="Q158" s="425"/>
      <c r="R158" s="425"/>
    </row>
    <row r="159" spans="1:19" ht="18.75">
      <c r="A159" s="91" t="s">
        <v>28</v>
      </c>
      <c r="B159" s="129" t="s">
        <v>75</v>
      </c>
      <c r="C159" s="129" t="s">
        <v>76</v>
      </c>
      <c r="D159" s="129" t="s">
        <v>77</v>
      </c>
      <c r="E159" s="130" t="s">
        <v>78</v>
      </c>
      <c r="F159" s="148"/>
      <c r="N159" s="91" t="s">
        <v>28</v>
      </c>
      <c r="O159" s="426" t="s">
        <v>88</v>
      </c>
      <c r="P159" s="427"/>
      <c r="Q159" s="427"/>
      <c r="R159" s="427"/>
      <c r="S159" s="428"/>
    </row>
    <row r="160" spans="1:19">
      <c r="A160" s="95"/>
      <c r="B160" s="149" t="s">
        <v>39</v>
      </c>
      <c r="C160" s="132" t="s">
        <v>39</v>
      </c>
      <c r="D160" s="132" t="s">
        <v>39</v>
      </c>
      <c r="E160" s="133" t="s">
        <v>39</v>
      </c>
      <c r="F160" s="150"/>
      <c r="N160" s="95"/>
      <c r="O160" s="299">
        <f>IF(AND(Bemessung!$B$36=Berechnungstabellen!$K$17,Bemessung!$F$24=3),0,IF(OR(Bemessung!$F$24=1,Bemessung!$F$24=2),0.6,0.5))</f>
        <v>0.6</v>
      </c>
      <c r="P160" s="299">
        <f>IF(AND(Bemessung!$B$36=Berechnungstabellen!$K$17,Bemessung!$F$24=3),0,IF(OR(Bemessung!$F$24=1,Bemessung!$F$24=2),0.7,0.55))</f>
        <v>0.7</v>
      </c>
      <c r="Q160" s="299">
        <f>IF(AND(Bemessung!$B$36=Berechnungstabellen!$K$17,Bemessung!$F$24=3),0,IF(OR(Bemessung!$F$24=1,Bemessung!$F$24=2),0.8,0.65))</f>
        <v>0.8</v>
      </c>
      <c r="R160" s="299">
        <f>IF(AND(Bemessung!$B$36=Berechnungstabellen!$K$17,Bemessung!$F$24=3),0,IF(OR(Bemessung!$F$24=1,Bemessung!$F$24=2),0.9,0.7))</f>
        <v>0.9</v>
      </c>
      <c r="S160" s="299">
        <f>IF(AND(Bemessung!$B$36=Berechnungstabellen!$K$17,Bemessung!$F$24=3),0,IF(OR(Bemessung!$F$24=1,Bemessung!$F$24=2),1,0.8))</f>
        <v>1</v>
      </c>
    </row>
    <row r="161" spans="1:19">
      <c r="A161" s="248" t="s">
        <v>234</v>
      </c>
      <c r="B161" s="98">
        <f t="shared" ref="B161:B166" si="38">G113</f>
        <v>6.5148590121659478</v>
      </c>
      <c r="C161" s="98">
        <v>3</v>
      </c>
      <c r="D161" s="98">
        <f t="shared" ref="D161:D166" si="39">I145</f>
        <v>9.5750598206072546</v>
      </c>
      <c r="E161" s="98">
        <f t="shared" ref="E161:E166" si="40">MIN(B161,D161)</f>
        <v>6.5148590121659478</v>
      </c>
      <c r="F161" s="150"/>
      <c r="N161" s="248" t="s">
        <v>234</v>
      </c>
      <c r="O161" s="151">
        <f>IF(Bemessung!$B$29="RICON 60/40 EA A2",MIN(O$160*$B161/$B$173,$C161/$C$173,O$160*$D161/$E$173),0)</f>
        <v>0</v>
      </c>
      <c r="P161" s="151">
        <f>IF(Bemessung!$B$29="RICON 60/40 EA A2",MIN(P$160*$B161/$B$173,$C161/$C$173,P$160*$D161/$E$173),0)</f>
        <v>0</v>
      </c>
      <c r="Q161" s="151">
        <f>IF(Bemessung!$B$29="RICON 60/40 EA A2",MIN(Q$160*$B161/$B$173,$C161/$C$173,Q$160*$D161/$E$173),0)</f>
        <v>0</v>
      </c>
      <c r="R161" s="151">
        <f>IF(Bemessung!$B$29="RICON 60/40 EA A2",MIN(R$160*$B161/$B$173,$C161/$C$173,R$160*$D161/$E$173),0)</f>
        <v>0</v>
      </c>
      <c r="S161" s="151">
        <f>IF(Bemessung!$B$29="RICON 60/40 EA A2",MIN(S$160*$B161/$B$173,$C161/$C$173,S$160*$D161/$E$173),0)</f>
        <v>0</v>
      </c>
    </row>
    <row r="162" spans="1:19">
      <c r="A162" s="249" t="s">
        <v>235</v>
      </c>
      <c r="B162" s="101">
        <f t="shared" si="38"/>
        <v>8.8415943736537876</v>
      </c>
      <c r="C162" s="101">
        <v>6</v>
      </c>
      <c r="D162" s="101">
        <f t="shared" si="39"/>
        <v>12.799531425496344</v>
      </c>
      <c r="E162" s="101">
        <f t="shared" si="40"/>
        <v>8.8415943736537876</v>
      </c>
      <c r="F162" s="152"/>
      <c r="J162" s="138"/>
      <c r="M162" s="90"/>
      <c r="N162" s="249" t="s">
        <v>235</v>
      </c>
      <c r="O162" s="189">
        <f>IF(Bemessung!$B$29="RICON 80/40 EA A2",MIN(O$160*$B162/$B$173,$C162/$C$173,O$160*$D162/$E$173),0)</f>
        <v>0</v>
      </c>
      <c r="P162" s="189">
        <f>IF(Bemessung!$B$29="RICON 80/40 EA A2",MIN(P$160*$B162/$B$173,$C162/$C$173,P$160*$D162/$E$173),0)</f>
        <v>0</v>
      </c>
      <c r="Q162" s="189">
        <f>IF(Bemessung!$B$29="RICON 80/40 EA A2",MIN(Q$160*$B162/$B$173,$C162/$C$173,Q$160*$D162/$E$173),0)</f>
        <v>0</v>
      </c>
      <c r="R162" s="189">
        <f>IF(Bemessung!$B$29="RICON 80/40 EA A2",MIN(R$160*$B162/$B$173,$C162/$C$173,R$160*$D162/$E$173),0)</f>
        <v>0</v>
      </c>
      <c r="S162" s="189">
        <f>IF(Bemessung!$B$29="RICON 80/40 EA A2",MIN(S$160*$B162/$B$173,$C162/$C$173,S$160*$D162/$E$173),0)</f>
        <v>0</v>
      </c>
    </row>
    <row r="163" spans="1:19">
      <c r="A163" s="248" t="s">
        <v>236</v>
      </c>
      <c r="B163" s="98">
        <f t="shared" si="38"/>
        <v>13.029718024331896</v>
      </c>
      <c r="C163" s="98">
        <v>7.5</v>
      </c>
      <c r="D163" s="98">
        <f t="shared" si="39"/>
        <v>19.155204983288076</v>
      </c>
      <c r="E163" s="98">
        <f t="shared" si="40"/>
        <v>13.029718024331896</v>
      </c>
      <c r="F163" s="152"/>
      <c r="J163" s="138"/>
      <c r="M163" s="90"/>
      <c r="N163" s="248" t="s">
        <v>236</v>
      </c>
      <c r="O163" s="151">
        <f>IF(Bemessung!$B$29="RICON 100/40 EA A2",MIN(O$160*$B163/$B$173,$C163/$C$173,O$160*$D163/$E$173),0)</f>
        <v>0</v>
      </c>
      <c r="P163" s="151">
        <f>IF(Bemessung!$B$29="RICON 100/40 EA A2",MIN(P$160*$B163/$B$173,$C163/$C$173,P$160*$D163/$E$173),0)</f>
        <v>0</v>
      </c>
      <c r="Q163" s="151">
        <f>IF(Bemessung!$B$29="RICON 100/40 EA A2",MIN(Q$160*$B163/$B$173,$C163/$C$173,Q$160*$D163/$E$173),0)</f>
        <v>0</v>
      </c>
      <c r="R163" s="151">
        <f>IF(Bemessung!$B$29="RICON 100/40 EA A2",MIN(R$160*$B163/$B$173,$C163/$C$173,R$160*$D163/$E$173),0)</f>
        <v>0</v>
      </c>
      <c r="S163" s="151">
        <f>IF(Bemessung!$B$29="RICON 100/40 EA A2",MIN(S$160*$B163/$B$173,$C163/$C$173,S$160*$D163/$E$173),0)</f>
        <v>0</v>
      </c>
    </row>
    <row r="164" spans="1:19">
      <c r="A164" s="249" t="s">
        <v>237</v>
      </c>
      <c r="B164" s="101">
        <f t="shared" si="38"/>
        <v>16.985168138861223</v>
      </c>
      <c r="C164" s="101">
        <v>9</v>
      </c>
      <c r="D164" s="101">
        <f t="shared" si="39"/>
        <v>25.138289776898255</v>
      </c>
      <c r="E164" s="101">
        <f t="shared" si="40"/>
        <v>16.985168138861223</v>
      </c>
      <c r="F164" s="152"/>
      <c r="J164" s="138"/>
      <c r="M164" s="90"/>
      <c r="N164" s="249" t="s">
        <v>237</v>
      </c>
      <c r="O164" s="189">
        <f>IF(Bemessung!$B$29="RICON 120/40 EA A2",MIN(O$160*$B164/$B$173,$C164/$C$173,O$160*$D164/$E$173),0)</f>
        <v>0</v>
      </c>
      <c r="P164" s="189">
        <f>IF(Bemessung!$B$29="RICON 120/40 EA A2",MIN(P$160*$B164/$B$173,$C164/$C$173,P$160*$D164/$E$173),0)</f>
        <v>0</v>
      </c>
      <c r="Q164" s="189">
        <f>IF(Bemessung!$B$29="RICON 120/40 EA A2",MIN(Q$160*$B164/$B$173,$C164/$C$173,Q$160*$D164/$E$173),0)</f>
        <v>0</v>
      </c>
      <c r="R164" s="189">
        <f>IF(Bemessung!$B$29="RICON 120/40 EA A2",MIN(R$160*$B164/$B$173,$C164/$C$173,R$160*$D164/$E$173),0)</f>
        <v>0</v>
      </c>
      <c r="S164" s="189">
        <f>IF(Bemessung!$B$29="RICON 120/40 EA A2",MIN(S$160*$B164/$B$173,$C164/$C$173,S$160*$D164/$E$173),0)</f>
        <v>0</v>
      </c>
    </row>
    <row r="165" spans="1:19">
      <c r="A165" s="248" t="s">
        <v>238</v>
      </c>
      <c r="B165" s="98">
        <f t="shared" si="38"/>
        <v>21.173291789539331</v>
      </c>
      <c r="C165" s="98">
        <v>9</v>
      </c>
      <c r="D165" s="98">
        <f t="shared" si="39"/>
        <v>31.420360726476584</v>
      </c>
      <c r="E165" s="98">
        <f t="shared" si="40"/>
        <v>21.173291789539331</v>
      </c>
      <c r="F165" s="152"/>
      <c r="J165" s="138"/>
      <c r="M165" s="90"/>
      <c r="N165" s="248" t="s">
        <v>238</v>
      </c>
      <c r="O165" s="151">
        <f>IF(Bemessung!$B$29="RICON 140/40 EA A2",MIN(O$160*$B165/$B$173,$C165/$C$173,O$160*$D165/$E$173),0)</f>
        <v>0</v>
      </c>
      <c r="P165" s="151">
        <f>IF(Bemessung!$B$29="RICON 140/40 EA A2",MIN(P$160*$B165/$B$173,$C165/$C$173,P$160*$D165/$E$173),0)</f>
        <v>0</v>
      </c>
      <c r="Q165" s="151">
        <f>IF(Bemessung!$B$29="RICON 140/40 EA A2",MIN(Q$160*$B165/$B$173,$C165/$C$173,Q$160*$D165/$E$173),0)</f>
        <v>0</v>
      </c>
      <c r="R165" s="151">
        <f>IF(Bemessung!$B$29="RICON 140/40 EA A2",MIN(R$160*$B165/$B$173,$C165/$C$173,R$160*$D165/$E$173),0)</f>
        <v>0</v>
      </c>
      <c r="S165" s="151">
        <f>IF(Bemessung!$B$29="RICON 140/40 EA A2",MIN(S$160*$B165/$B$173,$C165/$C$173,S$160*$D165/$E$173),0)</f>
        <v>0</v>
      </c>
    </row>
    <row r="166" spans="1:19" ht="16.5" thickBot="1">
      <c r="A166" s="292" t="s">
        <v>239</v>
      </c>
      <c r="B166" s="324">
        <f t="shared" si="38"/>
        <v>25.361415440217442</v>
      </c>
      <c r="C166" s="320">
        <v>9</v>
      </c>
      <c r="D166" s="320">
        <f t="shared" si="39"/>
        <v>37.706512457973133</v>
      </c>
      <c r="E166" s="320">
        <f t="shared" si="40"/>
        <v>25.361415440217442</v>
      </c>
      <c r="F166" s="152"/>
      <c r="J166" s="138"/>
      <c r="M166" s="90"/>
      <c r="N166" s="292" t="s">
        <v>239</v>
      </c>
      <c r="O166" s="303">
        <f>IF(Bemessung!$B$29="RICON 160/40 EA A2",MIN(O$160*$B166/$B$173,$C166/$C$173,O$160*$D166/$E$173),0)</f>
        <v>0</v>
      </c>
      <c r="P166" s="303">
        <f>IF(Bemessung!$B$29="RICON 160/40 EA A2",MIN(P$160*$B166/$B$173,$C166/$C$173,P$160*$D166/$E$173),0)</f>
        <v>0</v>
      </c>
      <c r="Q166" s="303">
        <f>IF(Bemessung!$B$29="RICON 160/40 EA A2",MIN(Q$160*$B166/$B$173,$C166/$C$173,Q$160*$D166/$E$173),0)</f>
        <v>0</v>
      </c>
      <c r="R166" s="303">
        <f>IF(Bemessung!$B$29="RICON 160/40 EA A2",MIN(R$160*$B166/$B$173,$C166/$C$173,R$160*$D166/$E$173),0)</f>
        <v>0</v>
      </c>
      <c r="S166" s="303">
        <f>IF(Bemessung!$B$29="RICON 160/40 EA A2",MIN(S$160*$B166/$B$173,$C166/$C$173,S$160*$D166/$E$173),0)</f>
        <v>0</v>
      </c>
    </row>
    <row r="167" spans="1:19" ht="16.5" thickTop="1">
      <c r="A167" s="291" t="s">
        <v>240</v>
      </c>
      <c r="B167" s="317">
        <f t="shared" ref="B167:B172" si="41">G119</f>
        <v>6.5148590121659478</v>
      </c>
      <c r="C167" s="317">
        <v>1.8</v>
      </c>
      <c r="D167" s="317">
        <f t="shared" ref="D167:D172" si="42">I151</f>
        <v>9.2330305421811047</v>
      </c>
      <c r="E167" s="317">
        <f t="shared" ref="E167:E172" si="43">MIN(B167,D167)</f>
        <v>6.5148590121659478</v>
      </c>
      <c r="N167" s="291" t="s">
        <v>240</v>
      </c>
      <c r="O167" s="301">
        <f>IF(Bemessung!$B$29="RICON 60/30 EA A2",MIN(O$160*$B167/$B$173,$C167/$C$173,O$160*$D167/$E$173),0)</f>
        <v>0</v>
      </c>
      <c r="P167" s="301">
        <f>IF(Bemessung!$B$29="RICON 60/30 EA A2",MIN(P$160*$B167/$B$173,$C167/$C$173,P$160*$D167/$E$173),0)</f>
        <v>0</v>
      </c>
      <c r="Q167" s="301">
        <f>IF(Bemessung!$B$29="RICON 60/30 EA A2",MIN(Q$160*$B167/$B$173,$C167/$C$173,Q$160*$D167/$E$173),0)</f>
        <v>0</v>
      </c>
      <c r="R167" s="301">
        <f>IF(Bemessung!$B$29="RICON 60/30 EA A2",MIN(R$160*$B167/$B$173,$C167/$C$173,R$160*$D167/$E$173),0)</f>
        <v>0</v>
      </c>
      <c r="S167" s="301">
        <f>IF(Bemessung!$B$29="RICON 60/30 EA A2",MIN(S$160*$B167/$B$173,$C167/$C$173,S$160*$D167/$E$173),0)</f>
        <v>0</v>
      </c>
    </row>
    <row r="168" spans="1:19">
      <c r="A168" s="249" t="s">
        <v>241</v>
      </c>
      <c r="B168" s="101">
        <f t="shared" si="41"/>
        <v>8.8415943736537876</v>
      </c>
      <c r="C168" s="101">
        <v>3.6</v>
      </c>
      <c r="D168" s="101">
        <f t="shared" si="42"/>
        <v>12.217209267647137</v>
      </c>
      <c r="E168" s="101">
        <f t="shared" si="43"/>
        <v>8.8415943736537876</v>
      </c>
      <c r="N168" s="249" t="s">
        <v>241</v>
      </c>
      <c r="O168" s="189">
        <f>IF(Bemessung!$B$29="RICON 80/30 EA A2",MIN(O$160*$B168/$B$173,$C168/$C$173,O$160*$D168/$E$173),0)</f>
        <v>0</v>
      </c>
      <c r="P168" s="189">
        <f>IF(Bemessung!$B$29="RICON 80/30 EA A2",MIN(P$160*$B168/$B$173,$C168/$C$173,P$160*$D168/$E$173),0)</f>
        <v>0</v>
      </c>
      <c r="Q168" s="189">
        <f>IF(Bemessung!$B$29="RICON 80/30 EA A2",MIN(Q$160*$B168/$B$173,$C168/$C$173,Q$160*$D168/$E$173),0)</f>
        <v>0</v>
      </c>
      <c r="R168" s="189">
        <f>IF(Bemessung!$B$29="RICON 80/30 EA A2",MIN(R$160*$B168/$B$173,$C168/$C$173,R$160*$D168/$E$173),0)</f>
        <v>0</v>
      </c>
      <c r="S168" s="189">
        <f>IF(Bemessung!$B$29="RICON 80/30 EA A2",MIN(S$160*$B168/$B$173,$C168/$C$173,S$160*$D168/$E$173),0)</f>
        <v>0</v>
      </c>
    </row>
    <row r="169" spans="1:19">
      <c r="A169" s="248" t="s">
        <v>242</v>
      </c>
      <c r="B169" s="98">
        <f t="shared" si="41"/>
        <v>13.029718024331896</v>
      </c>
      <c r="C169" s="98">
        <v>4.5</v>
      </c>
      <c r="D169" s="98">
        <f t="shared" si="42"/>
        <v>18.460624437427914</v>
      </c>
      <c r="E169" s="98">
        <f t="shared" si="43"/>
        <v>13.029718024331896</v>
      </c>
      <c r="F169" s="242"/>
      <c r="G169" s="242"/>
      <c r="N169" s="248" t="s">
        <v>242</v>
      </c>
      <c r="O169" s="151">
        <f>IF(Bemessung!$B$29="RICON 100/30 EA A2",MIN(O$160*$B169/$B$173,$C169/$C$173,O$160*$D169/$E$173),0)</f>
        <v>4.5</v>
      </c>
      <c r="P169" s="151">
        <f>IF(Bemessung!$B$29="RICON 100/30 EA A2",MIN(P$160*$B169/$B$173,$C169/$C$173,P$160*$D169/$E$173),0)</f>
        <v>4.5</v>
      </c>
      <c r="Q169" s="151">
        <f>IF(Bemessung!$B$29="RICON 100/30 EA A2",MIN(Q$160*$B169/$B$173,$C169/$C$173,Q$160*$D169/$E$173),0)</f>
        <v>4.5</v>
      </c>
      <c r="R169" s="151">
        <f>IF(Bemessung!$B$29="RICON 100/30 EA A2",MIN(R$160*$B169/$B$173,$C169/$C$173,R$160*$D169/$E$173),0)</f>
        <v>4.5</v>
      </c>
      <c r="S169" s="151">
        <f>IF(Bemessung!$B$29="RICON 100/30 EA A2",MIN(S$160*$B169/$B$173,$C169/$C$173,S$160*$D169/$E$173),0)</f>
        <v>4.5</v>
      </c>
    </row>
    <row r="170" spans="1:19">
      <c r="A170" s="249" t="s">
        <v>243</v>
      </c>
      <c r="B170" s="101">
        <f t="shared" si="41"/>
        <v>16.985168138861223</v>
      </c>
      <c r="C170" s="101">
        <v>5.4</v>
      </c>
      <c r="D170" s="101">
        <f t="shared" si="42"/>
        <v>24.357853816270559</v>
      </c>
      <c r="E170" s="101">
        <f t="shared" si="43"/>
        <v>16.985168138861223</v>
      </c>
      <c r="F170" s="242"/>
      <c r="G170" s="242"/>
      <c r="N170" s="249" t="s">
        <v>243</v>
      </c>
      <c r="O170" s="189">
        <f>IF(Bemessung!$B$29="RICON 120/30 EA A2",MIN(O$160*$B170/$B$173,$C170/$C$173,O$160*$D170/$E$173),0)</f>
        <v>0</v>
      </c>
      <c r="P170" s="189">
        <f>IF(Bemessung!$B$29="RICON 120/30 EA A2",MIN(P$160*$B170/$B$173,$C170/$C$173,P$160*$D170/$E$173),0)</f>
        <v>0</v>
      </c>
      <c r="Q170" s="189">
        <f>IF(Bemessung!$B$29="RICON 120/30 EA A2",MIN(Q$160*$B170/$B$173,$C170/$C$173,Q$160*$D170/$E$173),0)</f>
        <v>0</v>
      </c>
      <c r="R170" s="189">
        <f>IF(Bemessung!$B$29="RICON 120/30 EA A2",MIN(R$160*$B170/$B$173,$C170/$C$173,R$160*$D170/$E$173),0)</f>
        <v>0</v>
      </c>
      <c r="S170" s="189">
        <f>IF(Bemessung!$B$29="RICON 120/30 EA A2",MIN(S$160*$B170/$B$173,$C170/$C$173,S$160*$D170/$E$173),0)</f>
        <v>0</v>
      </c>
    </row>
    <row r="171" spans="1:19">
      <c r="A171" s="248" t="s">
        <v>244</v>
      </c>
      <c r="B171" s="98">
        <f t="shared" si="41"/>
        <v>21.173291789539331</v>
      </c>
      <c r="C171" s="98">
        <v>5.4</v>
      </c>
      <c r="D171" s="98">
        <f t="shared" si="42"/>
        <v>30.512776920174119</v>
      </c>
      <c r="E171" s="98">
        <f t="shared" si="43"/>
        <v>21.173291789539331</v>
      </c>
      <c r="F171" s="242"/>
      <c r="G171" s="242"/>
      <c r="N171" s="248" t="s">
        <v>244</v>
      </c>
      <c r="O171" s="151">
        <f>IF(Bemessung!$B$29="RICON 140/30 EA A2",MIN(O$160*$B171/$B$173,$C171/$C$173,O$160*$D171/$E$173),0)</f>
        <v>0</v>
      </c>
      <c r="P171" s="151">
        <f>IF(Bemessung!$B$29="RICON 140/30 EA A2",MIN(P$160*$B171/$B$173,$C171/$C$173,P$160*$D171/$E$173),0)</f>
        <v>0</v>
      </c>
      <c r="Q171" s="151">
        <f>IF(Bemessung!$B$29="RICON 140/30 EA A2",MIN(Q$160*$B171/$B$173,$C171/$C$173,Q$160*$D171/$E$173),0)</f>
        <v>0</v>
      </c>
      <c r="R171" s="151">
        <f>IF(Bemessung!$B$29="RICON 140/30 EA A2",MIN(R$160*$B171/$B$173,$C171/$C$173,R$160*$D171/$E$173),0)</f>
        <v>0</v>
      </c>
      <c r="S171" s="151">
        <f>IF(Bemessung!$B$29="RICON 140/30 EA A2",MIN(S$160*$B171/$B$173,$C171/$C$173,S$160*$D171/$E$173),0)</f>
        <v>0</v>
      </c>
    </row>
    <row r="172" spans="1:19">
      <c r="A172" s="249" t="s">
        <v>245</v>
      </c>
      <c r="B172" s="101">
        <f t="shared" si="41"/>
        <v>25.361415440217442</v>
      </c>
      <c r="C172" s="101">
        <v>5.4</v>
      </c>
      <c r="D172" s="101">
        <f t="shared" si="42"/>
        <v>36.658825363232978</v>
      </c>
      <c r="E172" s="101">
        <f t="shared" si="43"/>
        <v>25.361415440217442</v>
      </c>
      <c r="F172" s="242"/>
      <c r="G172" s="242"/>
      <c r="N172" s="249" t="s">
        <v>245</v>
      </c>
      <c r="O172" s="189">
        <f>IF(Bemessung!$B$29="RICON 160/30 EA A2",MIN(O$160*$B172/$B$173,$C172/$C$173,O$160*$D172/$E$173),0)</f>
        <v>0</v>
      </c>
      <c r="P172" s="189">
        <f>IF(Bemessung!$B$29="RICON 160/30 EA A2",MIN(P$160*$B172/$B$173,$C172/$C$173,P$160*$D172/$E$173),0)</f>
        <v>0</v>
      </c>
      <c r="Q172" s="189">
        <f>IF(Bemessung!$B$29="RICON 160/30 EA A2",MIN(Q$160*$B172/$B$173,$C172/$C$173,Q$160*$D172/$E$173),0)</f>
        <v>0</v>
      </c>
      <c r="R172" s="189">
        <f>IF(Bemessung!$B$29="RICON 160/30 EA A2",MIN(R$160*$B172/$B$173,$C172/$C$173,R$160*$D172/$E$173),0)</f>
        <v>0</v>
      </c>
      <c r="S172" s="189">
        <f>IF(Bemessung!$B$29="RICON 160/30 EA A2",MIN(S$160*$B172/$B$173,$C172/$C$173,S$160*$D172/$E$173),0)</f>
        <v>0</v>
      </c>
    </row>
    <row r="173" spans="1:19">
      <c r="A173" s="329" t="s">
        <v>251</v>
      </c>
      <c r="B173" s="328">
        <v>1.3</v>
      </c>
      <c r="C173" s="328">
        <v>1</v>
      </c>
      <c r="D173" s="329" t="s">
        <v>251</v>
      </c>
      <c r="E173" s="328">
        <v>1.3</v>
      </c>
      <c r="F173" s="242"/>
      <c r="G173" s="242"/>
      <c r="O173" s="243"/>
      <c r="P173" s="243"/>
      <c r="Q173" s="243"/>
      <c r="R173" s="243"/>
    </row>
    <row r="174" spans="1:19">
      <c r="B174" s="240"/>
      <c r="C174" s="240"/>
      <c r="D174" s="240"/>
      <c r="E174" s="241"/>
      <c r="F174" s="242"/>
      <c r="G174" s="242"/>
      <c r="O174" s="243"/>
      <c r="P174" s="243"/>
      <c r="Q174" s="243"/>
      <c r="R174" s="243"/>
    </row>
    <row r="175" spans="1:19">
      <c r="O175" s="243"/>
      <c r="P175" s="243"/>
      <c r="Q175" s="243"/>
      <c r="R175" s="243"/>
    </row>
  </sheetData>
  <sheetProtection password="D9CA" sheet="1" objects="1" scenarios="1" selectLockedCells="1"/>
  <mergeCells count="14">
    <mergeCell ref="J96:L101"/>
    <mergeCell ref="B113:B118"/>
    <mergeCell ref="J129:L134"/>
    <mergeCell ref="B145:C150"/>
    <mergeCell ref="O159:S159"/>
    <mergeCell ref="J102:L107"/>
    <mergeCell ref="B119:B124"/>
    <mergeCell ref="J135:L140"/>
    <mergeCell ref="B151:C156"/>
    <mergeCell ref="O7:R7"/>
    <mergeCell ref="O70:R70"/>
    <mergeCell ref="O158:R158"/>
    <mergeCell ref="O8:S8"/>
    <mergeCell ref="O71:S71"/>
  </mergeCells>
  <phoneticPr fontId="5" type="noConversion"/>
  <pageMargins left="0.78740157499999996" right="0.78740157499999996" top="0.984251969" bottom="0.984251969" header="0.4921259845" footer="0.4921259845"/>
  <pageSetup paperSize="9" scale="32" orientation="landscape" r:id="rId1"/>
  <headerFooter alignWithMargins="0"/>
  <rowBreaks count="1" manualBreakCount="1">
    <brk id="86" max="16383" man="1"/>
  </rowBreaks>
  <drawing r:id="rId2"/>
  <legacyDrawing r:id="rId3"/>
  <oleObjects>
    <mc:AlternateContent xmlns:mc="http://schemas.openxmlformats.org/markup-compatibility/2006">
      <mc:Choice Requires="x14">
        <oleObject progId="Equation.3" shapeId="3075" r:id="rId4">
          <objectPr defaultSize="0" autoPict="0" r:id="rId5">
            <anchor moveWithCells="1">
              <from>
                <xdr:col>4</xdr:col>
                <xdr:colOff>28575</xdr:colOff>
                <xdr:row>34</xdr:row>
                <xdr:rowOff>9525</xdr:rowOff>
              </from>
              <to>
                <xdr:col>5</xdr:col>
                <xdr:colOff>676275</xdr:colOff>
                <xdr:row>35</xdr:row>
                <xdr:rowOff>38100</xdr:rowOff>
              </to>
            </anchor>
          </objectPr>
        </oleObject>
      </mc:Choice>
      <mc:Fallback>
        <oleObject progId="Equation.3" shapeId="3075" r:id="rId4"/>
      </mc:Fallback>
    </mc:AlternateContent>
    <mc:AlternateContent xmlns:mc="http://schemas.openxmlformats.org/markup-compatibility/2006">
      <mc:Choice Requires="x14">
        <oleObject progId="Equation.3" shapeId="3077" r:id="rId6">
          <objectPr defaultSize="0" autoPict="0" r:id="rId7">
            <anchor moveWithCells="1">
              <from>
                <xdr:col>6</xdr:col>
                <xdr:colOff>657225</xdr:colOff>
                <xdr:row>70</xdr:row>
                <xdr:rowOff>95250</xdr:rowOff>
              </from>
              <to>
                <xdr:col>11</xdr:col>
                <xdr:colOff>514350</xdr:colOff>
                <xdr:row>79</xdr:row>
                <xdr:rowOff>85725</xdr:rowOff>
              </to>
            </anchor>
          </objectPr>
        </oleObject>
      </mc:Choice>
      <mc:Fallback>
        <oleObject progId="Equation.3" shapeId="3077"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showGridLines="0" showRowColHeaders="0" workbookViewId="0">
      <selection activeCell="G24" sqref="G23:G24"/>
    </sheetView>
  </sheetViews>
  <sheetFormatPr baseColWidth="10" defaultRowHeight="15.75"/>
  <cols>
    <col min="1" max="4" width="13.375" customWidth="1"/>
    <col min="6" max="6" width="13.125" bestFit="1" customWidth="1"/>
  </cols>
  <sheetData>
    <row r="1" spans="1:8">
      <c r="A1" s="274" t="s">
        <v>216</v>
      </c>
    </row>
    <row r="2" spans="1:8">
      <c r="A2" s="275">
        <v>8</v>
      </c>
      <c r="B2" s="274" t="s">
        <v>217</v>
      </c>
      <c r="F2" s="275">
        <f>Bemessung!F95</f>
        <v>0</v>
      </c>
    </row>
    <row r="3" spans="1:8">
      <c r="A3" s="276" t="s">
        <v>218</v>
      </c>
      <c r="B3" s="276" t="s">
        <v>219</v>
      </c>
      <c r="C3" s="276" t="s">
        <v>220</v>
      </c>
      <c r="D3" s="277" t="s">
        <v>221</v>
      </c>
      <c r="F3" s="277" t="s">
        <v>222</v>
      </c>
      <c r="G3" s="274" t="str">
        <f>Bemessung!C96</f>
        <v>Typ 1</v>
      </c>
      <c r="H3" s="274" t="str">
        <f>Bemessung!D96</f>
        <v>SWG [ ETA-12/0197]</v>
      </c>
    </row>
    <row r="4" spans="1:8">
      <c r="A4" s="278" t="s">
        <v>223</v>
      </c>
      <c r="B4" s="278" t="s">
        <v>223</v>
      </c>
      <c r="C4" s="278" t="s">
        <v>223</v>
      </c>
      <c r="D4" s="278" t="s">
        <v>223</v>
      </c>
      <c r="F4" s="278" t="s">
        <v>223</v>
      </c>
    </row>
    <row r="5" spans="1:8">
      <c r="A5" s="278">
        <v>120</v>
      </c>
      <c r="B5" s="278">
        <v>120</v>
      </c>
      <c r="C5" s="278">
        <v>120</v>
      </c>
      <c r="D5" s="276" t="str">
        <f>IF(AND(Bemessung!$C$96="Typ 1",Bemessung!$F$95=8),Schraubenlängen!A5,IF(AND(Bemessung!$C$96="Typ 2",Bemessung!$F$95=8),Schraubenlängen!B5,IF(AND(Bemessung!$C$96="Typ 3",Bemessung!$F$95=8),Schraubenlängen!C5,"")))</f>
        <v/>
      </c>
      <c r="F5" s="280" t="str">
        <f>IF($F$2=8,D5,D33)</f>
        <v/>
      </c>
    </row>
    <row r="6" spans="1:8">
      <c r="A6" s="279">
        <v>160</v>
      </c>
      <c r="B6" s="279">
        <v>160</v>
      </c>
      <c r="C6" s="279">
        <v>160</v>
      </c>
      <c r="D6" s="276" t="str">
        <f>IF(AND(Bemessung!$C$96="Typ 1",Bemessung!$F$95=8),Schraubenlängen!A6,IF(AND(Bemessung!$C$96="Typ 2",Bemessung!$F$95=8),Schraubenlängen!B6,IF(AND(Bemessung!$C$96="Typ 3",Bemessung!$F$95=8),Schraubenlängen!C6,"")))</f>
        <v/>
      </c>
      <c r="F6" s="280" t="str">
        <f t="shared" ref="F6:F26" si="0">IF($F$2=8,D6,D34)</f>
        <v/>
      </c>
    </row>
    <row r="7" spans="1:8">
      <c r="A7" s="279">
        <v>180</v>
      </c>
      <c r="B7" s="279">
        <v>180</v>
      </c>
      <c r="C7" s="279">
        <v>180</v>
      </c>
      <c r="D7" s="276" t="str">
        <f>IF(AND(Bemessung!$C$96="Typ 1",Bemessung!$F$95=8),Schraubenlängen!A7,IF(AND(Bemessung!$C$96="Typ 2",Bemessung!$F$95=8),Schraubenlängen!B7,IF(AND(Bemessung!$C$96="Typ 3",Bemessung!$F$95=8),Schraubenlängen!C7,"")))</f>
        <v/>
      </c>
      <c r="F7" s="280" t="str">
        <f t="shared" si="0"/>
        <v/>
      </c>
    </row>
    <row r="8" spans="1:8">
      <c r="A8" s="279">
        <v>200</v>
      </c>
      <c r="B8" s="279">
        <v>200</v>
      </c>
      <c r="C8" s="279">
        <v>200</v>
      </c>
      <c r="D8" s="276" t="str">
        <f>IF(AND(Bemessung!$C$96="Typ 1",Bemessung!$F$95=8),Schraubenlängen!A8,IF(AND(Bemessung!$C$96="Typ 2",Bemessung!$F$95=8),Schraubenlängen!B8,IF(AND(Bemessung!$C$96="Typ 3",Bemessung!$F$95=8),Schraubenlängen!C8,"")))</f>
        <v/>
      </c>
      <c r="F8" s="280" t="str">
        <f t="shared" si="0"/>
        <v/>
      </c>
    </row>
    <row r="9" spans="1:8">
      <c r="A9" s="279">
        <v>220</v>
      </c>
      <c r="B9" s="279">
        <v>220</v>
      </c>
      <c r="C9" s="279">
        <v>220</v>
      </c>
      <c r="D9" s="276" t="str">
        <f>IF(AND(Bemessung!$C$96="Typ 1",Bemessung!$F$95=8),Schraubenlängen!A9,IF(AND(Bemessung!$C$96="Typ 2",Bemessung!$F$95=8),Schraubenlängen!B9,IF(AND(Bemessung!$C$96="Typ 3",Bemessung!$F$95=8),Schraubenlängen!C9,"")))</f>
        <v/>
      </c>
      <c r="F9" s="280" t="str">
        <f t="shared" si="0"/>
        <v/>
      </c>
    </row>
    <row r="10" spans="1:8">
      <c r="A10" s="279">
        <v>240</v>
      </c>
      <c r="B10" s="279">
        <v>240</v>
      </c>
      <c r="C10" s="279">
        <v>240</v>
      </c>
      <c r="D10" s="276" t="str">
        <f>IF(AND(Bemessung!$C$96="Typ 1",Bemessung!$F$95=8),Schraubenlängen!A10,IF(AND(Bemessung!$C$96="Typ 2",Bemessung!$F$95=8),Schraubenlängen!B10,IF(AND(Bemessung!$C$96="Typ 3",Bemessung!$F$95=8),Schraubenlängen!C10,"")))</f>
        <v/>
      </c>
      <c r="F10" s="280" t="str">
        <f t="shared" si="0"/>
        <v/>
      </c>
    </row>
    <row r="11" spans="1:8">
      <c r="A11" s="279">
        <v>260</v>
      </c>
      <c r="B11" s="279">
        <v>260</v>
      </c>
      <c r="C11" s="279">
        <v>260</v>
      </c>
      <c r="D11" s="276" t="str">
        <f>IF(AND(Bemessung!$C$96="Typ 1",Bemessung!$F$95=8),Schraubenlängen!A11,IF(AND(Bemessung!$C$96="Typ 2",Bemessung!$F$95=8),Schraubenlängen!B11,IF(AND(Bemessung!$C$96="Typ 3",Bemessung!$F$95=8),Schraubenlängen!C11,"")))</f>
        <v/>
      </c>
      <c r="F11" s="280" t="str">
        <f t="shared" si="0"/>
        <v/>
      </c>
    </row>
    <row r="12" spans="1:8">
      <c r="A12" s="279">
        <v>280</v>
      </c>
      <c r="B12" s="279">
        <v>280</v>
      </c>
      <c r="C12" s="279">
        <v>280</v>
      </c>
      <c r="D12" s="276" t="str">
        <f>IF(AND(Bemessung!$C$96="Typ 1",Bemessung!$F$95=8),Schraubenlängen!A12,IF(AND(Bemessung!$C$96="Typ 2",Bemessung!$F$95=8),Schraubenlängen!B12,IF(AND(Bemessung!$C$96="Typ 3",Bemessung!$F$95=8),Schraubenlängen!C12,"")))</f>
        <v/>
      </c>
      <c r="F12" s="280" t="str">
        <f t="shared" si="0"/>
        <v/>
      </c>
    </row>
    <row r="13" spans="1:8">
      <c r="A13" s="279">
        <v>300</v>
      </c>
      <c r="B13" s="279">
        <v>300</v>
      </c>
      <c r="C13" s="279">
        <v>300</v>
      </c>
      <c r="D13" s="276" t="str">
        <f>IF(AND(Bemessung!$C$96="Typ 1",Bemessung!$F$95=8),Schraubenlängen!A13,IF(AND(Bemessung!$C$96="Typ 2",Bemessung!$F$95=8),Schraubenlängen!B13,IF(AND(Bemessung!$C$96="Typ 3",Bemessung!$F$95=8),Schraubenlängen!C13,"")))</f>
        <v/>
      </c>
      <c r="F13" s="280" t="str">
        <f t="shared" si="0"/>
        <v/>
      </c>
    </row>
    <row r="14" spans="1:8">
      <c r="A14" s="279">
        <v>330</v>
      </c>
      <c r="B14" s="279">
        <v>350</v>
      </c>
      <c r="C14" s="279">
        <v>350</v>
      </c>
      <c r="D14" s="276" t="str">
        <f>IF(AND(Bemessung!$C$96="Typ 1",Bemessung!$F$95=8),Schraubenlängen!A14,IF(AND(Bemessung!$C$96="Typ 2",Bemessung!$F$95=8),Schraubenlängen!B14,IF(AND(Bemessung!$C$96="Typ 3",Bemessung!$F$95=8),Schraubenlängen!C14,"")))</f>
        <v/>
      </c>
      <c r="F14" s="280" t="str">
        <f t="shared" si="0"/>
        <v/>
      </c>
    </row>
    <row r="15" spans="1:8">
      <c r="A15" s="279">
        <v>360</v>
      </c>
      <c r="B15" s="279">
        <v>400</v>
      </c>
      <c r="C15" s="279">
        <v>400</v>
      </c>
      <c r="D15" s="276" t="str">
        <f>IF(AND(Bemessung!$C$96="Typ 1",Bemessung!$F$95=8),Schraubenlängen!A15,IF(AND(Bemessung!$C$96="Typ 2",Bemessung!$F$95=8),Schraubenlängen!B15,IF(AND(Bemessung!$C$96="Typ 3",Bemessung!$F$95=8),Schraubenlängen!C15,"")))</f>
        <v/>
      </c>
      <c r="F15" s="280" t="str">
        <f t="shared" si="0"/>
        <v/>
      </c>
    </row>
    <row r="16" spans="1:8">
      <c r="A16" s="279">
        <v>380</v>
      </c>
      <c r="B16" s="279">
        <v>450</v>
      </c>
      <c r="C16" s="279">
        <v>450</v>
      </c>
      <c r="D16" s="276" t="str">
        <f>IF(AND(Bemessung!$C$96="Typ 1",Bemessung!$F$95=8),Schraubenlängen!A16,IF(AND(Bemessung!$C$96="Typ 2",Bemessung!$F$95=8),Schraubenlängen!B16,IF(AND(Bemessung!$C$96="Typ 3",Bemessung!$F$95=8),Schraubenlängen!C16,"")))</f>
        <v/>
      </c>
      <c r="F16" s="280" t="str">
        <f t="shared" si="0"/>
        <v/>
      </c>
    </row>
    <row r="17" spans="1:6">
      <c r="A17" s="279">
        <v>430</v>
      </c>
      <c r="B17" s="279">
        <v>500</v>
      </c>
      <c r="C17" s="279">
        <v>500</v>
      </c>
      <c r="D17" s="276" t="str">
        <f>IF(AND(Bemessung!$C$96="Typ 1",Bemessung!$F$95=8),Schraubenlängen!A17,IF(AND(Bemessung!$C$96="Typ 2",Bemessung!$F$95=8),Schraubenlängen!B17,IF(AND(Bemessung!$C$96="Typ 3",Bemessung!$F$95=8),Schraubenlängen!C17,"")))</f>
        <v/>
      </c>
      <c r="F17" s="280" t="str">
        <f t="shared" si="0"/>
        <v/>
      </c>
    </row>
    <row r="18" spans="1:6">
      <c r="A18" s="279">
        <v>450</v>
      </c>
      <c r="B18" s="279">
        <v>600</v>
      </c>
      <c r="C18" s="279">
        <v>600</v>
      </c>
      <c r="D18" s="276" t="str">
        <f>IF(AND(Bemessung!$C$96="Typ 1",Bemessung!$F$95=8),Schraubenlängen!A18,IF(AND(Bemessung!$C$96="Typ 2",Bemessung!$F$95=8),Schraubenlängen!B18,IF(AND(Bemessung!$C$96="Typ 3",Bemessung!$F$95=8),Schraubenlängen!C18,"")))</f>
        <v/>
      </c>
      <c r="F18" s="280" t="str">
        <f t="shared" si="0"/>
        <v/>
      </c>
    </row>
    <row r="19" spans="1:6">
      <c r="A19" s="279">
        <v>460</v>
      </c>
      <c r="B19" s="279"/>
      <c r="C19" s="279"/>
      <c r="D19" s="276" t="str">
        <f>IF(AND(Bemessung!$C$96="Typ 1",Bemessung!$F$95=8),Schraubenlängen!A19,IF(AND(Bemessung!$C$96="Typ 2",Bemessung!$F$95=8),Schraubenlängen!B19,IF(AND(Bemessung!$C$96="Typ 3",Bemessung!$F$95=8),Schraubenlängen!C19,"")))</f>
        <v/>
      </c>
      <c r="F19" s="280" t="str">
        <f t="shared" si="0"/>
        <v/>
      </c>
    </row>
    <row r="20" spans="1:6">
      <c r="A20" s="279">
        <v>480</v>
      </c>
      <c r="B20" s="279"/>
      <c r="C20" s="279"/>
      <c r="D20" s="276" t="str">
        <f>IF(AND(Bemessung!$C$96="Typ 1",Bemessung!$F$95=8),Schraubenlängen!A20,IF(AND(Bemessung!$C$96="Typ 2",Bemessung!$F$95=8),Schraubenlängen!B20,IF(AND(Bemessung!$C$96="Typ 3",Bemessung!$F$95=8),Schraubenlängen!C20,"")))</f>
        <v/>
      </c>
      <c r="F20" s="280" t="str">
        <f t="shared" si="0"/>
        <v/>
      </c>
    </row>
    <row r="21" spans="1:6">
      <c r="A21" s="279">
        <v>530</v>
      </c>
      <c r="B21" s="279"/>
      <c r="C21" s="279"/>
      <c r="D21" s="276" t="str">
        <f>IF(AND(Bemessung!$C$96="Typ 1",Bemessung!$F$95=8),Schraubenlängen!A21,IF(AND(Bemessung!$C$96="Typ 2",Bemessung!$F$95=8),Schraubenlängen!B21,IF(AND(Bemessung!$C$96="Typ 3",Bemessung!$F$95=8),Schraubenlängen!C21,"")))</f>
        <v/>
      </c>
      <c r="F21" s="280" t="str">
        <f t="shared" si="0"/>
        <v/>
      </c>
    </row>
    <row r="22" spans="1:6">
      <c r="A22" s="279">
        <v>580</v>
      </c>
      <c r="B22" s="279"/>
      <c r="C22" s="279"/>
      <c r="D22" s="276" t="str">
        <f>IF(AND(Bemessung!$C$96="Typ 1",Bemessung!$F$95=8),Schraubenlängen!A22,IF(AND(Bemessung!$C$96="Typ 2",Bemessung!$F$95=8),Schraubenlängen!B22,IF(AND(Bemessung!$C$96="Typ 3",Bemessung!$F$95=8),Schraubenlängen!C22,"")))</f>
        <v/>
      </c>
      <c r="F22" s="280" t="str">
        <f t="shared" si="0"/>
        <v/>
      </c>
    </row>
    <row r="23" spans="1:6">
      <c r="F23" s="280" t="str">
        <f t="shared" si="0"/>
        <v/>
      </c>
    </row>
    <row r="24" spans="1:6">
      <c r="F24" s="280" t="str">
        <f t="shared" si="0"/>
        <v/>
      </c>
    </row>
    <row r="25" spans="1:6">
      <c r="F25" s="280" t="str">
        <f t="shared" si="0"/>
        <v/>
      </c>
    </row>
    <row r="26" spans="1:6">
      <c r="F26" s="280">
        <f t="shared" si="0"/>
        <v>0</v>
      </c>
    </row>
    <row r="29" spans="1:6">
      <c r="A29" s="274" t="s">
        <v>216</v>
      </c>
    </row>
    <row r="30" spans="1:6">
      <c r="A30" s="275">
        <v>10</v>
      </c>
      <c r="B30" s="274" t="s">
        <v>217</v>
      </c>
    </row>
    <row r="31" spans="1:6">
      <c r="A31" s="276" t="s">
        <v>218</v>
      </c>
      <c r="B31" s="276" t="s">
        <v>219</v>
      </c>
      <c r="C31" s="276" t="s">
        <v>220</v>
      </c>
      <c r="D31" s="277" t="s">
        <v>221</v>
      </c>
    </row>
    <row r="32" spans="1:6">
      <c r="A32" s="278" t="s">
        <v>223</v>
      </c>
      <c r="B32" s="278" t="s">
        <v>223</v>
      </c>
      <c r="C32" s="278" t="s">
        <v>223</v>
      </c>
      <c r="D32" s="278" t="s">
        <v>223</v>
      </c>
    </row>
    <row r="33" spans="1:4">
      <c r="A33" s="279">
        <v>160</v>
      </c>
      <c r="B33" s="279">
        <v>160</v>
      </c>
      <c r="C33" s="279">
        <v>200</v>
      </c>
      <c r="D33" s="276" t="str">
        <f>IF(AND(Bemessung!$C$96="Typ 1",Bemessung!$F$95=10),Schraubenlängen!A33,IF(AND(Bemessung!$C$96="Typ 2",Bemessung!$F$95=10),Schraubenlängen!B33,IF(AND(Bemessung!$C$96="Typ 3",Bemessung!$F$95=10),Schraubenlängen!C33,"")))</f>
        <v/>
      </c>
    </row>
    <row r="34" spans="1:4">
      <c r="A34" s="279">
        <v>180</v>
      </c>
      <c r="B34" s="279">
        <v>180</v>
      </c>
      <c r="C34" s="279">
        <v>220</v>
      </c>
      <c r="D34" s="276" t="str">
        <f>IF(AND(Bemessung!$C$96="Typ 1",Bemessung!$F$95=10),Schraubenlängen!A34,IF(AND(Bemessung!$C$96="Typ 2",Bemessung!$F$95=10),Schraubenlängen!B34,IF(AND(Bemessung!$C$96="Typ 3",Bemessung!$F$95=10),Schraubenlängen!C34,"")))</f>
        <v/>
      </c>
    </row>
    <row r="35" spans="1:4">
      <c r="A35" s="279">
        <v>200</v>
      </c>
      <c r="B35" s="279">
        <v>200</v>
      </c>
      <c r="C35" s="279">
        <v>240</v>
      </c>
      <c r="D35" s="276" t="str">
        <f>IF(AND(Bemessung!$C$96="Typ 1",Bemessung!$F$95=10),Schraubenlängen!A35,IF(AND(Bemessung!$C$96="Typ 2",Bemessung!$F$95=10),Schraubenlängen!B35,IF(AND(Bemessung!$C$96="Typ 3",Bemessung!$F$95=10),Schraubenlängen!C35,"")))</f>
        <v/>
      </c>
    </row>
    <row r="36" spans="1:4">
      <c r="A36" s="279">
        <v>220</v>
      </c>
      <c r="B36" s="279">
        <v>220</v>
      </c>
      <c r="C36" s="279">
        <v>260</v>
      </c>
      <c r="D36" s="276" t="str">
        <f>IF(AND(Bemessung!$C$96="Typ 1",Bemessung!$F$95=10),Schraubenlängen!A36,IF(AND(Bemessung!$C$96="Typ 2",Bemessung!$F$95=10),Schraubenlängen!B36,IF(AND(Bemessung!$C$96="Typ 3",Bemessung!$F$95=10),Schraubenlängen!C36,"")))</f>
        <v/>
      </c>
    </row>
    <row r="37" spans="1:4">
      <c r="A37" s="279">
        <v>240</v>
      </c>
      <c r="B37" s="279">
        <v>240</v>
      </c>
      <c r="C37" s="279">
        <v>280</v>
      </c>
      <c r="D37" s="276" t="str">
        <f>IF(AND(Bemessung!$C$96="Typ 1",Bemessung!$F$95=10),Schraubenlängen!A37,IF(AND(Bemessung!$C$96="Typ 2",Bemessung!$F$95=10),Schraubenlängen!B37,IF(AND(Bemessung!$C$96="Typ 3",Bemessung!$F$95=10),Schraubenlängen!C37,"")))</f>
        <v/>
      </c>
    </row>
    <row r="38" spans="1:4">
      <c r="A38" s="279">
        <v>260</v>
      </c>
      <c r="B38" s="279">
        <v>260</v>
      </c>
      <c r="C38" s="279">
        <v>300</v>
      </c>
      <c r="D38" s="276" t="str">
        <f>IF(AND(Bemessung!$C$96="Typ 1",Bemessung!$F$95=10),Schraubenlängen!A38,IF(AND(Bemessung!$C$96="Typ 2",Bemessung!$F$95=10),Schraubenlängen!B38,IF(AND(Bemessung!$C$96="Typ 3",Bemessung!$F$95=10),Schraubenlängen!C38,"")))</f>
        <v/>
      </c>
    </row>
    <row r="39" spans="1:4">
      <c r="A39" s="279">
        <v>280</v>
      </c>
      <c r="B39" s="279">
        <v>280</v>
      </c>
      <c r="C39" s="279">
        <v>350</v>
      </c>
      <c r="D39" s="276" t="str">
        <f>IF(AND(Bemessung!$C$96="Typ 1",Bemessung!$F$95=10),Schraubenlängen!A39,IF(AND(Bemessung!$C$96="Typ 2",Bemessung!$F$95=10),Schraubenlängen!B39,IF(AND(Bemessung!$C$96="Typ 3",Bemessung!$F$95=10),Schraubenlängen!C39,"")))</f>
        <v/>
      </c>
    </row>
    <row r="40" spans="1:4">
      <c r="A40" s="279">
        <v>300</v>
      </c>
      <c r="B40" s="279">
        <v>300</v>
      </c>
      <c r="C40" s="279">
        <v>400</v>
      </c>
      <c r="D40" s="276" t="str">
        <f>IF(AND(Bemessung!$C$96="Typ 1",Bemessung!$F$95=10),Schraubenlängen!A40,IF(AND(Bemessung!$C$96="Typ 2",Bemessung!$F$95=10),Schraubenlängen!B40,IF(AND(Bemessung!$C$96="Typ 3",Bemessung!$F$95=10),Schraubenlängen!C40,"")))</f>
        <v/>
      </c>
    </row>
    <row r="41" spans="1:4">
      <c r="A41" s="279">
        <v>320</v>
      </c>
      <c r="B41" s="279">
        <v>350</v>
      </c>
      <c r="C41" s="279">
        <v>450</v>
      </c>
      <c r="D41" s="276" t="str">
        <f>IF(AND(Bemessung!$C$96="Typ 1",Bemessung!$F$95=10),Schraubenlängen!A41,IF(AND(Bemessung!$C$96="Typ 2",Bemessung!$F$95=10),Schraubenlängen!B41,IF(AND(Bemessung!$C$96="Typ 3",Bemessung!$F$95=10),Schraubenlängen!C41,"")))</f>
        <v/>
      </c>
    </row>
    <row r="42" spans="1:4">
      <c r="A42" s="279">
        <v>340</v>
      </c>
      <c r="B42" s="279">
        <v>400</v>
      </c>
      <c r="C42" s="279">
        <v>500</v>
      </c>
      <c r="D42" s="276" t="str">
        <f>IF(AND(Bemessung!$C$96="Typ 1",Bemessung!$F$95=10),Schraubenlängen!A42,IF(AND(Bemessung!$C$96="Typ 2",Bemessung!$F$95=10),Schraubenlängen!B42,IF(AND(Bemessung!$C$96="Typ 3",Bemessung!$F$95=10),Schraubenlängen!C42,"")))</f>
        <v/>
      </c>
    </row>
    <row r="43" spans="1:4">
      <c r="A43" s="279">
        <v>360</v>
      </c>
      <c r="B43" s="279">
        <v>450</v>
      </c>
      <c r="C43" s="279">
        <v>550</v>
      </c>
      <c r="D43" s="276" t="str">
        <f>IF(AND(Bemessung!$C$96="Typ 1",Bemessung!$F$95=10),Schraubenlängen!A43,IF(AND(Bemessung!$C$96="Typ 2",Bemessung!$F$95=10),Schraubenlängen!B43,IF(AND(Bemessung!$C$96="Typ 3",Bemessung!$F$95=10),Schraubenlängen!C43,"")))</f>
        <v/>
      </c>
    </row>
    <row r="44" spans="1:4">
      <c r="A44" s="279">
        <v>380</v>
      </c>
      <c r="B44" s="279">
        <v>500</v>
      </c>
      <c r="C44" s="279">
        <v>600</v>
      </c>
      <c r="D44" s="276" t="str">
        <f>IF(AND(Bemessung!$C$96="Typ 1",Bemessung!$F$95=10),Schraubenlängen!A44,IF(AND(Bemessung!$C$96="Typ 2",Bemessung!$F$95=10),Schraubenlängen!B44,IF(AND(Bemessung!$C$96="Typ 3",Bemessung!$F$95=10),Schraubenlängen!C44,"")))</f>
        <v/>
      </c>
    </row>
    <row r="45" spans="1:4">
      <c r="A45" s="279">
        <v>400</v>
      </c>
      <c r="B45" s="279">
        <v>600</v>
      </c>
      <c r="C45" s="279">
        <v>800</v>
      </c>
      <c r="D45" s="276" t="str">
        <f>IF(AND(Bemessung!$C$96="Typ 1",Bemessung!$F$95=10),Schraubenlängen!A45,IF(AND(Bemessung!$C$96="Typ 2",Bemessung!$F$95=10),Schraubenlängen!B45,IF(AND(Bemessung!$C$96="Typ 3",Bemessung!$F$95=10),Schraubenlängen!C45,"")))</f>
        <v/>
      </c>
    </row>
    <row r="46" spans="1:4">
      <c r="A46" s="279">
        <v>430</v>
      </c>
      <c r="B46" s="279">
        <v>800</v>
      </c>
      <c r="C46" s="279"/>
      <c r="D46" s="276" t="str">
        <f>IF(AND(Bemessung!$C$96="Typ 1",Bemessung!$F$95=10),Schraubenlängen!A46,IF(AND(Bemessung!$C$96="Typ 2",Bemessung!$F$95=10),Schraubenlängen!B46,IF(AND(Bemessung!$C$96="Typ 3",Bemessung!$F$95=10),Schraubenlängen!C46,"")))</f>
        <v/>
      </c>
    </row>
    <row r="47" spans="1:4">
      <c r="A47" s="279">
        <v>480</v>
      </c>
      <c r="B47" s="279">
        <v>1000</v>
      </c>
      <c r="C47" s="279"/>
      <c r="D47" s="276" t="str">
        <f>IF(AND(Bemessung!$C$96="Typ 1",Bemessung!$F$95=10),Schraubenlängen!A47,IF(AND(Bemessung!$C$96="Typ 2",Bemessung!$F$95=10),Schraubenlängen!B47,IF(AND(Bemessung!$C$96="Typ 3",Bemessung!$F$95=10),Schraubenlängen!C47,"")))</f>
        <v/>
      </c>
    </row>
    <row r="48" spans="1:4">
      <c r="A48" s="279">
        <v>530</v>
      </c>
      <c r="B48" s="279"/>
      <c r="C48" s="279"/>
      <c r="D48" s="276" t="str">
        <f>IF(AND(Bemessung!$C$96="Typ 1",Bemessung!$F$95=10),Schraubenlängen!A48,IF(AND(Bemessung!$C$96="Typ 2",Bemessung!$F$95=10),Schraubenlängen!B48,IF(AND(Bemessung!$C$96="Typ 3",Bemessung!$F$95=10),Schraubenlängen!C48,"")))</f>
        <v/>
      </c>
    </row>
    <row r="49" spans="1:4">
      <c r="A49" s="279">
        <v>580</v>
      </c>
      <c r="B49" s="279"/>
      <c r="C49" s="279"/>
      <c r="D49" s="276" t="str">
        <f>IF(AND(Bemessung!$C$96="Typ 1",Bemessung!$F$95=10),Schraubenlängen!A49,IF(AND(Bemessung!$C$96="Typ 2",Bemessung!$F$95=10),Schraubenlängen!B49,IF(AND(Bemessung!$C$96="Typ 3",Bemessung!$F$95=10),Schraubenlängen!C49,"")))</f>
        <v/>
      </c>
    </row>
    <row r="50" spans="1:4">
      <c r="A50" s="279">
        <v>650</v>
      </c>
      <c r="B50" s="279"/>
      <c r="C50" s="279"/>
      <c r="D50" s="276" t="str">
        <f>IF(AND(Bemessung!$C$96="Typ 1",Bemessung!$F$95=10),Schraubenlängen!A50,IF(AND(Bemessung!$C$96="Typ 2",Bemessung!$F$95=10),Schraubenlängen!B50,IF(AND(Bemessung!$C$96="Typ 3",Bemessung!$F$95=10),Schraubenlängen!C50,"")))</f>
        <v/>
      </c>
    </row>
    <row r="51" spans="1:4">
      <c r="A51" s="279">
        <v>700</v>
      </c>
      <c r="B51" s="279"/>
      <c r="C51" s="279"/>
      <c r="D51" s="276" t="str">
        <f>IF(AND(Bemessung!$C$96="Typ 1",Bemessung!$F$95=10),Schraubenlängen!A51,IF(AND(Bemessung!$C$96="Typ 2",Bemessung!$F$95=10),Schraubenlängen!B51,IF(AND(Bemessung!$C$96="Typ 3",Bemessung!$F$95=10),Schraubenlängen!C51,"")))</f>
        <v/>
      </c>
    </row>
    <row r="52" spans="1:4">
      <c r="A52" s="279">
        <v>750</v>
      </c>
      <c r="B52" s="279"/>
      <c r="C52" s="279"/>
      <c r="D52" s="276" t="str">
        <f>IF(AND(Bemessung!$C$96="Typ 1",Bemessung!$F$95=10),Schraubenlängen!A52,IF(AND(Bemessung!$C$96="Typ 2",Bemessung!$F$95=10),Schraubenlängen!B52,IF(AND(Bemessung!$C$96="Typ 3",Bemessung!$F$95=10),Schraubenlängen!C52,"")))</f>
        <v/>
      </c>
    </row>
    <row r="53" spans="1:4">
      <c r="A53" s="279">
        <v>800</v>
      </c>
      <c r="B53" s="279"/>
      <c r="C53" s="279"/>
      <c r="D53" s="276" t="str">
        <f>IF(AND(Bemessung!$C$96="Typ 1",Bemessung!$F$95=10),Schraubenlängen!A53,IF(AND(Bemessung!$C$96="Typ 2",Bemessung!$F$95=10),Schraubenlängen!B53,IF(AND(Bemessung!$C$96="Typ 3",Bemessung!$F$95=10),Schraubenlängen!C53,"")))</f>
        <v/>
      </c>
    </row>
  </sheetData>
  <sheetProtection password="D9CA" sheet="1" objects="1" scenarios="1" selectLockedCell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Bemessung</vt:lpstr>
      <vt:lpstr>Berechnungstabellen</vt:lpstr>
      <vt:lpstr>Herleitung</vt:lpstr>
      <vt:lpstr>Schraubenlängen</vt:lpstr>
      <vt:lpstr>Bemessung!Druckbereich</vt:lpstr>
    </vt:vector>
  </TitlesOfParts>
  <Company>KNAPP GmbH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Anschluss Bemessunstool RICON A2</dc:title>
  <dc:creator>tlangejuergen@knapp.verbinder.com;Torsten Langejürgen</dc:creator>
  <cp:keywords>Statiksoftware für Haupt-Nebenträger</cp:keywords>
  <cp:lastModifiedBy>Torsten Langejürgen</cp:lastModifiedBy>
  <cp:lastPrinted>2016-09-26T06:33:26Z</cp:lastPrinted>
  <dcterms:created xsi:type="dcterms:W3CDTF">2007-11-29T09:07:30Z</dcterms:created>
  <dcterms:modified xsi:type="dcterms:W3CDTF">2019-11-07T09:03:22Z</dcterms:modified>
  <cp:category>Version V2 (11.10.2019)</cp:category>
</cp:coreProperties>
</file>