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comments1.xml" ContentType="application/vnd.openxmlformats-officedocument.spreadsheetml.comments+xml"/>
  <Override PartName="/xl/drawings/drawing2.xml" ContentType="application/vnd.openxmlformats-officedocument.drawing+xml"/>
  <Override PartName="/xl/embeddings/oleObject4.bin" ContentType="application/vnd.openxmlformats-officedocument.oleObject"/>
  <Override PartName="/xl/comments2.xml" ContentType="application/vnd.openxmlformats-officedocument.spreadsheetml.comments+xml"/>
  <Override PartName="/xl/drawings/drawing3.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comments3.xml" ContentType="application/vnd.openxmlformats-officedocument.spreadsheetml.comments+xml"/>
  <Override PartName="/xl/drawings/drawing4.xml" ContentType="application/vnd.openxmlformats-officedocument.drawing+xml"/>
  <Override PartName="/xl/embeddings/oleObject9.bin" ContentType="application/vnd.openxmlformats-officedocument.oleObject"/>
  <Override PartName="/xl/comments4.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codeName="DieseArbeitsmappe" defaultThemeVersion="124226"/>
  <mc:AlternateContent xmlns:mc="http://schemas.openxmlformats.org/markup-compatibility/2006">
    <mc:Choice Requires="x15">
      <x15ac:absPath xmlns:x15ac="http://schemas.microsoft.com/office/spreadsheetml/2010/11/ac" url="S:\Allgemeine.Daten\F &amp; E\001_Excel_Bemessungstools\003_RICON-S_Bemessungstool\"/>
    </mc:Choice>
  </mc:AlternateContent>
  <xr:revisionPtr revIDLastSave="0" documentId="13_ncr:1_{B8E02026-013D-49AC-BCD8-409C18D614D7}" xr6:coauthVersionLast="47" xr6:coauthVersionMax="47" xr10:uidLastSave="{00000000-0000-0000-0000-000000000000}"/>
  <workbookProtection workbookAlgorithmName="SHA-512" workbookHashValue="WZch3Ggz3g1f4I5/p32UezUZD1vZ8Yt+S+HMih+Ns11cPc3wjCNntCX+6MCYj+2YHgaCvJUAfxlf0rAvbO2Tow==" workbookSaltValue="mp1x8pmmuFIPX2RiqhN7KA==" workbookSpinCount="100000" lockStructure="1"/>
  <bookViews>
    <workbookView xWindow="-120" yWindow="-120" windowWidth="29040" windowHeight="15720" xr2:uid="{00000000-000D-0000-FFFF-FFFF00000000}"/>
  </bookViews>
  <sheets>
    <sheet name="Bemessung" sheetId="1" r:id="rId1"/>
    <sheet name="Zwischenrechnung" sheetId="4" state="hidden" r:id="rId2"/>
    <sheet name="Herleitung_HT-NT-Anschlüsse" sheetId="2" state="hidden" r:id="rId3"/>
    <sheet name="Herleitung_Stützen-Anschlüsse" sheetId="6" state="hidden" r:id="rId4"/>
    <sheet name="Ausklinkungsbemessung" sheetId="5" state="hidden" r:id="rId5"/>
    <sheet name="Schraubenlängen" sheetId="3" state="hidden" r:id="rId6"/>
  </sheets>
  <definedNames>
    <definedName name="_xlnm.Print_Area" localSheetId="0">Bemessung!$A$1:$I$178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9" i="1" l="1"/>
  <c r="C52" i="5" l="1"/>
  <c r="O140" i="6"/>
  <c r="O125" i="6"/>
  <c r="O80" i="6"/>
  <c r="O20" i="6"/>
  <c r="O187" i="2"/>
  <c r="O84" i="2"/>
  <c r="O20" i="2"/>
  <c r="C116" i="4"/>
  <c r="D136" i="1"/>
  <c r="D134" i="1"/>
  <c r="D144" i="1"/>
  <c r="C136" i="1"/>
  <c r="C148" i="1"/>
  <c r="C144" i="1"/>
  <c r="C143" i="1"/>
  <c r="C141" i="1"/>
  <c r="C140" i="1"/>
  <c r="C142" i="1" s="1"/>
  <c r="C138" i="1"/>
  <c r="A125" i="1"/>
  <c r="E98" i="1"/>
  <c r="A95" i="1"/>
  <c r="F89" i="4" l="1"/>
  <c r="F88" i="4"/>
  <c r="F87" i="4"/>
  <c r="F86" i="4"/>
  <c r="E95" i="4"/>
  <c r="E94" i="4"/>
  <c r="E91" i="4"/>
  <c r="E90" i="4"/>
  <c r="E87" i="4"/>
  <c r="E86" i="4"/>
  <c r="F128" i="1"/>
  <c r="C130" i="1"/>
  <c r="E18" i="5"/>
  <c r="C128" i="1"/>
  <c r="C91" i="2"/>
  <c r="E156" i="2"/>
  <c r="E154" i="2"/>
  <c r="E155" i="2"/>
  <c r="E153" i="2"/>
  <c r="E123" i="2"/>
  <c r="E121" i="2"/>
  <c r="E122" i="2"/>
  <c r="E120" i="2"/>
  <c r="R104" i="6"/>
  <c r="R103" i="6"/>
  <c r="R102" i="6"/>
  <c r="H109" i="6"/>
  <c r="H108" i="6"/>
  <c r="H107" i="6"/>
  <c r="H106" i="6"/>
  <c r="E98" i="6"/>
  <c r="E99" i="6"/>
  <c r="E100" i="6"/>
  <c r="E101" i="6"/>
  <c r="E102" i="6"/>
  <c r="E103" i="6"/>
  <c r="E104" i="6"/>
  <c r="E97" i="6"/>
  <c r="E135" i="6"/>
  <c r="B135" i="6"/>
  <c r="R59" i="6"/>
  <c r="R58" i="6"/>
  <c r="R57" i="6"/>
  <c r="G62" i="6"/>
  <c r="G64" i="6"/>
  <c r="G63" i="6"/>
  <c r="G61" i="6"/>
  <c r="R61" i="2"/>
  <c r="R63" i="2"/>
  <c r="R62" i="2"/>
  <c r="R45" i="2"/>
  <c r="R46" i="2"/>
  <c r="R44" i="2"/>
  <c r="G69" i="2"/>
  <c r="G68" i="2"/>
  <c r="G67" i="2"/>
  <c r="G66" i="2"/>
  <c r="G52" i="2"/>
  <c r="G50" i="2"/>
  <c r="G51" i="2"/>
  <c r="G49" i="2"/>
  <c r="B132" i="6"/>
  <c r="B133" i="6" s="1"/>
  <c r="C86" i="6"/>
  <c r="C87" i="6" s="1"/>
  <c r="D33" i="1"/>
  <c r="I90" i="2"/>
  <c r="I91" i="2" s="1"/>
  <c r="C90" i="2"/>
  <c r="J19" i="4"/>
  <c r="J20" i="4"/>
  <c r="J21" i="4"/>
  <c r="J22" i="4"/>
  <c r="J23" i="4"/>
  <c r="J24" i="4"/>
  <c r="J25" i="4"/>
  <c r="J26" i="4"/>
  <c r="I106" i="6" s="1"/>
  <c r="J27" i="4"/>
  <c r="I108" i="6" s="1"/>
  <c r="J28" i="4"/>
  <c r="E128" i="6" s="1"/>
  <c r="E132" i="6" s="1"/>
  <c r="E133" i="6" s="1"/>
  <c r="J18" i="4"/>
  <c r="H19" i="4"/>
  <c r="H20" i="4"/>
  <c r="H21" i="4"/>
  <c r="H22" i="4"/>
  <c r="H23" i="4"/>
  <c r="H24" i="4"/>
  <c r="H25" i="4"/>
  <c r="H26" i="4"/>
  <c r="H27" i="4"/>
  <c r="B40" i="1" s="1"/>
  <c r="H28" i="4"/>
  <c r="D128" i="6" s="1"/>
  <c r="H18" i="4"/>
  <c r="G19" i="4"/>
  <c r="D53" i="6" s="1"/>
  <c r="E53" i="6" s="1"/>
  <c r="G20" i="4"/>
  <c r="D113" i="2" s="1"/>
  <c r="E113" i="2" s="1"/>
  <c r="G21" i="4"/>
  <c r="D114" i="2" s="1"/>
  <c r="E114" i="2" s="1"/>
  <c r="G22" i="4"/>
  <c r="D44" i="2" s="1"/>
  <c r="G23" i="4"/>
  <c r="D57" i="6" s="1"/>
  <c r="E57" i="6" s="1"/>
  <c r="G24" i="4"/>
  <c r="D46" i="2" s="1"/>
  <c r="H16" i="2" s="1"/>
  <c r="G25" i="4"/>
  <c r="D59" i="6" s="1"/>
  <c r="E59" i="6" s="1"/>
  <c r="G26" i="4"/>
  <c r="F121" i="2" s="1"/>
  <c r="G27" i="4"/>
  <c r="F122" i="2" s="1"/>
  <c r="G28" i="4"/>
  <c r="F86" i="2" s="1"/>
  <c r="F90" i="2" s="1"/>
  <c r="F91" i="2" s="1"/>
  <c r="G18" i="4"/>
  <c r="D40" i="2" s="1"/>
  <c r="E40" i="2" s="1"/>
  <c r="D19" i="4"/>
  <c r="D20" i="4"/>
  <c r="D21" i="4"/>
  <c r="D22" i="4"/>
  <c r="D23" i="4"/>
  <c r="D24" i="4"/>
  <c r="D25" i="4"/>
  <c r="D26" i="4"/>
  <c r="F154" i="2" s="1"/>
  <c r="G154" i="2" s="1"/>
  <c r="D27" i="4"/>
  <c r="H68" i="2" s="1"/>
  <c r="D28" i="4"/>
  <c r="E31" i="1" s="1"/>
  <c r="D18" i="4"/>
  <c r="F10" i="2" s="1"/>
  <c r="G10" i="2" s="1"/>
  <c r="E19" i="4"/>
  <c r="E20" i="4"/>
  <c r="E21" i="4"/>
  <c r="E22" i="4"/>
  <c r="E23" i="4"/>
  <c r="E24" i="4"/>
  <c r="E25" i="4"/>
  <c r="A32" i="1" s="1"/>
  <c r="E26" i="4"/>
  <c r="D61" i="6" s="1"/>
  <c r="D62" i="6" s="1"/>
  <c r="E27" i="4"/>
  <c r="D63" i="6" s="1"/>
  <c r="D64" i="6" s="1"/>
  <c r="B63" i="6" s="1"/>
  <c r="E28" i="4"/>
  <c r="E86" i="2" s="1"/>
  <c r="F87" i="2" s="1"/>
  <c r="E18" i="4"/>
  <c r="B28" i="4"/>
  <c r="L87" i="2" s="1"/>
  <c r="B19" i="4"/>
  <c r="B20" i="4"/>
  <c r="B21" i="4"/>
  <c r="B22" i="4"/>
  <c r="B23" i="4"/>
  <c r="B24" i="4"/>
  <c r="B25" i="4"/>
  <c r="B26" i="4"/>
  <c r="C153" i="2" s="1"/>
  <c r="C154" i="2" s="1"/>
  <c r="B27" i="4"/>
  <c r="D68" i="2" s="1"/>
  <c r="D69" i="2" s="1"/>
  <c r="B68" i="2" s="1"/>
  <c r="C68" i="2" s="1"/>
  <c r="B18" i="4"/>
  <c r="B80" i="1"/>
  <c r="C90" i="1"/>
  <c r="B41" i="1"/>
  <c r="D32" i="1"/>
  <c r="D30" i="1"/>
  <c r="B38" i="1"/>
  <c r="C37" i="1"/>
  <c r="A37" i="1"/>
  <c r="D121" i="1"/>
  <c r="D106" i="1"/>
  <c r="D130" i="1" l="1"/>
  <c r="D129" i="1"/>
  <c r="B106" i="6"/>
  <c r="C106" i="6" s="1"/>
  <c r="D106" i="6"/>
  <c r="D107" i="6" s="1"/>
  <c r="D43" i="2"/>
  <c r="E43" i="2" s="1"/>
  <c r="H69" i="2"/>
  <c r="I69" i="2" s="1"/>
  <c r="H61" i="6"/>
  <c r="I61" i="6" s="1"/>
  <c r="F120" i="2"/>
  <c r="G120" i="2" s="1"/>
  <c r="D49" i="2"/>
  <c r="D66" i="2"/>
  <c r="D67" i="2" s="1"/>
  <c r="D42" i="2"/>
  <c r="E42" i="2" s="1"/>
  <c r="B82" i="6"/>
  <c r="D51" i="2"/>
  <c r="D52" i="2" s="1"/>
  <c r="B51" i="2" s="1"/>
  <c r="C51" i="2" s="1"/>
  <c r="H67" i="2"/>
  <c r="I67" i="2" s="1"/>
  <c r="F155" i="2"/>
  <c r="D41" i="2"/>
  <c r="H11" i="2" s="1"/>
  <c r="D58" i="6"/>
  <c r="E58" i="6" s="1"/>
  <c r="B120" i="2"/>
  <c r="D118" i="2"/>
  <c r="E118" i="2" s="1"/>
  <c r="D117" i="2"/>
  <c r="E117" i="2" s="1"/>
  <c r="H62" i="6"/>
  <c r="I62" i="6" s="1"/>
  <c r="B122" i="2"/>
  <c r="C122" i="2"/>
  <c r="C123" i="2" s="1"/>
  <c r="D112" i="2"/>
  <c r="E112" i="2" s="1"/>
  <c r="H66" i="2"/>
  <c r="I107" i="6"/>
  <c r="J107" i="6" s="1"/>
  <c r="D47" i="2"/>
  <c r="E47" i="2" s="1"/>
  <c r="D115" i="2"/>
  <c r="E115" i="2" s="1"/>
  <c r="E82" i="6"/>
  <c r="F83" i="6" s="1"/>
  <c r="H49" i="2"/>
  <c r="D55" i="6"/>
  <c r="E55" i="6" s="1"/>
  <c r="I109" i="6"/>
  <c r="J109" i="6" s="1"/>
  <c r="F156" i="2"/>
  <c r="G156" i="2" s="1"/>
  <c r="C120" i="2"/>
  <c r="C121" i="2" s="1"/>
  <c r="B108" i="6"/>
  <c r="D111" i="2"/>
  <c r="E111" i="2" s="1"/>
  <c r="H50" i="2"/>
  <c r="I50" i="2" s="1"/>
  <c r="D52" i="6"/>
  <c r="E52" i="6" s="1"/>
  <c r="D54" i="6"/>
  <c r="E54" i="6" s="1"/>
  <c r="F153" i="2"/>
  <c r="C155" i="2"/>
  <c r="C156" i="2" s="1"/>
  <c r="D116" i="2"/>
  <c r="E116" i="2" s="1"/>
  <c r="E129" i="6"/>
  <c r="D56" i="6"/>
  <c r="E56" i="6" s="1"/>
  <c r="B86" i="2"/>
  <c r="D45" i="2"/>
  <c r="H15" i="2" s="1"/>
  <c r="K86" i="2"/>
  <c r="A128" i="6"/>
  <c r="H86" i="2"/>
  <c r="G121" i="2"/>
  <c r="F123" i="2"/>
  <c r="G123" i="2" s="1"/>
  <c r="G122" i="2"/>
  <c r="H51" i="2"/>
  <c r="H63" i="6"/>
  <c r="I63" i="6" s="1"/>
  <c r="H64" i="6"/>
  <c r="I64" i="6" s="1"/>
  <c r="H52" i="2"/>
  <c r="I52" i="2" s="1"/>
  <c r="E68" i="2"/>
  <c r="C63" i="6"/>
  <c r="E63" i="6"/>
  <c r="B61" i="6"/>
  <c r="E64" i="6"/>
  <c r="E69" i="2"/>
  <c r="D50" i="2"/>
  <c r="B49" i="2" s="1"/>
  <c r="E46" i="2"/>
  <c r="F82" i="6"/>
  <c r="F86" i="6" s="1"/>
  <c r="F87" i="6" s="1"/>
  <c r="E33" i="1"/>
  <c r="L86" i="2"/>
  <c r="L90" i="2" s="1"/>
  <c r="L91" i="2" s="1"/>
  <c r="H14" i="2"/>
  <c r="E44" i="2"/>
  <c r="H10" i="2"/>
  <c r="E32" i="1"/>
  <c r="D145" i="2"/>
  <c r="E145" i="2" s="1"/>
  <c r="F11" i="6"/>
  <c r="F12" i="6"/>
  <c r="F13" i="6"/>
  <c r="F14" i="6"/>
  <c r="G14" i="6" s="1"/>
  <c r="F16" i="6"/>
  <c r="G16" i="6" s="1"/>
  <c r="F17" i="6"/>
  <c r="G17" i="6" s="1"/>
  <c r="F18" i="6"/>
  <c r="G18" i="6" s="1"/>
  <c r="F10" i="6"/>
  <c r="F11" i="2"/>
  <c r="G11" i="2" s="1"/>
  <c r="D59" i="2"/>
  <c r="E59" i="2" s="1"/>
  <c r="D147" i="2"/>
  <c r="E147" i="2" s="1"/>
  <c r="D148" i="2"/>
  <c r="E148" i="2" s="1"/>
  <c r="F15" i="2"/>
  <c r="G15" i="2" s="1"/>
  <c r="D150" i="2"/>
  <c r="E150" i="2" s="1"/>
  <c r="D151" i="2"/>
  <c r="E151" i="2" s="1"/>
  <c r="F18" i="2"/>
  <c r="G18" i="2" s="1"/>
  <c r="I68" i="2"/>
  <c r="E30" i="1"/>
  <c r="H13" i="2" l="1"/>
  <c r="D120" i="2"/>
  <c r="E106" i="6"/>
  <c r="D123" i="2"/>
  <c r="B66" i="2"/>
  <c r="E66" i="2" s="1"/>
  <c r="D121" i="2"/>
  <c r="C108" i="6"/>
  <c r="E41" i="2"/>
  <c r="H17" i="2"/>
  <c r="E45" i="2"/>
  <c r="H12" i="2"/>
  <c r="D122" i="2"/>
  <c r="F106" i="6"/>
  <c r="D108" i="6"/>
  <c r="E108" i="6" s="1"/>
  <c r="I49" i="2"/>
  <c r="H18" i="2"/>
  <c r="E107" i="6"/>
  <c r="F107" i="6" s="1"/>
  <c r="F69" i="2"/>
  <c r="F68" i="2"/>
  <c r="E61" i="6"/>
  <c r="C61" i="6"/>
  <c r="E62" i="6"/>
  <c r="F64" i="6"/>
  <c r="F63" i="6"/>
  <c r="C49" i="2"/>
  <c r="E50" i="2"/>
  <c r="E49" i="2"/>
  <c r="E51" i="2"/>
  <c r="F51" i="2" s="1"/>
  <c r="E52" i="2"/>
  <c r="F52" i="2" s="1"/>
  <c r="I51" i="2"/>
  <c r="H19" i="2"/>
  <c r="G153" i="2"/>
  <c r="D64" i="2"/>
  <c r="E64" i="2" s="1"/>
  <c r="F103" i="6"/>
  <c r="G103" i="6" s="1"/>
  <c r="F99" i="6"/>
  <c r="G99" i="6" s="1"/>
  <c r="I66" i="2"/>
  <c r="D58" i="2"/>
  <c r="E58" i="2" s="1"/>
  <c r="F104" i="6"/>
  <c r="G104" i="6" s="1"/>
  <c r="F17" i="2"/>
  <c r="G17" i="2" s="1"/>
  <c r="G155" i="2"/>
  <c r="D146" i="2"/>
  <c r="E146" i="2" s="1"/>
  <c r="J108" i="6"/>
  <c r="F19" i="6"/>
  <c r="G19" i="6" s="1"/>
  <c r="D63" i="2"/>
  <c r="E63" i="2" s="1"/>
  <c r="F101" i="6"/>
  <c r="G101" i="6" s="1"/>
  <c r="F14" i="2"/>
  <c r="G14" i="2" s="1"/>
  <c r="F16" i="2"/>
  <c r="G16" i="2" s="1"/>
  <c r="D61" i="2"/>
  <c r="E61" i="2" s="1"/>
  <c r="F100" i="6"/>
  <c r="G100" i="6" s="1"/>
  <c r="F13" i="2"/>
  <c r="G13" i="2" s="1"/>
  <c r="D60" i="2"/>
  <c r="E60" i="2" s="1"/>
  <c r="F97" i="6"/>
  <c r="G97" i="6" s="1"/>
  <c r="F19" i="2"/>
  <c r="G19" i="2" s="1"/>
  <c r="F12" i="2"/>
  <c r="G12" i="2" s="1"/>
  <c r="D57" i="2"/>
  <c r="E57" i="2" s="1"/>
  <c r="J106" i="6"/>
  <c r="F98" i="6"/>
  <c r="G98" i="6" s="1"/>
  <c r="D144" i="2"/>
  <c r="E144" i="2" s="1"/>
  <c r="F102" i="6"/>
  <c r="G102" i="6" s="1"/>
  <c r="F15" i="6"/>
  <c r="G15" i="6" s="1"/>
  <c r="D62" i="2"/>
  <c r="E62" i="2" s="1"/>
  <c r="D149" i="2"/>
  <c r="E149" i="2" s="1"/>
  <c r="A31" i="1"/>
  <c r="A33" i="1"/>
  <c r="C63" i="5"/>
  <c r="K111" i="6"/>
  <c r="F66" i="2" l="1"/>
  <c r="E67" i="2"/>
  <c r="C66" i="2"/>
  <c r="F108" i="6"/>
  <c r="D109" i="6"/>
  <c r="E109" i="6"/>
  <c r="F109" i="6" s="1"/>
  <c r="F67" i="2"/>
  <c r="F50" i="2"/>
  <c r="F49" i="2"/>
  <c r="F62" i="6"/>
  <c r="F61" i="6"/>
  <c r="Q28" i="2"/>
  <c r="Q28" i="6"/>
  <c r="E12" i="6" s="1"/>
  <c r="O22" i="6"/>
  <c r="D22" i="6"/>
  <c r="D21" i="6"/>
  <c r="K20" i="6"/>
  <c r="K21" i="6" s="1"/>
  <c r="J65" i="6" s="1"/>
  <c r="I19" i="6"/>
  <c r="D19" i="6"/>
  <c r="I18" i="6"/>
  <c r="D18" i="6"/>
  <c r="I17" i="6"/>
  <c r="D17" i="6"/>
  <c r="I16" i="6"/>
  <c r="D16" i="6"/>
  <c r="I15" i="6"/>
  <c r="D15" i="6"/>
  <c r="I14" i="6"/>
  <c r="D14" i="6"/>
  <c r="I13" i="6"/>
  <c r="G13" i="6"/>
  <c r="D13" i="6"/>
  <c r="I12" i="6"/>
  <c r="G12" i="6"/>
  <c r="D12" i="6"/>
  <c r="I11" i="6"/>
  <c r="G11" i="6"/>
  <c r="D11" i="6"/>
  <c r="I10" i="6"/>
  <c r="G10" i="6"/>
  <c r="D10" i="6"/>
  <c r="L7" i="6"/>
  <c r="G34" i="4" l="1"/>
  <c r="K22" i="6"/>
  <c r="J66" i="6" s="1"/>
  <c r="H11" i="6"/>
  <c r="H12" i="6"/>
  <c r="H14" i="6"/>
  <c r="H17" i="6"/>
  <c r="H18" i="6"/>
  <c r="H19" i="6"/>
  <c r="B31" i="1"/>
  <c r="E25" i="1"/>
  <c r="A30" i="1"/>
  <c r="B30" i="1"/>
  <c r="D83" i="1"/>
  <c r="D26" i="5"/>
  <c r="E26" i="5" s="1"/>
  <c r="D24" i="5"/>
  <c r="E24" i="5" s="1"/>
  <c r="D22" i="5"/>
  <c r="E22" i="5" s="1"/>
  <c r="D20" i="5"/>
  <c r="E20" i="5" s="1"/>
  <c r="D21" i="5"/>
  <c r="E21" i="5" s="1"/>
  <c r="D31" i="1"/>
  <c r="B33" i="1"/>
  <c r="B149" i="2"/>
  <c r="C149" i="2"/>
  <c r="B150" i="2"/>
  <c r="D168" i="2" s="1"/>
  <c r="C150" i="2"/>
  <c r="B151" i="2"/>
  <c r="C151" i="2"/>
  <c r="B153" i="2"/>
  <c r="B155" i="2"/>
  <c r="B145" i="2"/>
  <c r="C145" i="2"/>
  <c r="B146" i="2"/>
  <c r="D164" i="2" s="1"/>
  <c r="C146" i="2"/>
  <c r="B147" i="2"/>
  <c r="C147" i="2"/>
  <c r="B148" i="2"/>
  <c r="D166" i="2" s="1"/>
  <c r="C148" i="2"/>
  <c r="C144" i="2"/>
  <c r="B144" i="2"/>
  <c r="D162" i="2" s="1"/>
  <c r="P135" i="2"/>
  <c r="Q135" i="2" s="1"/>
  <c r="P133" i="2"/>
  <c r="Q133" i="2" s="1"/>
  <c r="P131" i="2"/>
  <c r="Q131" i="2" s="1"/>
  <c r="P129" i="2"/>
  <c r="Q129" i="2" s="1"/>
  <c r="C111" i="2"/>
  <c r="C112" i="2"/>
  <c r="C113" i="2"/>
  <c r="C114" i="2"/>
  <c r="C115" i="2"/>
  <c r="C116" i="2"/>
  <c r="C117" i="2"/>
  <c r="C118" i="2"/>
  <c r="B112" i="2"/>
  <c r="B113" i="2"/>
  <c r="C131" i="2" s="1"/>
  <c r="O131" i="2" s="1"/>
  <c r="B114" i="2"/>
  <c r="B115" i="2"/>
  <c r="C133" i="2" s="1"/>
  <c r="O133" i="2" s="1"/>
  <c r="B116" i="2"/>
  <c r="B117" i="2"/>
  <c r="C135" i="2" s="1"/>
  <c r="O135" i="2" s="1"/>
  <c r="B118" i="2"/>
  <c r="B111" i="2"/>
  <c r="C129" i="2" s="1"/>
  <c r="O129" i="2" s="1"/>
  <c r="B62" i="2"/>
  <c r="C62" i="2"/>
  <c r="B63" i="2"/>
  <c r="C63" i="2"/>
  <c r="B64" i="2"/>
  <c r="C64" i="2"/>
  <c r="B58" i="2"/>
  <c r="C58" i="2"/>
  <c r="B59" i="2"/>
  <c r="C59" i="2"/>
  <c r="B60" i="2"/>
  <c r="C60" i="2"/>
  <c r="B61" i="2"/>
  <c r="C61" i="2"/>
  <c r="C57" i="2"/>
  <c r="B57" i="2"/>
  <c r="C41" i="2"/>
  <c r="C42" i="2"/>
  <c r="C43" i="2"/>
  <c r="C44" i="2"/>
  <c r="C45" i="2"/>
  <c r="C46" i="2"/>
  <c r="C47" i="2"/>
  <c r="C40" i="2"/>
  <c r="B41" i="2"/>
  <c r="B42" i="2"/>
  <c r="B43" i="2"/>
  <c r="B44" i="2"/>
  <c r="B45" i="2"/>
  <c r="B46" i="2"/>
  <c r="B47" i="2"/>
  <c r="B40" i="2"/>
  <c r="D16" i="2"/>
  <c r="I16" i="2"/>
  <c r="D14" i="2"/>
  <c r="I14" i="2"/>
  <c r="D12" i="2"/>
  <c r="I12" i="2"/>
  <c r="I11" i="2"/>
  <c r="I13" i="2"/>
  <c r="I15" i="2"/>
  <c r="I17" i="2"/>
  <c r="I18" i="2"/>
  <c r="I19" i="2"/>
  <c r="I10" i="2"/>
  <c r="D10" i="2"/>
  <c r="C53" i="6"/>
  <c r="C54" i="6"/>
  <c r="C55" i="6"/>
  <c r="C56" i="6"/>
  <c r="C57" i="6"/>
  <c r="C58" i="6"/>
  <c r="C59" i="6"/>
  <c r="C52" i="6"/>
  <c r="B53" i="6"/>
  <c r="B54" i="6"/>
  <c r="B55" i="6"/>
  <c r="B56" i="6"/>
  <c r="B57" i="6"/>
  <c r="B58" i="6"/>
  <c r="B59" i="6"/>
  <c r="B52" i="6"/>
  <c r="C97" i="6"/>
  <c r="B98" i="6"/>
  <c r="C98" i="6" s="1"/>
  <c r="C99" i="6"/>
  <c r="C101" i="6"/>
  <c r="B103" i="6"/>
  <c r="C103" i="6" s="1"/>
  <c r="B100" i="6"/>
  <c r="C100" i="6" s="1"/>
  <c r="B102" i="6"/>
  <c r="C102" i="6" s="1"/>
  <c r="B104" i="6"/>
  <c r="C104" i="6" s="1"/>
  <c r="I41" i="6"/>
  <c r="J41" i="6" s="1"/>
  <c r="D42" i="6"/>
  <c r="D41" i="6"/>
  <c r="C35" i="1"/>
  <c r="D156" i="2" l="1"/>
  <c r="D155" i="2"/>
  <c r="D154" i="2"/>
  <c r="D153" i="2"/>
  <c r="H10" i="6"/>
  <c r="H13" i="6"/>
  <c r="H15" i="6"/>
  <c r="H16" i="6"/>
  <c r="Q23" i="6"/>
  <c r="O23" i="6"/>
  <c r="E100" i="4"/>
  <c r="G112" i="4"/>
  <c r="G113" i="4"/>
  <c r="G114" i="4"/>
  <c r="G115" i="4"/>
  <c r="G111" i="4"/>
  <c r="D113" i="4"/>
  <c r="F112" i="4"/>
  <c r="F113" i="4"/>
  <c r="F114" i="4"/>
  <c r="F115" i="4"/>
  <c r="F111" i="4"/>
  <c r="E115" i="4"/>
  <c r="D112" i="4"/>
  <c r="D114" i="4"/>
  <c r="B112" i="4"/>
  <c r="B113" i="4"/>
  <c r="B114" i="4"/>
  <c r="B115" i="4"/>
  <c r="B111" i="4"/>
  <c r="D105" i="4"/>
  <c r="D48" i="1" s="1"/>
  <c r="D106" i="4"/>
  <c r="D49" i="1" s="1"/>
  <c r="C103" i="1"/>
  <c r="C104" i="1"/>
  <c r="C105" i="1"/>
  <c r="C102" i="1"/>
  <c r="B103" i="1"/>
  <c r="B105" i="1"/>
  <c r="D102" i="2"/>
  <c r="D30" i="2"/>
  <c r="D22" i="2"/>
  <c r="C112" i="4" l="1"/>
  <c r="C113" i="4"/>
  <c r="C114" i="4"/>
  <c r="B42" i="6"/>
  <c r="H97" i="6" s="1"/>
  <c r="B22" i="6"/>
  <c r="P30" i="6"/>
  <c r="Q30" i="6" s="1"/>
  <c r="E14" i="6" s="1"/>
  <c r="P27" i="6"/>
  <c r="Q27" i="6" s="1"/>
  <c r="P29" i="6"/>
  <c r="Q29" i="6" s="1"/>
  <c r="E13" i="6" s="1"/>
  <c r="P28" i="6"/>
  <c r="P34" i="6"/>
  <c r="Q34" i="6" s="1"/>
  <c r="E18" i="6" s="1"/>
  <c r="P31" i="6"/>
  <c r="Q31" i="6" s="1"/>
  <c r="E15" i="6" s="1"/>
  <c r="P26" i="6"/>
  <c r="Q26" i="6" s="1"/>
  <c r="E10" i="6" s="1"/>
  <c r="P32" i="6"/>
  <c r="Q32" i="6" s="1"/>
  <c r="E16" i="6" s="1"/>
  <c r="P33" i="6"/>
  <c r="Q33" i="6" s="1"/>
  <c r="P35" i="6"/>
  <c r="Q35" i="6" s="1"/>
  <c r="B22" i="2"/>
  <c r="D124" i="4"/>
  <c r="D132" i="4" s="1"/>
  <c r="D111" i="4"/>
  <c r="C111" i="4" s="1"/>
  <c r="B30" i="2"/>
  <c r="B102" i="2"/>
  <c r="H154" i="2" l="1"/>
  <c r="H156" i="2"/>
  <c r="K107" i="6"/>
  <c r="K109" i="6"/>
  <c r="K108" i="6"/>
  <c r="J67" i="2"/>
  <c r="J69" i="2"/>
  <c r="B136" i="6"/>
  <c r="B137" i="6" s="1"/>
  <c r="E136" i="6"/>
  <c r="E137" i="6" s="1"/>
  <c r="C34" i="2"/>
  <c r="L94" i="2"/>
  <c r="L95" i="2" s="1"/>
  <c r="I94" i="2"/>
  <c r="I95" i="2" s="1"/>
  <c r="H103" i="6"/>
  <c r="H101" i="6"/>
  <c r="H100" i="6"/>
  <c r="H102" i="6"/>
  <c r="K106" i="6"/>
  <c r="H98" i="6"/>
  <c r="H104" i="6"/>
  <c r="H99" i="6"/>
  <c r="E11" i="6"/>
  <c r="E17" i="6"/>
  <c r="C117" i="4"/>
  <c r="E19" i="6"/>
  <c r="J16" i="6"/>
  <c r="J10" i="6"/>
  <c r="J14" i="6"/>
  <c r="J18" i="6"/>
  <c r="J15" i="6"/>
  <c r="J11" i="6"/>
  <c r="J17" i="6"/>
  <c r="J19" i="6"/>
  <c r="J13" i="6"/>
  <c r="J12" i="6"/>
  <c r="F148" i="2"/>
  <c r="F150" i="2"/>
  <c r="F146" i="2"/>
  <c r="F144" i="2"/>
  <c r="F145" i="2"/>
  <c r="B34" i="2"/>
  <c r="F59" i="2"/>
  <c r="F61" i="2"/>
  <c r="F63" i="2"/>
  <c r="F57" i="2"/>
  <c r="J10" i="2"/>
  <c r="J12" i="2"/>
  <c r="J16" i="2"/>
  <c r="J14" i="2"/>
  <c r="C46" i="6"/>
  <c r="B46" i="6"/>
  <c r="D142" i="4"/>
  <c r="D57" i="1"/>
  <c r="F39" i="5"/>
  <c r="D23" i="5"/>
  <c r="E23" i="5" s="1"/>
  <c r="D25" i="5"/>
  <c r="E25" i="5" s="1"/>
  <c r="D27" i="5"/>
  <c r="E27" i="5" s="1"/>
  <c r="D28" i="5"/>
  <c r="E28" i="5" s="1"/>
  <c r="D29" i="5"/>
  <c r="E29" i="5" s="1"/>
  <c r="B34" i="5"/>
  <c r="C48" i="5"/>
  <c r="C118" i="1" s="1"/>
  <c r="C49" i="5"/>
  <c r="C119" i="1" s="1"/>
  <c r="C50" i="5"/>
  <c r="C120" i="1" s="1"/>
  <c r="C51" i="5"/>
  <c r="C47" i="5"/>
  <c r="C117" i="1" s="1"/>
  <c r="B48" i="5"/>
  <c r="B118" i="1" s="1"/>
  <c r="B50" i="5"/>
  <c r="B120" i="1" s="1"/>
  <c r="B51" i="5"/>
  <c r="B36" i="5"/>
  <c r="A98" i="1" s="1"/>
  <c r="B37" i="5"/>
  <c r="B32" i="5"/>
  <c r="B35" i="5"/>
  <c r="B33" i="5"/>
  <c r="F151" i="2"/>
  <c r="H153" i="2"/>
  <c r="H155" i="2"/>
  <c r="F149" i="2"/>
  <c r="F147" i="2"/>
  <c r="F64" i="2"/>
  <c r="J66" i="2"/>
  <c r="J68" i="2"/>
  <c r="F62" i="2"/>
  <c r="F60" i="2"/>
  <c r="F58" i="2"/>
  <c r="F98" i="1" l="1"/>
  <c r="F113" i="1"/>
  <c r="A113" i="1"/>
  <c r="D98" i="1"/>
  <c r="D113" i="1"/>
  <c r="G117" i="4"/>
  <c r="C147" i="1" s="1"/>
  <c r="D117" i="4"/>
  <c r="C134" i="1" s="1"/>
  <c r="B82" i="1"/>
  <c r="B130" i="6"/>
  <c r="E130" i="6" s="1"/>
  <c r="I88" i="2"/>
  <c r="L88" i="2" s="1"/>
  <c r="C162" i="2"/>
  <c r="C164" i="2"/>
  <c r="C168" i="2"/>
  <c r="C166" i="2"/>
  <c r="B47" i="5"/>
  <c r="B117" i="1" s="1"/>
  <c r="B102" i="1"/>
  <c r="B104" i="1"/>
  <c r="R139" i="2"/>
  <c r="C133" i="1" l="1"/>
  <c r="C137" i="1" s="1"/>
  <c r="C151" i="1" s="1"/>
  <c r="B98" i="1"/>
  <c r="D103" i="1" s="1"/>
  <c r="E103" i="1" s="1"/>
  <c r="C139" i="1"/>
  <c r="B112" i="1"/>
  <c r="B138" i="6"/>
  <c r="E138" i="6" s="1"/>
  <c r="B125" i="6" s="1"/>
  <c r="B75" i="1"/>
  <c r="E39" i="5"/>
  <c r="B87" i="1"/>
  <c r="B57" i="5"/>
  <c r="B38" i="5"/>
  <c r="B113" i="1" s="1"/>
  <c r="C113" i="1" s="1"/>
  <c r="I96" i="2"/>
  <c r="L96" i="2" s="1"/>
  <c r="E84" i="2" s="1"/>
  <c r="R135" i="2"/>
  <c r="F135" i="2" s="1"/>
  <c r="R133" i="2"/>
  <c r="R131" i="2"/>
  <c r="F131" i="2" s="1"/>
  <c r="R129" i="2"/>
  <c r="F129" i="2" s="1"/>
  <c r="S131" i="2"/>
  <c r="H164" i="2" s="1"/>
  <c r="S133" i="2"/>
  <c r="H166" i="2" s="1"/>
  <c r="S129" i="2"/>
  <c r="H162" i="2" s="1"/>
  <c r="S135" i="2"/>
  <c r="H168" i="2" s="1"/>
  <c r="B49" i="5"/>
  <c r="B119" i="1" s="1"/>
  <c r="J17" i="2"/>
  <c r="J18" i="2"/>
  <c r="J19" i="2"/>
  <c r="J15" i="2"/>
  <c r="C135" i="1" l="1"/>
  <c r="C98" i="1"/>
  <c r="D102" i="1"/>
  <c r="E102" i="1" s="1"/>
  <c r="F102" i="1" s="1"/>
  <c r="H126" i="1"/>
  <c r="D104" i="1"/>
  <c r="E104" i="1" s="1"/>
  <c r="F104" i="1" s="1"/>
  <c r="D105" i="1"/>
  <c r="E105" i="1" s="1"/>
  <c r="F105" i="1" s="1"/>
  <c r="B31" i="5"/>
  <c r="B58" i="5" s="1"/>
  <c r="D58" i="5" s="1"/>
  <c r="D75" i="1"/>
  <c r="C75" i="1"/>
  <c r="F103" i="1"/>
  <c r="F133" i="2"/>
  <c r="C136" i="2"/>
  <c r="O136" i="2" s="1"/>
  <c r="P136" i="2" s="1"/>
  <c r="C58" i="5" l="1"/>
  <c r="E106" i="1"/>
  <c r="Q136" i="2"/>
  <c r="S136" i="2" s="1"/>
  <c r="H169" i="2" s="1"/>
  <c r="R136" i="2"/>
  <c r="F136" i="2" l="1"/>
  <c r="J13" i="2"/>
  <c r="J11" i="2"/>
  <c r="H127" i="1" l="1"/>
  <c r="C34" i="1" l="1"/>
  <c r="B36" i="1" l="1"/>
  <c r="C145" i="1" s="1"/>
  <c r="C149" i="1" s="1"/>
  <c r="C152" i="1" s="1"/>
  <c r="B41" i="6" l="1"/>
  <c r="B21" i="6"/>
  <c r="K20" i="2"/>
  <c r="E170" i="2"/>
  <c r="F170" i="2"/>
  <c r="E171" i="2"/>
  <c r="F171" i="2"/>
  <c r="D165" i="2"/>
  <c r="D167" i="2"/>
  <c r="D169" i="2"/>
  <c r="D163" i="2"/>
  <c r="C132" i="2"/>
  <c r="O132" i="2" s="1"/>
  <c r="P132" i="2" s="1"/>
  <c r="C134" i="2"/>
  <c r="O134" i="2" s="1"/>
  <c r="P134" i="2" s="1"/>
  <c r="C137" i="2"/>
  <c r="O137" i="2" s="1"/>
  <c r="C138" i="2"/>
  <c r="C130" i="2"/>
  <c r="O130" i="2" s="1"/>
  <c r="P130" i="2" s="1"/>
  <c r="D19" i="2"/>
  <c r="C31" i="2"/>
  <c r="G57" i="2" s="1"/>
  <c r="B31" i="2"/>
  <c r="D18" i="2"/>
  <c r="F57" i="6" l="1"/>
  <c r="F54" i="6"/>
  <c r="F53" i="6"/>
  <c r="J64" i="6"/>
  <c r="F55" i="6"/>
  <c r="F52" i="6"/>
  <c r="J61" i="6"/>
  <c r="J62" i="6"/>
  <c r="F56" i="6"/>
  <c r="F58" i="6"/>
  <c r="J63" i="6"/>
  <c r="F59" i="6"/>
  <c r="K17" i="6"/>
  <c r="K14" i="6"/>
  <c r="K18" i="6"/>
  <c r="K16" i="6"/>
  <c r="K19" i="6"/>
  <c r="K12" i="6"/>
  <c r="K10" i="6"/>
  <c r="K13" i="6"/>
  <c r="K11" i="6"/>
  <c r="K15" i="6"/>
  <c r="B45" i="6"/>
  <c r="K67" i="2"/>
  <c r="L67" i="2" s="1"/>
  <c r="K69" i="2"/>
  <c r="L69" i="2" s="1"/>
  <c r="C45" i="6"/>
  <c r="C90" i="6"/>
  <c r="C91" i="6" s="1"/>
  <c r="F90" i="6"/>
  <c r="F91" i="6" s="1"/>
  <c r="O138" i="2"/>
  <c r="P138" i="2" s="1"/>
  <c r="G63" i="2"/>
  <c r="H63" i="2" s="1"/>
  <c r="E80" i="2" s="1"/>
  <c r="G61" i="2"/>
  <c r="H61" i="2" s="1"/>
  <c r="E78" i="2" s="1"/>
  <c r="G59" i="2"/>
  <c r="H59" i="2" s="1"/>
  <c r="E76" i="2" s="1"/>
  <c r="H57" i="2"/>
  <c r="E74" i="2" s="1"/>
  <c r="K22" i="2"/>
  <c r="C103" i="2"/>
  <c r="C43" i="6"/>
  <c r="B103" i="2"/>
  <c r="B43" i="6"/>
  <c r="D170" i="2"/>
  <c r="P137" i="2"/>
  <c r="D171" i="2"/>
  <c r="Q134" i="2"/>
  <c r="S134" i="2" s="1"/>
  <c r="H167" i="2" s="1"/>
  <c r="R134" i="2"/>
  <c r="F134" i="2" s="1"/>
  <c r="Q132" i="2"/>
  <c r="S132" i="2" s="1"/>
  <c r="H165" i="2" s="1"/>
  <c r="R132" i="2"/>
  <c r="Q130" i="2"/>
  <c r="S130" i="2" s="1"/>
  <c r="H163" i="2" s="1"/>
  <c r="R130" i="2"/>
  <c r="F130" i="2" s="1"/>
  <c r="K21" i="2"/>
  <c r="G58" i="6" l="1"/>
  <c r="G57" i="6"/>
  <c r="G59" i="6"/>
  <c r="G56" i="6"/>
  <c r="H56" i="6" s="1"/>
  <c r="B74" i="6" s="1"/>
  <c r="G55" i="6"/>
  <c r="G54" i="6"/>
  <c r="H54" i="6" s="1"/>
  <c r="B72" i="6" s="1"/>
  <c r="G53" i="6"/>
  <c r="G52" i="6"/>
  <c r="H52" i="6" s="1"/>
  <c r="B70" i="6" s="1"/>
  <c r="L107" i="6"/>
  <c r="M107" i="6" s="1"/>
  <c r="L108" i="6"/>
  <c r="M108" i="6" s="1"/>
  <c r="L109" i="6"/>
  <c r="M109" i="6" s="1"/>
  <c r="K62" i="6"/>
  <c r="L62" i="6" s="1"/>
  <c r="K64" i="6"/>
  <c r="L64" i="6" s="1"/>
  <c r="C84" i="6"/>
  <c r="F84" i="6" s="1"/>
  <c r="I100" i="6"/>
  <c r="J100" i="6" s="1"/>
  <c r="D118" i="6" s="1"/>
  <c r="I97" i="6"/>
  <c r="J97" i="6" s="1"/>
  <c r="D115" i="6" s="1"/>
  <c r="I98" i="6"/>
  <c r="J98" i="6" s="1"/>
  <c r="D116" i="6" s="1"/>
  <c r="I99" i="6"/>
  <c r="J99" i="6" s="1"/>
  <c r="D117" i="6" s="1"/>
  <c r="R14" i="6"/>
  <c r="P14" i="6"/>
  <c r="O14" i="6"/>
  <c r="Q14" i="6"/>
  <c r="M14" i="6"/>
  <c r="S14" i="6"/>
  <c r="S18" i="6"/>
  <c r="M18" i="6"/>
  <c r="R18" i="6"/>
  <c r="P18" i="6"/>
  <c r="O18" i="6"/>
  <c r="Q18" i="6"/>
  <c r="O11" i="6"/>
  <c r="P11" i="6"/>
  <c r="M11" i="6"/>
  <c r="S11" i="6"/>
  <c r="R11" i="6"/>
  <c r="Q11" i="6"/>
  <c r="M12" i="6"/>
  <c r="Q12" i="6"/>
  <c r="P12" i="6"/>
  <c r="S12" i="6"/>
  <c r="O12" i="6"/>
  <c r="R12" i="6"/>
  <c r="O19" i="6"/>
  <c r="R19" i="6"/>
  <c r="Q19" i="6"/>
  <c r="M19" i="6"/>
  <c r="S19" i="6"/>
  <c r="P19" i="6"/>
  <c r="O13" i="6"/>
  <c r="S13" i="6"/>
  <c r="M13" i="6"/>
  <c r="Q13" i="6"/>
  <c r="P13" i="6"/>
  <c r="R13" i="6"/>
  <c r="S15" i="6"/>
  <c r="R15" i="6"/>
  <c r="M15" i="6"/>
  <c r="P15" i="6"/>
  <c r="Q15" i="6"/>
  <c r="O15" i="6"/>
  <c r="P10" i="6"/>
  <c r="S10" i="6"/>
  <c r="O10" i="6"/>
  <c r="R10" i="6"/>
  <c r="M10" i="6"/>
  <c r="Q10" i="6"/>
  <c r="R17" i="6"/>
  <c r="S17" i="6"/>
  <c r="M17" i="6"/>
  <c r="P17" i="6"/>
  <c r="Q17" i="6"/>
  <c r="O17" i="6"/>
  <c r="P16" i="6"/>
  <c r="O16" i="6"/>
  <c r="Q16" i="6"/>
  <c r="S16" i="6"/>
  <c r="R16" i="6"/>
  <c r="M16" i="6"/>
  <c r="H58" i="6"/>
  <c r="B76" i="6" s="1"/>
  <c r="Q76" i="6" s="1"/>
  <c r="R138" i="2"/>
  <c r="F138" i="2" s="1"/>
  <c r="Q138" i="2"/>
  <c r="S138" i="2" s="1"/>
  <c r="H171" i="2" s="1"/>
  <c r="J53" i="2"/>
  <c r="I101" i="6"/>
  <c r="J101" i="6" s="1"/>
  <c r="D119" i="6" s="1"/>
  <c r="L106" i="6"/>
  <c r="M106" i="6" s="1"/>
  <c r="N106" i="6" s="1"/>
  <c r="D123" i="6" s="1"/>
  <c r="I102" i="6"/>
  <c r="J102" i="6" s="1"/>
  <c r="D120" i="6" s="1"/>
  <c r="I103" i="6"/>
  <c r="J103" i="6" s="1"/>
  <c r="D121" i="6" s="1"/>
  <c r="I104" i="6"/>
  <c r="J104" i="6" s="1"/>
  <c r="D122" i="6" s="1"/>
  <c r="K61" i="6"/>
  <c r="K63" i="6"/>
  <c r="L63" i="6" s="1"/>
  <c r="F132" i="2"/>
  <c r="E124" i="2"/>
  <c r="Q137" i="2"/>
  <c r="S137" i="2" s="1"/>
  <c r="H170" i="2" s="1"/>
  <c r="R137" i="2"/>
  <c r="F137" i="2" s="1"/>
  <c r="E125" i="2"/>
  <c r="J54" i="2"/>
  <c r="M63" i="6" l="1"/>
  <c r="N108" i="6"/>
  <c r="C92" i="6"/>
  <c r="F92" i="6" s="1"/>
  <c r="B80" i="6" s="1"/>
  <c r="L61" i="6"/>
  <c r="M61" i="6" s="1"/>
  <c r="B78" i="6" s="1"/>
  <c r="Q115" i="6"/>
  <c r="S115" i="6"/>
  <c r="O115" i="6"/>
  <c r="P115" i="6"/>
  <c r="R115" i="6"/>
  <c r="R76" i="6"/>
  <c r="D81" i="1"/>
  <c r="P76" i="6"/>
  <c r="O76" i="6"/>
  <c r="S76" i="6"/>
  <c r="R70" i="6"/>
  <c r="S70" i="6"/>
  <c r="P70" i="6"/>
  <c r="O70" i="6"/>
  <c r="Q70" i="6"/>
  <c r="P74" i="6"/>
  <c r="S74" i="6"/>
  <c r="Q74" i="6"/>
  <c r="R74" i="6"/>
  <c r="O74" i="6"/>
  <c r="Q72" i="6"/>
  <c r="R72" i="6"/>
  <c r="S72" i="6"/>
  <c r="O72" i="6"/>
  <c r="P72" i="6"/>
  <c r="H55" i="6"/>
  <c r="B73" i="6" s="1"/>
  <c r="O73" i="6" s="1"/>
  <c r="H57" i="6"/>
  <c r="B75" i="6" s="1"/>
  <c r="P75" i="6" s="1"/>
  <c r="H59" i="6"/>
  <c r="B77" i="6" s="1"/>
  <c r="O77" i="6" s="1"/>
  <c r="O137" i="6" s="1"/>
  <c r="H53" i="6"/>
  <c r="R119" i="6"/>
  <c r="S119" i="6"/>
  <c r="O119" i="6"/>
  <c r="Q119" i="6"/>
  <c r="P119" i="6"/>
  <c r="S120" i="6"/>
  <c r="R120" i="6"/>
  <c r="O120" i="6"/>
  <c r="P120" i="6"/>
  <c r="Q120" i="6"/>
  <c r="O122" i="6"/>
  <c r="P122" i="6"/>
  <c r="Q122" i="6"/>
  <c r="R122" i="6"/>
  <c r="S122" i="6"/>
  <c r="Q118" i="6"/>
  <c r="R118" i="6"/>
  <c r="S118" i="6"/>
  <c r="O118" i="6"/>
  <c r="P118" i="6"/>
  <c r="P117" i="6"/>
  <c r="O117" i="6"/>
  <c r="Q117" i="6"/>
  <c r="R117" i="6"/>
  <c r="S117" i="6"/>
  <c r="O121" i="6"/>
  <c r="P121" i="6"/>
  <c r="S121" i="6"/>
  <c r="Q121" i="6"/>
  <c r="Q136" i="6" s="1"/>
  <c r="L52" i="4" s="1"/>
  <c r="R121" i="6"/>
  <c r="O116" i="6"/>
  <c r="P116" i="6"/>
  <c r="Q116" i="6"/>
  <c r="R116" i="6"/>
  <c r="S116" i="6"/>
  <c r="P123" i="6"/>
  <c r="O123" i="6"/>
  <c r="Q123" i="6"/>
  <c r="R123" i="6"/>
  <c r="S123" i="6"/>
  <c r="C36" i="1"/>
  <c r="B79" i="6" l="1"/>
  <c r="R79" i="6" s="1"/>
  <c r="D124" i="6"/>
  <c r="O124" i="6" s="1"/>
  <c r="S78" i="6"/>
  <c r="S138" i="6" s="1"/>
  <c r="N54" i="4" s="1"/>
  <c r="P78" i="6"/>
  <c r="P138" i="6" s="1"/>
  <c r="K54" i="4" s="1"/>
  <c r="O78" i="6"/>
  <c r="O138" i="6" s="1"/>
  <c r="J54" i="4" s="1"/>
  <c r="Q78" i="6"/>
  <c r="Q138" i="6" s="1"/>
  <c r="L54" i="4" s="1"/>
  <c r="R78" i="6"/>
  <c r="R138" i="6" s="1"/>
  <c r="M54" i="4" s="1"/>
  <c r="Q130" i="6"/>
  <c r="L46" i="4" s="1"/>
  <c r="P136" i="6"/>
  <c r="K52" i="4" s="1"/>
  <c r="O130" i="6"/>
  <c r="J46" i="4" s="1"/>
  <c r="P130" i="6"/>
  <c r="K46" i="4" s="1"/>
  <c r="O136" i="6"/>
  <c r="J52" i="4" s="1"/>
  <c r="R130" i="6"/>
  <c r="M46" i="4" s="1"/>
  <c r="R136" i="6"/>
  <c r="M52" i="4" s="1"/>
  <c r="S136" i="6"/>
  <c r="N52" i="4" s="1"/>
  <c r="S130" i="6"/>
  <c r="N46" i="4" s="1"/>
  <c r="J53" i="4"/>
  <c r="S132" i="6"/>
  <c r="N48" i="4" s="1"/>
  <c r="R132" i="6"/>
  <c r="M48" i="4" s="1"/>
  <c r="P134" i="6"/>
  <c r="K50" i="4" s="1"/>
  <c r="P135" i="6"/>
  <c r="K51" i="4" s="1"/>
  <c r="Q132" i="6"/>
  <c r="L48" i="4" s="1"/>
  <c r="S134" i="6"/>
  <c r="N50" i="4" s="1"/>
  <c r="O133" i="6"/>
  <c r="J49" i="4" s="1"/>
  <c r="O134" i="6"/>
  <c r="J50" i="4" s="1"/>
  <c r="P132" i="6"/>
  <c r="K48" i="4" s="1"/>
  <c r="R134" i="6"/>
  <c r="M50" i="4" s="1"/>
  <c r="O132" i="6"/>
  <c r="J48" i="4" s="1"/>
  <c r="Q134" i="6"/>
  <c r="L50" i="4" s="1"/>
  <c r="B71" i="6"/>
  <c r="O71" i="6" s="1"/>
  <c r="O131" i="6" s="1"/>
  <c r="J47" i="4" s="1"/>
  <c r="Q73" i="6"/>
  <c r="Q133" i="6" s="1"/>
  <c r="L49" i="4" s="1"/>
  <c r="S73" i="6"/>
  <c r="S133" i="6" s="1"/>
  <c r="N49" i="4" s="1"/>
  <c r="P73" i="6"/>
  <c r="P133" i="6" s="1"/>
  <c r="K49" i="4" s="1"/>
  <c r="R73" i="6"/>
  <c r="R133" i="6" s="1"/>
  <c r="M49" i="4" s="1"/>
  <c r="R75" i="6"/>
  <c r="R135" i="6" s="1"/>
  <c r="M51" i="4" s="1"/>
  <c r="O75" i="6"/>
  <c r="O135" i="6" s="1"/>
  <c r="J51" i="4" s="1"/>
  <c r="S75" i="6"/>
  <c r="S135" i="6" s="1"/>
  <c r="N51" i="4" s="1"/>
  <c r="Q75" i="6"/>
  <c r="Q135" i="6" s="1"/>
  <c r="L51" i="4" s="1"/>
  <c r="S77" i="6"/>
  <c r="S137" i="6" s="1"/>
  <c r="N53" i="4" s="1"/>
  <c r="R77" i="6"/>
  <c r="R137" i="6" s="1"/>
  <c r="M53" i="4" s="1"/>
  <c r="Q77" i="6"/>
  <c r="Q137" i="6" s="1"/>
  <c r="L53" i="4" s="1"/>
  <c r="P77" i="6"/>
  <c r="P137" i="6" s="1"/>
  <c r="K53" i="4" s="1"/>
  <c r="F23" i="1"/>
  <c r="F22" i="1"/>
  <c r="Q79" i="6" l="1"/>
  <c r="P79" i="6"/>
  <c r="O79" i="6"/>
  <c r="O139" i="6" s="1"/>
  <c r="J55" i="4" s="1"/>
  <c r="S79" i="6"/>
  <c r="Q124" i="6"/>
  <c r="Q139" i="6" s="1"/>
  <c r="L55" i="4" s="1"/>
  <c r="R124" i="6"/>
  <c r="R139" i="6" s="1"/>
  <c r="M55" i="4" s="1"/>
  <c r="S124" i="6"/>
  <c r="P124" i="6"/>
  <c r="P71" i="6"/>
  <c r="P131" i="6" s="1"/>
  <c r="K47" i="4" s="1"/>
  <c r="S71" i="6"/>
  <c r="S131" i="6" s="1"/>
  <c r="N47" i="4" s="1"/>
  <c r="Q71" i="6"/>
  <c r="Q131" i="6" s="1"/>
  <c r="L47" i="4" s="1"/>
  <c r="R71" i="6"/>
  <c r="R131" i="6" s="1"/>
  <c r="M47" i="4" s="1"/>
  <c r="Q23" i="2"/>
  <c r="O22" i="2"/>
  <c r="P139" i="6" l="1"/>
  <c r="K55" i="4" s="1"/>
  <c r="S139" i="6"/>
  <c r="N55" i="4" s="1"/>
  <c r="O23" i="2"/>
  <c r="P27" i="2" s="1"/>
  <c r="Q27" i="2" s="1"/>
  <c r="G33" i="4" s="1"/>
  <c r="C163" i="1"/>
  <c r="C159" i="1"/>
  <c r="C161" i="1" s="1"/>
  <c r="C164" i="1"/>
  <c r="G3" i="3"/>
  <c r="E28" i="1"/>
  <c r="F2" i="3"/>
  <c r="D33" i="3"/>
  <c r="D34" i="3"/>
  <c r="D35" i="3"/>
  <c r="D36" i="3"/>
  <c r="D37" i="3"/>
  <c r="D38" i="3"/>
  <c r="D39" i="3"/>
  <c r="D40" i="3"/>
  <c r="D41" i="3"/>
  <c r="D42" i="3"/>
  <c r="D43" i="3"/>
  <c r="D44" i="3"/>
  <c r="D45" i="3"/>
  <c r="D46" i="3"/>
  <c r="D47" i="3"/>
  <c r="D48" i="3"/>
  <c r="D49" i="3"/>
  <c r="D50" i="3"/>
  <c r="D51" i="3"/>
  <c r="D52" i="3"/>
  <c r="D32" i="3"/>
  <c r="D6" i="3"/>
  <c r="D7" i="3"/>
  <c r="D8" i="3"/>
  <c r="D9" i="3"/>
  <c r="D10" i="3"/>
  <c r="D11" i="3"/>
  <c r="D12" i="3"/>
  <c r="D13" i="3"/>
  <c r="D14" i="3"/>
  <c r="D15" i="3"/>
  <c r="D16" i="3"/>
  <c r="D17" i="3"/>
  <c r="D18" i="3"/>
  <c r="D19" i="3"/>
  <c r="D20" i="3"/>
  <c r="D21" i="3"/>
  <c r="D5" i="3"/>
  <c r="D127" i="1"/>
  <c r="H3" i="3" s="1"/>
  <c r="B77" i="1"/>
  <c r="B90" i="1"/>
  <c r="C170" i="1" s="1"/>
  <c r="C160" i="1"/>
  <c r="E131" i="1"/>
  <c r="D131" i="1"/>
  <c r="C131" i="1"/>
  <c r="F21" i="1"/>
  <c r="F20" i="1"/>
  <c r="D101" i="2"/>
  <c r="B39" i="1"/>
  <c r="K7" i="2"/>
  <c r="D29" i="2"/>
  <c r="D21" i="2"/>
  <c r="D17" i="2"/>
  <c r="D15" i="2"/>
  <c r="D13" i="2"/>
  <c r="D11" i="2"/>
  <c r="D91" i="1" l="1"/>
  <c r="F83" i="1"/>
  <c r="P26" i="2"/>
  <c r="Q26" i="2" s="1"/>
  <c r="P28" i="2"/>
  <c r="P30" i="2"/>
  <c r="Q30" i="2" s="1"/>
  <c r="G36" i="4" s="1"/>
  <c r="P32" i="2"/>
  <c r="Q32" i="2" s="1"/>
  <c r="G38" i="4" s="1"/>
  <c r="P35" i="2"/>
  <c r="Q35" i="2" s="1"/>
  <c r="G41" i="4" s="1"/>
  <c r="P34" i="2"/>
  <c r="Q34" i="2" s="1"/>
  <c r="G40" i="4" s="1"/>
  <c r="F17" i="3"/>
  <c r="F19" i="3"/>
  <c r="F13" i="3"/>
  <c r="F24" i="3"/>
  <c r="F6" i="3"/>
  <c r="F7" i="3"/>
  <c r="F23" i="3"/>
  <c r="E11" i="2"/>
  <c r="F16" i="3"/>
  <c r="F9" i="3"/>
  <c r="F21" i="3"/>
  <c r="F10" i="3"/>
  <c r="F5" i="3"/>
  <c r="F20" i="3"/>
  <c r="F14" i="3"/>
  <c r="F8" i="3"/>
  <c r="F12" i="3"/>
  <c r="F11" i="3"/>
  <c r="F25" i="3"/>
  <c r="F22" i="3"/>
  <c r="F15" i="3"/>
  <c r="F18" i="3"/>
  <c r="B21" i="2"/>
  <c r="C166" i="1"/>
  <c r="D90" i="1"/>
  <c r="C171" i="1" s="1"/>
  <c r="P33" i="2"/>
  <c r="Q33" i="2" s="1"/>
  <c r="G39" i="4" s="1"/>
  <c r="P29" i="2"/>
  <c r="Q29" i="2" s="1"/>
  <c r="G35" i="4" s="1"/>
  <c r="P31" i="2"/>
  <c r="Q31" i="2" s="1"/>
  <c r="G37" i="4" s="1"/>
  <c r="D88" i="1"/>
  <c r="E103" i="2"/>
  <c r="E31" i="2"/>
  <c r="K13" i="2" l="1"/>
  <c r="K11" i="2"/>
  <c r="K19" i="2"/>
  <c r="K15" i="2"/>
  <c r="K14" i="2"/>
  <c r="K16" i="2"/>
  <c r="K12" i="2"/>
  <c r="K17" i="2"/>
  <c r="K10" i="2"/>
  <c r="K18" i="2"/>
  <c r="E10" i="2"/>
  <c r="G32" i="4"/>
  <c r="G39" i="5"/>
  <c r="B39" i="5" s="1"/>
  <c r="C65" i="5" s="1"/>
  <c r="C70" i="5"/>
  <c r="E12" i="2"/>
  <c r="O11" i="2"/>
  <c r="B33" i="4" s="1"/>
  <c r="E14" i="2"/>
  <c r="E16" i="2"/>
  <c r="E172" i="1"/>
  <c r="C172" i="1"/>
  <c r="D89" i="1"/>
  <c r="E18" i="2"/>
  <c r="E19" i="2"/>
  <c r="B29" i="2"/>
  <c r="E15" i="2"/>
  <c r="B101" i="2"/>
  <c r="F111" i="2" s="1"/>
  <c r="E171" i="1"/>
  <c r="D171" i="1" s="1"/>
  <c r="E170" i="1"/>
  <c r="D170" i="1" s="1"/>
  <c r="C33" i="2" l="1"/>
  <c r="B33" i="2"/>
  <c r="B105" i="2" s="1"/>
  <c r="F40" i="2"/>
  <c r="H121" i="2"/>
  <c r="H123" i="2"/>
  <c r="C94" i="2"/>
  <c r="C95" i="2" s="1"/>
  <c r="J52" i="2"/>
  <c r="J50" i="2"/>
  <c r="F94" i="2"/>
  <c r="F95" i="2" s="1"/>
  <c r="C71" i="5"/>
  <c r="E13" i="2"/>
  <c r="P13" i="2" s="1"/>
  <c r="C35" i="4" s="1"/>
  <c r="S16" i="2"/>
  <c r="F38" i="4" s="1"/>
  <c r="F114" i="2"/>
  <c r="F116" i="2"/>
  <c r="F115" i="2"/>
  <c r="H122" i="2"/>
  <c r="F118" i="2"/>
  <c r="F112" i="2"/>
  <c r="F117" i="2"/>
  <c r="H120" i="2"/>
  <c r="F113" i="2"/>
  <c r="J49" i="2"/>
  <c r="F42" i="2"/>
  <c r="F44" i="2"/>
  <c r="F41" i="2"/>
  <c r="F45" i="2"/>
  <c r="F43" i="2"/>
  <c r="F46" i="2"/>
  <c r="J51" i="2"/>
  <c r="F47" i="2"/>
  <c r="R16" i="2"/>
  <c r="E38" i="4" s="1"/>
  <c r="Q16" i="2"/>
  <c r="D38" i="4" s="1"/>
  <c r="P16" i="2"/>
  <c r="C38" i="4" s="1"/>
  <c r="O16" i="2"/>
  <c r="B38" i="4" s="1"/>
  <c r="M16" i="2"/>
  <c r="P10" i="2"/>
  <c r="C32" i="4" s="1"/>
  <c r="R10" i="2"/>
  <c r="E32" i="4" s="1"/>
  <c r="M10" i="2"/>
  <c r="S10" i="2"/>
  <c r="F32" i="4" s="1"/>
  <c r="O10" i="2"/>
  <c r="B32" i="4" s="1"/>
  <c r="Q10" i="2"/>
  <c r="D32" i="4" s="1"/>
  <c r="Q14" i="2"/>
  <c r="D36" i="4" s="1"/>
  <c r="R14" i="2"/>
  <c r="E36" i="4" s="1"/>
  <c r="S14" i="2"/>
  <c r="F36" i="4" s="1"/>
  <c r="M14" i="2"/>
  <c r="P14" i="2"/>
  <c r="C36" i="4" s="1"/>
  <c r="O14" i="2"/>
  <c r="B36" i="4" s="1"/>
  <c r="O12" i="2"/>
  <c r="B34" i="4" s="1"/>
  <c r="M12" i="2"/>
  <c r="R12" i="2"/>
  <c r="E34" i="4" s="1"/>
  <c r="S12" i="2"/>
  <c r="F34" i="4" s="1"/>
  <c r="Q12" i="2"/>
  <c r="D34" i="4" s="1"/>
  <c r="P12" i="2"/>
  <c r="C34" i="4" s="1"/>
  <c r="S11" i="2"/>
  <c r="F33" i="4" s="1"/>
  <c r="R11" i="2"/>
  <c r="E33" i="4" s="1"/>
  <c r="Q11" i="2"/>
  <c r="D33" i="4" s="1"/>
  <c r="P11" i="2"/>
  <c r="C33" i="4" s="1"/>
  <c r="R19" i="2"/>
  <c r="E41" i="4" s="1"/>
  <c r="S19" i="2"/>
  <c r="F41" i="4" s="1"/>
  <c r="O19" i="2"/>
  <c r="B41" i="4" s="1"/>
  <c r="Q19" i="2"/>
  <c r="D41" i="4" s="1"/>
  <c r="P19" i="2"/>
  <c r="C41" i="4" s="1"/>
  <c r="O15" i="2"/>
  <c r="B37" i="4" s="1"/>
  <c r="P15" i="2"/>
  <c r="C37" i="4" s="1"/>
  <c r="Q15" i="2"/>
  <c r="D37" i="4" s="1"/>
  <c r="R15" i="2"/>
  <c r="E37" i="4" s="1"/>
  <c r="S15" i="2"/>
  <c r="F37" i="4" s="1"/>
  <c r="Q18" i="2"/>
  <c r="D40" i="4" s="1"/>
  <c r="S18" i="2"/>
  <c r="F40" i="4" s="1"/>
  <c r="R18" i="2"/>
  <c r="E40" i="4" s="1"/>
  <c r="O18" i="2"/>
  <c r="B40" i="4" s="1"/>
  <c r="P18" i="2"/>
  <c r="C40" i="4" s="1"/>
  <c r="D172" i="1"/>
  <c r="E17" i="2"/>
  <c r="M19" i="2"/>
  <c r="M18" i="2"/>
  <c r="B106" i="2"/>
  <c r="C106" i="2"/>
  <c r="C169" i="2"/>
  <c r="M15" i="2"/>
  <c r="C163" i="2"/>
  <c r="C167" i="2"/>
  <c r="M11" i="2"/>
  <c r="C165" i="2"/>
  <c r="E173" i="1"/>
  <c r="I156" i="2" l="1"/>
  <c r="I154" i="2"/>
  <c r="K52" i="2"/>
  <c r="K50" i="2"/>
  <c r="O13" i="2"/>
  <c r="B35" i="4" s="1"/>
  <c r="M13" i="2"/>
  <c r="C88" i="2"/>
  <c r="F88" i="2" s="1"/>
  <c r="S13" i="2"/>
  <c r="F35" i="4" s="1"/>
  <c r="Q13" i="2"/>
  <c r="D35" i="4" s="1"/>
  <c r="R13" i="2"/>
  <c r="E35" i="4" s="1"/>
  <c r="G144" i="2"/>
  <c r="H144" i="2" s="1"/>
  <c r="B162" i="2" s="1"/>
  <c r="I162" i="2" s="1"/>
  <c r="D177" i="2" s="1"/>
  <c r="G145" i="2"/>
  <c r="H145" i="2" s="1"/>
  <c r="B163" i="2" s="1"/>
  <c r="G146" i="2"/>
  <c r="H146" i="2" s="1"/>
  <c r="B164" i="2" s="1"/>
  <c r="I164" i="2" s="1"/>
  <c r="D179" i="2" s="1"/>
  <c r="G148" i="2"/>
  <c r="H148" i="2" s="1"/>
  <c r="B166" i="2" s="1"/>
  <c r="I166" i="2" s="1"/>
  <c r="D181" i="2" s="1"/>
  <c r="G150" i="2"/>
  <c r="H150" i="2" s="1"/>
  <c r="B168" i="2" s="1"/>
  <c r="I168" i="2" s="1"/>
  <c r="D183" i="2" s="1"/>
  <c r="G46" i="2"/>
  <c r="H46" i="2" s="1"/>
  <c r="B80" i="2" s="1"/>
  <c r="G44" i="2"/>
  <c r="H44" i="2" s="1"/>
  <c r="B78" i="2" s="1"/>
  <c r="G42" i="2"/>
  <c r="H42" i="2" s="1"/>
  <c r="B76" i="2" s="1"/>
  <c r="G40" i="2"/>
  <c r="H40" i="2" s="1"/>
  <c r="B74" i="2" s="1"/>
  <c r="C105" i="2"/>
  <c r="G111" i="2" s="1"/>
  <c r="H111" i="2" s="1"/>
  <c r="B129" i="2" s="1"/>
  <c r="G129" i="2" s="1"/>
  <c r="B177" i="2" s="1"/>
  <c r="G41" i="2"/>
  <c r="H41" i="2" s="1"/>
  <c r="B75" i="2" s="1"/>
  <c r="P17" i="2"/>
  <c r="C39" i="4" s="1"/>
  <c r="B103" i="4" s="1"/>
  <c r="Q17" i="2"/>
  <c r="D39" i="4" s="1"/>
  <c r="R17" i="2"/>
  <c r="S17" i="2"/>
  <c r="F39" i="4" s="1"/>
  <c r="O17" i="2"/>
  <c r="B39" i="4" s="1"/>
  <c r="B102" i="4" s="1"/>
  <c r="M17" i="2"/>
  <c r="I155" i="2"/>
  <c r="C171" i="2"/>
  <c r="I153" i="2"/>
  <c r="C170" i="2"/>
  <c r="K51" i="2"/>
  <c r="K68" i="2"/>
  <c r="L68" i="2" s="1"/>
  <c r="M68" i="2" s="1"/>
  <c r="E83" i="2" s="1"/>
  <c r="G47" i="2"/>
  <c r="G64" i="2"/>
  <c r="H64" i="2" s="1"/>
  <c r="K66" i="2"/>
  <c r="L66" i="2" s="1"/>
  <c r="M66" i="2" s="1"/>
  <c r="E82" i="2" s="1"/>
  <c r="G45" i="2"/>
  <c r="H45" i="2" s="1"/>
  <c r="B79" i="2" s="1"/>
  <c r="K49" i="2"/>
  <c r="G62" i="2"/>
  <c r="G43" i="2"/>
  <c r="H43" i="2" s="1"/>
  <c r="B77" i="2" s="1"/>
  <c r="G58" i="2"/>
  <c r="H58" i="2" s="1"/>
  <c r="E75" i="2" s="1"/>
  <c r="G60" i="2"/>
  <c r="H60" i="2" s="1"/>
  <c r="E77" i="2" s="1"/>
  <c r="G151" i="2"/>
  <c r="H151" i="2" s="1"/>
  <c r="B169" i="2" s="1"/>
  <c r="I169" i="2" s="1"/>
  <c r="D184" i="2" s="1"/>
  <c r="G149" i="2"/>
  <c r="H149" i="2" s="1"/>
  <c r="G147" i="2"/>
  <c r="H147" i="2" s="1"/>
  <c r="J155" i="2" l="1"/>
  <c r="B171" i="2" s="1"/>
  <c r="I171" i="2" s="1"/>
  <c r="D186" i="2" s="1"/>
  <c r="J153" i="2"/>
  <c r="B170" i="2" s="1"/>
  <c r="I170" i="2" s="1"/>
  <c r="D185" i="2" s="1"/>
  <c r="I121" i="2"/>
  <c r="I123" i="2"/>
  <c r="L49" i="2"/>
  <c r="L51" i="2"/>
  <c r="L52" i="2"/>
  <c r="L50" i="2"/>
  <c r="B104" i="4"/>
  <c r="B122" i="4" s="1"/>
  <c r="B130" i="4" s="1"/>
  <c r="B106" i="4"/>
  <c r="B49" i="1" s="1"/>
  <c r="C96" i="2"/>
  <c r="E39" i="4"/>
  <c r="B105" i="4" s="1"/>
  <c r="B121" i="4" s="1"/>
  <c r="B129" i="4" s="1"/>
  <c r="B46" i="1"/>
  <c r="B120" i="4"/>
  <c r="B128" i="4" s="1"/>
  <c r="G114" i="2"/>
  <c r="H114" i="2" s="1"/>
  <c r="B132" i="2" s="1"/>
  <c r="G132" i="2" s="1"/>
  <c r="B180" i="2" s="1"/>
  <c r="S177" i="2"/>
  <c r="F59" i="4" s="1"/>
  <c r="R177" i="2"/>
  <c r="E59" i="4" s="1"/>
  <c r="O177" i="2"/>
  <c r="B59" i="4" s="1"/>
  <c r="P177" i="2"/>
  <c r="C59" i="4" s="1"/>
  <c r="Q177" i="2"/>
  <c r="D59" i="4" s="1"/>
  <c r="E177" i="2"/>
  <c r="I120" i="2"/>
  <c r="G116" i="2"/>
  <c r="H116" i="2" s="1"/>
  <c r="B134" i="2" s="1"/>
  <c r="G134" i="2" s="1"/>
  <c r="B182" i="2" s="1"/>
  <c r="G112" i="2"/>
  <c r="H112" i="2" s="1"/>
  <c r="B130" i="2" s="1"/>
  <c r="G130" i="2" s="1"/>
  <c r="B178" i="2" s="1"/>
  <c r="G113" i="2"/>
  <c r="H113" i="2" s="1"/>
  <c r="B131" i="2" s="1"/>
  <c r="G131" i="2" s="1"/>
  <c r="B179" i="2" s="1"/>
  <c r="G115" i="2"/>
  <c r="H115" i="2" s="1"/>
  <c r="B133" i="2" s="1"/>
  <c r="G133" i="2" s="1"/>
  <c r="B181" i="2" s="1"/>
  <c r="I122" i="2"/>
  <c r="G117" i="2"/>
  <c r="H117" i="2" s="1"/>
  <c r="B135" i="2" s="1"/>
  <c r="G135" i="2" s="1"/>
  <c r="B183" i="2" s="1"/>
  <c r="G118" i="2"/>
  <c r="H118" i="2" s="1"/>
  <c r="B136" i="2" s="1"/>
  <c r="G136" i="2" s="1"/>
  <c r="B184" i="2" s="1"/>
  <c r="O78" i="2"/>
  <c r="B50" i="4" s="1"/>
  <c r="P78" i="2"/>
  <c r="C50" i="4" s="1"/>
  <c r="R78" i="2"/>
  <c r="E50" i="4" s="1"/>
  <c r="S78" i="2"/>
  <c r="F50" i="4" s="1"/>
  <c r="Q78" i="2"/>
  <c r="D50" i="4" s="1"/>
  <c r="F78" i="2"/>
  <c r="F75" i="2"/>
  <c r="S80" i="2"/>
  <c r="F52" i="4" s="1"/>
  <c r="O80" i="2"/>
  <c r="B52" i="4" s="1"/>
  <c r="Q80" i="2"/>
  <c r="D52" i="4" s="1"/>
  <c r="P80" i="2"/>
  <c r="C52" i="4" s="1"/>
  <c r="R80" i="2"/>
  <c r="E52" i="4" s="1"/>
  <c r="F80" i="2"/>
  <c r="P76" i="2"/>
  <c r="C48" i="4" s="1"/>
  <c r="Q76" i="2"/>
  <c r="D48" i="4" s="1"/>
  <c r="R76" i="2"/>
  <c r="E48" i="4" s="1"/>
  <c r="S76" i="2"/>
  <c r="F48" i="4" s="1"/>
  <c r="O76" i="2"/>
  <c r="B48" i="4" s="1"/>
  <c r="F76" i="2"/>
  <c r="F74" i="2"/>
  <c r="R74" i="2"/>
  <c r="E46" i="4" s="1"/>
  <c r="P74" i="2"/>
  <c r="C46" i="4" s="1"/>
  <c r="Q74" i="2"/>
  <c r="D46" i="4" s="1"/>
  <c r="S74" i="2"/>
  <c r="F46" i="4" s="1"/>
  <c r="O74" i="2"/>
  <c r="B46" i="4" s="1"/>
  <c r="R75" i="2"/>
  <c r="E47" i="4" s="1"/>
  <c r="Q75" i="2"/>
  <c r="D47" i="4" s="1"/>
  <c r="S75" i="2"/>
  <c r="F47" i="4" s="1"/>
  <c r="O75" i="2"/>
  <c r="B47" i="4" s="1"/>
  <c r="P75" i="2"/>
  <c r="C47" i="4" s="1"/>
  <c r="O77" i="2"/>
  <c r="B49" i="4" s="1"/>
  <c r="Q77" i="2"/>
  <c r="D49" i="4" s="1"/>
  <c r="S77" i="2"/>
  <c r="F49" i="4" s="1"/>
  <c r="R77" i="2"/>
  <c r="E49" i="4" s="1"/>
  <c r="P77" i="2"/>
  <c r="C49" i="4" s="1"/>
  <c r="B45" i="1"/>
  <c r="H47" i="2"/>
  <c r="B81" i="2" s="1"/>
  <c r="H62" i="2"/>
  <c r="E79" i="2" s="1"/>
  <c r="R79" i="2" s="1"/>
  <c r="I163" i="2"/>
  <c r="D178" i="2" s="1"/>
  <c r="B167" i="2"/>
  <c r="I167" i="2" s="1"/>
  <c r="D182" i="2" s="1"/>
  <c r="B165" i="2"/>
  <c r="I165" i="2" s="1"/>
  <c r="D180" i="2" s="1"/>
  <c r="E81" i="2"/>
  <c r="F77" i="2"/>
  <c r="F96" i="2" l="1"/>
  <c r="B84" i="2" s="1"/>
  <c r="J120" i="2"/>
  <c r="B137" i="2" s="1"/>
  <c r="G137" i="2" s="1"/>
  <c r="B185" i="2" s="1"/>
  <c r="J122" i="2"/>
  <c r="B138" i="2" s="1"/>
  <c r="G138" i="2" s="1"/>
  <c r="B186" i="2" s="1"/>
  <c r="M51" i="2"/>
  <c r="M49" i="2"/>
  <c r="B82" i="2" s="1"/>
  <c r="B47" i="1"/>
  <c r="B123" i="4"/>
  <c r="B131" i="4" s="1"/>
  <c r="B56" i="1" s="1"/>
  <c r="B48" i="1"/>
  <c r="B124" i="4"/>
  <c r="B132" i="4" s="1"/>
  <c r="B57" i="1" s="1"/>
  <c r="R180" i="2"/>
  <c r="E62" i="4" s="1"/>
  <c r="S180" i="2"/>
  <c r="F62" i="4" s="1"/>
  <c r="Q180" i="2"/>
  <c r="D62" i="4" s="1"/>
  <c r="O180" i="2"/>
  <c r="B62" i="4" s="1"/>
  <c r="P180" i="2"/>
  <c r="C62" i="4" s="1"/>
  <c r="P181" i="2"/>
  <c r="C63" i="4" s="1"/>
  <c r="Q181" i="2"/>
  <c r="D63" i="4" s="1"/>
  <c r="R181" i="2"/>
  <c r="E63" i="4" s="1"/>
  <c r="E181" i="2"/>
  <c r="O181" i="2"/>
  <c r="B63" i="4" s="1"/>
  <c r="S181" i="2"/>
  <c r="F63" i="4" s="1"/>
  <c r="Q179" i="2"/>
  <c r="D61" i="4" s="1"/>
  <c r="R179" i="2"/>
  <c r="E61" i="4" s="1"/>
  <c r="S179" i="2"/>
  <c r="F61" i="4" s="1"/>
  <c r="E179" i="2"/>
  <c r="P179" i="2"/>
  <c r="C61" i="4" s="1"/>
  <c r="O179" i="2"/>
  <c r="B61" i="4" s="1"/>
  <c r="O183" i="2"/>
  <c r="B65" i="4" s="1"/>
  <c r="P183" i="2"/>
  <c r="C65" i="4" s="1"/>
  <c r="E183" i="2"/>
  <c r="Q183" i="2"/>
  <c r="D65" i="4" s="1"/>
  <c r="R183" i="2"/>
  <c r="E65" i="4" s="1"/>
  <c r="S183" i="2"/>
  <c r="F65" i="4" s="1"/>
  <c r="S178" i="2"/>
  <c r="F60" i="4" s="1"/>
  <c r="S79" i="2"/>
  <c r="F51" i="4" s="1"/>
  <c r="P79" i="2"/>
  <c r="C51" i="4" s="1"/>
  <c r="Q79" i="2"/>
  <c r="D51" i="4" s="1"/>
  <c r="O79" i="2"/>
  <c r="B51" i="4" s="1"/>
  <c r="Q81" i="2"/>
  <c r="D53" i="4" s="1"/>
  <c r="S81" i="2"/>
  <c r="F53" i="4" s="1"/>
  <c r="O81" i="2"/>
  <c r="B53" i="4" s="1"/>
  <c r="P81" i="2"/>
  <c r="C53" i="4" s="1"/>
  <c r="R81" i="2"/>
  <c r="E53" i="4" s="1"/>
  <c r="O184" i="2"/>
  <c r="B66" i="4" s="1"/>
  <c r="Q184" i="2"/>
  <c r="D66" i="4" s="1"/>
  <c r="P184" i="2"/>
  <c r="C66" i="4" s="1"/>
  <c r="R184" i="2"/>
  <c r="E66" i="4" s="1"/>
  <c r="S184" i="2"/>
  <c r="F66" i="4" s="1"/>
  <c r="R178" i="2"/>
  <c r="E60" i="4" s="1"/>
  <c r="Q178" i="2"/>
  <c r="D60" i="4" s="1"/>
  <c r="P178" i="2"/>
  <c r="C60" i="4" s="1"/>
  <c r="O178" i="2"/>
  <c r="B60" i="4" s="1"/>
  <c r="P182" i="2"/>
  <c r="C64" i="4" s="1"/>
  <c r="O182" i="2"/>
  <c r="B64" i="4" s="1"/>
  <c r="Q182" i="2"/>
  <c r="D64" i="4" s="1"/>
  <c r="S182" i="2"/>
  <c r="F64" i="4" s="1"/>
  <c r="R182" i="2"/>
  <c r="E64" i="4" s="1"/>
  <c r="B53" i="1"/>
  <c r="B136" i="4"/>
  <c r="B138" i="4"/>
  <c r="B55" i="1"/>
  <c r="B137" i="4"/>
  <c r="B54" i="1"/>
  <c r="E51" i="4"/>
  <c r="F79" i="2"/>
  <c r="E178" i="2"/>
  <c r="E184" i="2"/>
  <c r="E182" i="2"/>
  <c r="E180" i="2"/>
  <c r="F81" i="2"/>
  <c r="B83" i="2" l="1"/>
  <c r="P83" i="2" s="1"/>
  <c r="C55" i="4" s="1"/>
  <c r="P186" i="2"/>
  <c r="C68" i="4" s="1"/>
  <c r="E103" i="4" s="1"/>
  <c r="E46" i="1" s="1"/>
  <c r="R186" i="2"/>
  <c r="E68" i="4" s="1"/>
  <c r="O186" i="2"/>
  <c r="B68" i="4" s="1"/>
  <c r="E102" i="4" s="1"/>
  <c r="E186" i="2"/>
  <c r="S186" i="2"/>
  <c r="F68" i="4" s="1"/>
  <c r="E106" i="4" s="1"/>
  <c r="Q186" i="2"/>
  <c r="D68" i="4" s="1"/>
  <c r="E185" i="2"/>
  <c r="S185" i="2"/>
  <c r="F67" i="4" s="1"/>
  <c r="O185" i="2"/>
  <c r="B67" i="4" s="1"/>
  <c r="Q185" i="2"/>
  <c r="D67" i="4" s="1"/>
  <c r="P185" i="2"/>
  <c r="C67" i="4" s="1"/>
  <c r="R185" i="2"/>
  <c r="E67" i="4" s="1"/>
  <c r="C103" i="4"/>
  <c r="R82" i="2"/>
  <c r="E54" i="4" s="1"/>
  <c r="O82" i="2"/>
  <c r="B54" i="4" s="1"/>
  <c r="P82" i="2"/>
  <c r="C54" i="4" s="1"/>
  <c r="Q82" i="2"/>
  <c r="D54" i="4" s="1"/>
  <c r="S82" i="2"/>
  <c r="F54" i="4" s="1"/>
  <c r="F82" i="2"/>
  <c r="B139" i="4"/>
  <c r="B142" i="4"/>
  <c r="E104" i="4"/>
  <c r="E122" i="4" s="1"/>
  <c r="E130" i="4" s="1"/>
  <c r="E55" i="1" s="1"/>
  <c r="E105" i="4"/>
  <c r="O83" i="2" l="1"/>
  <c r="B55" i="4" s="1"/>
  <c r="R83" i="2"/>
  <c r="E55" i="4" s="1"/>
  <c r="Q83" i="2"/>
  <c r="D55" i="4" s="1"/>
  <c r="F83" i="2"/>
  <c r="S83" i="2"/>
  <c r="F55" i="4" s="1"/>
  <c r="C102" i="4"/>
  <c r="C120" i="4" s="1"/>
  <c r="C128" i="4" s="1"/>
  <c r="C104" i="4"/>
  <c r="C47" i="1" s="1"/>
  <c r="C106" i="4"/>
  <c r="C49" i="1" s="1"/>
  <c r="C105" i="4"/>
  <c r="C121" i="4" s="1"/>
  <c r="C129" i="4" s="1"/>
  <c r="E120" i="4"/>
  <c r="E128" i="4" s="1"/>
  <c r="E53" i="1" s="1"/>
  <c r="E49" i="1"/>
  <c r="E123" i="4"/>
  <c r="E131" i="4" s="1"/>
  <c r="E56" i="1" s="1"/>
  <c r="E138" i="4"/>
  <c r="C46" i="1"/>
  <c r="E124" i="4"/>
  <c r="E132" i="4" s="1"/>
  <c r="E57" i="1" s="1"/>
  <c r="E121" i="4"/>
  <c r="E129" i="4" s="1"/>
  <c r="E54" i="1" s="1"/>
  <c r="E47" i="1"/>
  <c r="E48" i="1"/>
  <c r="E45" i="1"/>
  <c r="C45" i="1" l="1"/>
  <c r="C122" i="4"/>
  <c r="C130" i="4" s="1"/>
  <c r="C138" i="4" s="1"/>
  <c r="L138" i="4" s="1"/>
  <c r="C48" i="1"/>
  <c r="C123" i="4"/>
  <c r="C131" i="4" s="1"/>
  <c r="C139" i="4" s="1"/>
  <c r="D152" i="1"/>
  <c r="D151" i="1"/>
  <c r="E136" i="4"/>
  <c r="E142" i="4"/>
  <c r="L142" i="4" s="1"/>
  <c r="G67" i="1" s="1"/>
  <c r="C137" i="4"/>
  <c r="C54" i="1"/>
  <c r="E139" i="4"/>
  <c r="E137" i="4"/>
  <c r="C136" i="4"/>
  <c r="C53" i="1"/>
  <c r="G63" i="1" l="1"/>
  <c r="J138" i="4"/>
  <c r="E63" i="1" s="1"/>
  <c r="C55" i="1"/>
  <c r="C56" i="1"/>
  <c r="C64" i="5"/>
  <c r="C66" i="5" s="1"/>
  <c r="C57" i="5"/>
  <c r="L136" i="4"/>
  <c r="L137" i="4"/>
  <c r="L139" i="4"/>
  <c r="F138" i="4"/>
  <c r="B63" i="1" s="1"/>
  <c r="H138" i="4"/>
  <c r="C63" i="1" s="1"/>
  <c r="H142" i="4"/>
  <c r="C67" i="1" s="1"/>
  <c r="J142" i="4"/>
  <c r="E67" i="1" s="1"/>
  <c r="F142" i="4"/>
  <c r="B67" i="1" s="1"/>
  <c r="D31" i="5"/>
  <c r="C31" i="5"/>
  <c r="B40" i="5"/>
  <c r="E113" i="1" s="1"/>
  <c r="G61" i="1" l="1"/>
  <c r="J136" i="4"/>
  <c r="E61" i="1" s="1"/>
  <c r="F137" i="4"/>
  <c r="B62" i="1" s="1"/>
  <c r="J137" i="4"/>
  <c r="E62" i="1" s="1"/>
  <c r="G64" i="1"/>
  <c r="J139" i="4"/>
  <c r="E64" i="1" s="1"/>
  <c r="F57" i="1"/>
  <c r="F136" i="4"/>
  <c r="B61" i="1" s="1"/>
  <c r="H136" i="4"/>
  <c r="C61" i="1" s="1"/>
  <c r="H137" i="4"/>
  <c r="C62" i="1" s="1"/>
  <c r="G62" i="1"/>
  <c r="F139" i="4"/>
  <c r="B64" i="1" s="1"/>
  <c r="H139" i="4"/>
  <c r="C64" i="1" s="1"/>
  <c r="B44" i="5"/>
  <c r="B68" i="1" l="1" a="1"/>
  <c r="B68" i="1" s="1"/>
  <c r="D49" i="5"/>
  <c r="D119" i="1" s="1"/>
  <c r="D51" i="5"/>
  <c r="D48" i="5"/>
  <c r="D118" i="1" s="1"/>
  <c r="D47" i="5"/>
  <c r="D117" i="1" s="1"/>
  <c r="D50" i="5"/>
  <c r="D120" i="1" s="1"/>
  <c r="E50" i="5" l="1"/>
  <c r="E120" i="1" s="1"/>
  <c r="E47" i="5"/>
  <c r="E117" i="1" s="1"/>
  <c r="E48" i="5"/>
  <c r="E51" i="5"/>
  <c r="E49" i="5"/>
  <c r="E119" i="1" l="1"/>
  <c r="F119" i="1" s="1"/>
  <c r="E118" i="1"/>
  <c r="F118" i="1" s="1"/>
  <c r="F120" i="1"/>
  <c r="F117" i="1"/>
  <c r="E121" i="1"/>
  <c r="E122" i="1" l="1"/>
  <c r="C67" i="5"/>
  <c r="C68" i="5" s="1"/>
  <c r="C69" i="5" s="1"/>
  <c r="C73" i="5" s="1"/>
  <c r="E73" i="5" s="1"/>
  <c r="D73" i="5" l="1"/>
  <c r="F7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Torsten Langejürgen</author>
  </authors>
  <commentList>
    <comment ref="B19" authorId="0" shapeId="0" xr:uid="{00000000-0006-0000-0000-000001000000}">
      <text>
        <r>
          <rPr>
            <b/>
            <sz val="9"/>
            <color indexed="81"/>
            <rFont val="Tahoma"/>
            <family val="2"/>
          </rPr>
          <t>Zugkraft immer positiv eingeben !
z.B. F1,d = 5 kN</t>
        </r>
        <r>
          <rPr>
            <sz val="9"/>
            <color indexed="81"/>
            <rFont val="Tahoma"/>
            <family val="2"/>
          </rPr>
          <t xml:space="preserve">
</t>
        </r>
      </text>
    </comment>
    <comment ref="C19" authorId="0" shapeId="0" xr:uid="{00000000-0006-0000-0000-000002000000}">
      <text>
        <r>
          <rPr>
            <b/>
            <sz val="9"/>
            <color indexed="81"/>
            <rFont val="Tahoma"/>
            <family val="2"/>
          </rPr>
          <t>Bemessunglast aus ständiger Last (Eigengewicht):
F2,d = 1,35 x F2,g,k</t>
        </r>
        <r>
          <rPr>
            <sz val="9"/>
            <color indexed="81"/>
            <rFont val="Tahoma"/>
            <family val="2"/>
          </rPr>
          <t xml:space="preserve">
</t>
        </r>
      </text>
    </comment>
    <comment ref="E19" authorId="0" shapeId="0" xr:uid="{4407B656-12F4-4589-BED9-5ED0E13F8E48}">
      <text>
        <r>
          <rPr>
            <b/>
            <sz val="9"/>
            <color indexed="81"/>
            <rFont val="Segoe UI"/>
            <family val="2"/>
          </rPr>
          <t>Bei RICON S Stützenanschlüsse können keine F45 Lasten gerechnet werden, weil diese nicht getestet wurden!</t>
        </r>
        <r>
          <rPr>
            <sz val="9"/>
            <color indexed="81"/>
            <rFont val="Segoe UI"/>
            <family val="2"/>
          </rPr>
          <t xml:space="preserve">
</t>
        </r>
      </text>
    </comment>
    <comment ref="C20" authorId="0" shapeId="0" xr:uid="{00000000-0006-0000-0000-000003000000}">
      <text>
        <r>
          <rPr>
            <b/>
            <sz val="9"/>
            <color indexed="81"/>
            <rFont val="Tahoma"/>
            <family val="2"/>
          </rPr>
          <t xml:space="preserve">Berechnung der Bessungswerte der Eigen- und Schneelasten:
F2,d = 1,35 x F2,g,k + 1,5 x F2,s,k </t>
        </r>
        <r>
          <rPr>
            <sz val="9"/>
            <color indexed="81"/>
            <rFont val="Tahoma"/>
            <family val="2"/>
          </rPr>
          <t xml:space="preserve">
</t>
        </r>
      </text>
    </comment>
    <comment ref="G20" authorId="0" shapeId="0" xr:uid="{00000000-0006-0000-0000-000004000000}">
      <text>
        <r>
          <rPr>
            <b/>
            <sz val="9"/>
            <color indexed="81"/>
            <rFont val="Tahoma"/>
            <family val="2"/>
          </rPr>
          <t>kmod = 0,8 (mittel)
kmod = 0,9 (kurz)
auswählen !</t>
        </r>
        <r>
          <rPr>
            <sz val="9"/>
            <color indexed="81"/>
            <rFont val="Tahoma"/>
            <family val="2"/>
          </rPr>
          <t xml:space="preserve">
</t>
        </r>
      </text>
    </comment>
    <comment ref="C21" authorId="0" shapeId="0" xr:uid="{00000000-0006-0000-0000-000005000000}">
      <text>
        <r>
          <rPr>
            <b/>
            <sz val="9"/>
            <color indexed="81"/>
            <rFont val="Tahoma"/>
            <family val="2"/>
          </rPr>
          <t xml:space="preserve">Berechnung der Bessungswerte der Eigen- und Verkehrslasten:
F2,d = 1,35 x F2,g,k + 1,5 x F2,n,k </t>
        </r>
        <r>
          <rPr>
            <sz val="9"/>
            <color indexed="81"/>
            <rFont val="Tahoma"/>
            <family val="2"/>
          </rPr>
          <t xml:space="preserve">
</t>
        </r>
      </text>
    </comment>
    <comment ref="G21" authorId="0" shapeId="0" xr:uid="{00000000-0006-0000-0000-000006000000}">
      <text>
        <r>
          <rPr>
            <b/>
            <sz val="9"/>
            <color indexed="81"/>
            <rFont val="Tahoma"/>
            <family val="2"/>
          </rPr>
          <t>kmod=0,7 (lang)
kmod=0,8 (mittel)
kmod=0,9 (kurz) auswählen !</t>
        </r>
      </text>
    </comment>
    <comment ref="C22" authorId="0" shapeId="0" xr:uid="{00000000-0006-0000-0000-000007000000}">
      <text>
        <r>
          <rPr>
            <b/>
            <sz val="9"/>
            <color indexed="81"/>
            <rFont val="Tahoma"/>
            <family val="2"/>
          </rPr>
          <t>Berechnung der Bessungswerte der Eigen-, Schnee und Winddrucklasten:
F2,d = 1,35 x F2,g,k + 1,5 x F2,s,k + 1,5 x 0,6 x F2,w,k
or
F2,d = 1,35 x F2,g,k + 1,5 x 0,5 x F2,s,k + 1,5 x F2,w,k</t>
        </r>
        <r>
          <rPr>
            <sz val="9"/>
            <color indexed="81"/>
            <rFont val="Tahoma"/>
            <family val="2"/>
          </rPr>
          <t xml:space="preserve">
</t>
        </r>
      </text>
    </comment>
    <comment ref="G22" authorId="0" shapeId="0" xr:uid="{00000000-0006-0000-0000-000008000000}">
      <text>
        <r>
          <rPr>
            <b/>
            <sz val="9"/>
            <color indexed="81"/>
            <rFont val="Tahoma"/>
            <family val="2"/>
          </rPr>
          <t>kmod = 0,8 (mittel)
kmod = 0,9 (kurz)
kmod = 1,0 (kurz/sehr kurz)
auswählen !</t>
        </r>
        <r>
          <rPr>
            <sz val="9"/>
            <color indexed="81"/>
            <rFont val="Tahoma"/>
            <family val="2"/>
          </rPr>
          <t xml:space="preserve">
</t>
        </r>
      </text>
    </comment>
    <comment ref="D23" authorId="0" shapeId="0" xr:uid="{00000000-0006-0000-0000-000009000000}">
      <text>
        <r>
          <rPr>
            <sz val="9"/>
            <color indexed="81"/>
            <rFont val="Tahoma"/>
            <family val="2"/>
          </rPr>
          <t xml:space="preserve">Abhebende F3,d-Last immer negativ eingeben !
z.B. F3,d = -3,5 kN
</t>
        </r>
      </text>
    </comment>
    <comment ref="G23" authorId="0" shapeId="0" xr:uid="{00000000-0006-0000-0000-00000A000000}">
      <text>
        <r>
          <rPr>
            <b/>
            <sz val="9"/>
            <color indexed="81"/>
            <rFont val="Tahoma"/>
            <family val="2"/>
          </rPr>
          <t xml:space="preserve">kmod = 0,9 (kurz)
kmod = 1,0 (kurz/sehr kurz)
auswählen !
</t>
        </r>
      </text>
    </comment>
    <comment ref="G24" authorId="0" shapeId="0" xr:uid="{C9DE4D4A-ED64-4D98-8DD3-E4DF492874B9}">
      <text>
        <r>
          <rPr>
            <b/>
            <sz val="9"/>
            <color indexed="81"/>
            <rFont val="Segoe UI"/>
            <family val="2"/>
          </rPr>
          <t xml:space="preserve">Factor </t>
        </r>
        <r>
          <rPr>
            <b/>
            <sz val="9"/>
            <color indexed="81"/>
            <rFont val="Symbol"/>
            <family val="1"/>
            <charset val="2"/>
          </rPr>
          <t>g</t>
        </r>
        <r>
          <rPr>
            <b/>
            <vertAlign val="subscript"/>
            <sz val="9"/>
            <color indexed="81"/>
            <rFont val="Segoe UI"/>
            <family val="2"/>
          </rPr>
          <t xml:space="preserve">M 
</t>
        </r>
        <r>
          <rPr>
            <b/>
            <sz val="9"/>
            <color indexed="81"/>
            <rFont val="Segoe UI"/>
            <family val="2"/>
          </rPr>
          <t>for connection according to EN 1995-1-1 Table 2.3</t>
        </r>
        <r>
          <rPr>
            <sz val="9"/>
            <color indexed="81"/>
            <rFont val="Segoe UI"/>
            <family val="2"/>
          </rPr>
          <t xml:space="preserve">
</t>
        </r>
      </text>
    </comment>
    <comment ref="B28" authorId="0" shapeId="0" xr:uid="{2C021BB6-A45F-40EA-9032-935CDCBFA197}">
      <text>
        <r>
          <rPr>
            <b/>
            <sz val="9"/>
            <color indexed="81"/>
            <rFont val="Segoe UI"/>
            <family val="2"/>
          </rPr>
          <t>Auswahl RICON S Größe:</t>
        </r>
        <r>
          <rPr>
            <sz val="9"/>
            <color indexed="81"/>
            <rFont val="Segoe UI"/>
            <family val="2"/>
          </rPr>
          <t xml:space="preserve">
RICON S … min (Min Verschraubung)
RICON S … st (Standard Verschraubung)
RICON S … max (Max Verschraubung)
Für die Max Verschraubung den RICON S … st auswählen und längere Schrauben aus der rechten Tabelle auswählen:
RICON S60 max NT Schraube 8x240
RICON S80 max NT Schraube 10x300</t>
        </r>
      </text>
    </comment>
    <comment ref="L28" authorId="0" shapeId="0" xr:uid="{43049D1E-82A4-4318-87F6-BC1590FC15D4}">
      <text>
        <r>
          <rPr>
            <b/>
            <sz val="9"/>
            <color indexed="81"/>
            <rFont val="Tahoma"/>
            <family val="2"/>
          </rPr>
          <t xml:space="preserve">Des vis plus longues peuvent être sélectionnées pour augmenter la capacité charge :
RICON S60 : 8x240
RICON S80 : 10x300
</t>
        </r>
      </text>
    </comment>
    <comment ref="N28" authorId="0" shapeId="0" xr:uid="{F6A1EF10-B113-4A4B-8082-27D5C96CD17E}">
      <text>
        <r>
          <rPr>
            <b/>
            <sz val="9"/>
            <color indexed="81"/>
            <rFont val="Segoe UI"/>
            <family val="2"/>
          </rPr>
          <t xml:space="preserve">Des vis plus courtes peuvent être sélectionnées pour les assemblages en angles :
RICON S60 : 8x80
RICON S80 : 10x80; 10x100; 10x120
</t>
        </r>
        <r>
          <rPr>
            <sz val="9"/>
            <color indexed="81"/>
            <rFont val="Segoe UI"/>
            <family val="2"/>
          </rPr>
          <t xml:space="preserve">
</t>
        </r>
      </text>
    </comment>
    <comment ref="P28" authorId="0" shapeId="0" xr:uid="{D7307FE5-074D-441B-9CE8-0226F98CDC32}">
      <text>
        <r>
          <rPr>
            <b/>
            <sz val="9"/>
            <color indexed="81"/>
            <rFont val="Segoe UI"/>
            <family val="2"/>
          </rPr>
          <t xml:space="preserve">Des vis plus courtes peuvent être sélectionnées pour les assemblages en angles :
RICON S60 : 8x80
RICON S80 : 10x80; 10x100; 10x120
</t>
        </r>
        <r>
          <rPr>
            <sz val="9"/>
            <color indexed="81"/>
            <rFont val="Segoe UI"/>
            <family val="2"/>
          </rPr>
          <t xml:space="preserve">
</t>
        </r>
      </text>
    </comment>
    <comment ref="B29" authorId="0" shapeId="0" xr:uid="{F7758ED7-E228-4E2F-9E94-1BC54B0788A2}">
      <text>
        <r>
          <rPr>
            <b/>
            <sz val="9"/>
            <color indexed="81"/>
            <rFont val="Segoe UI"/>
            <family val="2"/>
          </rPr>
          <t>Auswahl zwischen:
Haupt-Nebenträger-Anschluss</t>
        </r>
        <r>
          <rPr>
            <sz val="9"/>
            <color indexed="81"/>
            <rFont val="Segoe UI"/>
            <family val="2"/>
          </rPr>
          <t xml:space="preserve">
</t>
        </r>
        <r>
          <rPr>
            <b/>
            <sz val="9"/>
            <color indexed="81"/>
            <rFont val="Segoe UI"/>
            <family val="2"/>
          </rPr>
          <t>Nebenträger-Stützen-Anschluss</t>
        </r>
      </text>
    </comment>
    <comment ref="E30" authorId="0" shapeId="0" xr:uid="{BF5E6FAE-7E5C-42F7-B376-DB61DEF753BA}">
      <text>
        <r>
          <rPr>
            <b/>
            <sz val="9"/>
            <color indexed="81"/>
            <rFont val="Segoe UI"/>
            <family val="2"/>
          </rPr>
          <t>Andere Schraubenlänge rechts in Tabelle auswählen!</t>
        </r>
        <r>
          <rPr>
            <sz val="9"/>
            <color indexed="81"/>
            <rFont val="Segoe UI"/>
            <family val="2"/>
          </rPr>
          <t xml:space="preserve">
</t>
        </r>
      </text>
    </comment>
    <comment ref="E31" authorId="0" shapeId="0" xr:uid="{283972B2-666C-44BD-B53B-0C3B272E2ED1}">
      <text>
        <r>
          <rPr>
            <b/>
            <sz val="9"/>
            <color indexed="81"/>
            <rFont val="Segoe UI"/>
            <family val="2"/>
          </rPr>
          <t>Andere Schraubenlänge rechts in Tabelle auswählen!</t>
        </r>
        <r>
          <rPr>
            <sz val="9"/>
            <color indexed="81"/>
            <rFont val="Segoe UI"/>
            <family val="2"/>
          </rPr>
          <t xml:space="preserve">
</t>
        </r>
      </text>
    </comment>
    <comment ref="E32" authorId="0" shapeId="0" xr:uid="{428312BB-EF70-40C4-A40D-199CDF5D29FB}">
      <text>
        <r>
          <rPr>
            <b/>
            <sz val="9"/>
            <color indexed="81"/>
            <rFont val="Segoe UI"/>
            <family val="2"/>
          </rPr>
          <t>Andere Schraubenlänge rechts in Tabelle auswählen!</t>
        </r>
        <r>
          <rPr>
            <sz val="9"/>
            <color indexed="81"/>
            <rFont val="Segoe UI"/>
            <family val="2"/>
          </rPr>
          <t xml:space="preserve">
</t>
        </r>
      </text>
    </comment>
    <comment ref="E33" authorId="0" shapeId="0" xr:uid="{FE153006-E493-460B-BD70-48B370F6A7B0}">
      <text>
        <r>
          <rPr>
            <b/>
            <sz val="9"/>
            <color indexed="81"/>
            <rFont val="Segoe UI"/>
            <family val="2"/>
          </rPr>
          <t>Andere Schraubenlänge rechts in Tabelle auswählen!</t>
        </r>
      </text>
    </comment>
    <comment ref="B35" authorId="0" shapeId="0" xr:uid="{00000000-0006-0000-0000-00000F000000}">
      <text>
        <r>
          <rPr>
            <b/>
            <sz val="9"/>
            <color indexed="81"/>
            <rFont val="Segoe UI"/>
            <family val="2"/>
          </rPr>
          <t>Holzqualität von Nebenträger auswählen:</t>
        </r>
        <r>
          <rPr>
            <sz val="9"/>
            <color indexed="81"/>
            <rFont val="Segoe UI"/>
            <family val="2"/>
          </rPr>
          <t xml:space="preserve">
</t>
        </r>
      </text>
    </comment>
    <comment ref="B37" authorId="0" shapeId="0" xr:uid="{9A7FA661-8512-49E6-9144-B5831C9D6F6B}">
      <text>
        <r>
          <rPr>
            <b/>
            <sz val="9"/>
            <color indexed="81"/>
            <rFont val="Segoe UI"/>
            <family val="2"/>
          </rPr>
          <t>Holzqualität von Hauptträger / Stütze auswählen:</t>
        </r>
        <r>
          <rPr>
            <sz val="9"/>
            <color indexed="81"/>
            <rFont val="Segoe UI"/>
            <family val="2"/>
          </rPr>
          <t xml:space="preserve">
</t>
        </r>
      </text>
    </comment>
    <comment ref="C126" authorId="0" shapeId="0" xr:uid="{00000000-0006-0000-0000-000010000000}">
      <text>
        <r>
          <rPr>
            <b/>
            <sz val="9"/>
            <color indexed="81"/>
            <rFont val="Tahoma"/>
            <family val="2"/>
          </rPr>
          <t>Wenn Querzugverstärkung erforderlich, dann Schraubenstückzahl eintragen !
Ansonsten nichts eintragen !</t>
        </r>
      </text>
    </comment>
    <comment ref="F126" authorId="0" shapeId="0" xr:uid="{00000000-0006-0000-0000-000011000000}">
      <text>
        <r>
          <rPr>
            <b/>
            <sz val="9"/>
            <color indexed="81"/>
            <rFont val="Tahoma"/>
            <family val="2"/>
          </rPr>
          <t>Schraubendurchmesser 
d=8 mm oder
d=10 mm eintragen !</t>
        </r>
        <r>
          <rPr>
            <sz val="9"/>
            <color indexed="81"/>
            <rFont val="Tahoma"/>
            <family val="2"/>
          </rPr>
          <t xml:space="preserve">
</t>
        </r>
      </text>
    </comment>
    <comment ref="G126" authorId="0" shapeId="0" xr:uid="{00000000-0006-0000-0000-000012000000}">
      <text>
        <r>
          <rPr>
            <b/>
            <sz val="9"/>
            <color indexed="81"/>
            <rFont val="Tahoma"/>
            <family val="2"/>
          </rPr>
          <t>Schraubenlänge eingeben ! Die Länge muss größer als der a-Abstand sein !
LScr &gt; a</t>
        </r>
      </text>
    </comment>
    <comment ref="C127" authorId="0" shapeId="0" xr:uid="{00000000-0006-0000-0000-000013000000}">
      <text>
        <r>
          <rPr>
            <b/>
            <sz val="9"/>
            <color indexed="81"/>
            <rFont val="Tahoma"/>
            <family val="2"/>
          </rPr>
          <t>Bitte Schraubentyp 1-3 eingeben !
Bei Typ 3 sind eigene Schrauben zu definieren !</t>
        </r>
      </text>
    </comment>
    <comment ref="C162" authorId="0" shapeId="0" xr:uid="{00000000-0006-0000-0000-000014000000}">
      <text>
        <r>
          <rPr>
            <b/>
            <sz val="9"/>
            <color indexed="81"/>
            <rFont val="Tahoma"/>
            <family val="2"/>
          </rPr>
          <t>Brandschutzdauer auswählen:
t =30 Minuten
t = 60 Minuten
t = 90 Minuten</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Torsten Langejürgen</author>
  </authors>
  <commentList>
    <comment ref="B19" authorId="0" shapeId="0" xr:uid="{00000000-0006-0000-0100-000001000000}">
      <text>
        <r>
          <rPr>
            <b/>
            <sz val="9"/>
            <color indexed="81"/>
            <rFont val="Tahoma"/>
            <family val="2"/>
          </rPr>
          <t>Mindestschraubenanzahl n=7
Maximalschraubenanzahl n=10</t>
        </r>
      </text>
    </comment>
    <comment ref="H19" authorId="0" shapeId="0" xr:uid="{80A49B22-7851-4AC0-BE00-5C9718FC7950}">
      <text>
        <r>
          <rPr>
            <b/>
            <sz val="9"/>
            <color indexed="81"/>
            <rFont val="Tahoma"/>
            <family val="2"/>
          </rPr>
          <t>Mindestschraubenanzahl n=7
Maximalschraubenanzahl n=10</t>
        </r>
      </text>
    </comment>
    <comment ref="B21" authorId="0" shapeId="0" xr:uid="{00000000-0006-0000-0100-000002000000}">
      <text>
        <r>
          <rPr>
            <b/>
            <sz val="9"/>
            <color indexed="81"/>
            <rFont val="Tahoma"/>
            <family val="2"/>
          </rPr>
          <t>Mindestschraubenanzahl n=8
Maximalschraubenanzahl n=16</t>
        </r>
        <r>
          <rPr>
            <sz val="9"/>
            <color indexed="81"/>
            <rFont val="Tahoma"/>
            <family val="2"/>
          </rPr>
          <t xml:space="preserve">
</t>
        </r>
      </text>
    </comment>
    <comment ref="H21" authorId="0" shapeId="0" xr:uid="{DE5C76EC-68DE-443E-808A-F703C6DCAEBA}">
      <text>
        <r>
          <rPr>
            <b/>
            <sz val="9"/>
            <color indexed="81"/>
            <rFont val="Tahoma"/>
            <family val="2"/>
          </rPr>
          <t>Mindestschraubenanzahl n=8
Maximalschraubenanzahl n=16</t>
        </r>
        <r>
          <rPr>
            <sz val="9"/>
            <color indexed="81"/>
            <rFont val="Tahoma"/>
            <family val="2"/>
          </rPr>
          <t xml:space="preserve">
</t>
        </r>
      </text>
    </comment>
    <comment ref="B23" authorId="0" shapeId="0" xr:uid="{00000000-0006-0000-0100-000003000000}">
      <text>
        <r>
          <rPr>
            <b/>
            <sz val="9"/>
            <color indexed="81"/>
            <rFont val="Tahoma"/>
            <family val="2"/>
          </rPr>
          <t>Mindestschraubenanzahl n=8
Maximalschraubenanzahl n=16</t>
        </r>
        <r>
          <rPr>
            <sz val="9"/>
            <color indexed="81"/>
            <rFont val="Tahoma"/>
            <family val="2"/>
          </rPr>
          <t xml:space="preserve">
</t>
        </r>
      </text>
    </comment>
    <comment ref="H23" authorId="0" shapeId="0" xr:uid="{521F5FB3-A842-4580-8255-73AD810E0C5B}">
      <text>
        <r>
          <rPr>
            <b/>
            <sz val="9"/>
            <color indexed="81"/>
            <rFont val="Tahoma"/>
            <family val="2"/>
          </rPr>
          <t>Mindestschraubenanzahl n=8
Maximalschraubenanzahl n=16</t>
        </r>
        <r>
          <rPr>
            <sz val="9"/>
            <color indexed="81"/>
            <rFont val="Tahoma"/>
            <family val="2"/>
          </rPr>
          <t xml:space="preserve">
</t>
        </r>
      </text>
    </comment>
    <comment ref="B25" authorId="0" shapeId="0" xr:uid="{00000000-0006-0000-0100-000004000000}">
      <text>
        <r>
          <rPr>
            <b/>
            <sz val="9"/>
            <color indexed="81"/>
            <rFont val="Tahoma"/>
            <family val="2"/>
          </rPr>
          <t>Mindestschraubenanzahl n=8
Maximalschraubenanzah n=25</t>
        </r>
      </text>
    </comment>
    <comment ref="H25" authorId="0" shapeId="0" xr:uid="{0A37DDAE-1299-4DF8-8A30-8AEB958BA84E}">
      <text>
        <r>
          <rPr>
            <b/>
            <sz val="9"/>
            <color indexed="81"/>
            <rFont val="Tahoma"/>
            <family val="2"/>
          </rPr>
          <t>Mindestschraubenanzahl n=8
Maximalschraubenanzah n=25</t>
        </r>
      </text>
    </comment>
    <comment ref="B26" authorId="0" shapeId="0" xr:uid="{00000000-0006-0000-0100-000005000000}">
      <text>
        <r>
          <rPr>
            <b/>
            <sz val="9"/>
            <color indexed="81"/>
            <rFont val="Tahoma"/>
            <family val="2"/>
          </rPr>
          <t>Mindestschraubenanzahl n=8
Maximalschraubenanzahl n=16</t>
        </r>
        <r>
          <rPr>
            <sz val="9"/>
            <color indexed="81"/>
            <rFont val="Tahoma"/>
            <family val="2"/>
          </rPr>
          <t xml:space="preserve">
</t>
        </r>
      </text>
    </comment>
    <comment ref="H26" authorId="0" shapeId="0" xr:uid="{6C9E6CE4-A0F1-4336-9FC0-7397A41617EA}">
      <text>
        <r>
          <rPr>
            <b/>
            <sz val="9"/>
            <color indexed="81"/>
            <rFont val="Tahoma"/>
            <family val="2"/>
          </rPr>
          <t>Mindestschraubenanzahl n=8
Maximalschraubenanzahl n=16</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Blaß &amp; Eberhart</author>
  </authors>
  <commentList>
    <comment ref="D8" authorId="0" shapeId="0" xr:uid="{00000000-0006-0000-0200-000001000000}">
      <text>
        <r>
          <rPr>
            <b/>
            <sz val="9"/>
            <color indexed="81"/>
            <rFont val="Tahoma"/>
            <family val="2"/>
          </rPr>
          <t>Blaß &amp; Eberhart:</t>
        </r>
        <r>
          <rPr>
            <sz val="9"/>
            <color indexed="81"/>
            <rFont val="Tahoma"/>
            <family val="2"/>
          </rPr>
          <t xml:space="preserve">
Gilt nur, wenn die Zugkraft mittig zwischen den beiden äußeren Zugschrauben angeordnet ist. Damit müssten die Zeichnungen angepasst werden. Der Hinweis sollte in das Statik-Flyer aufgenommen werden.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Blaß &amp; Eberhart</author>
  </authors>
  <commentList>
    <comment ref="D8" authorId="0" shapeId="0" xr:uid="{759DD96E-EBCF-4B6D-B3C5-FB4BCA70F635}">
      <text>
        <r>
          <rPr>
            <b/>
            <sz val="9"/>
            <color indexed="81"/>
            <rFont val="Tahoma"/>
            <family val="2"/>
          </rPr>
          <t>Blaß &amp; Eberhart:</t>
        </r>
        <r>
          <rPr>
            <sz val="9"/>
            <color indexed="81"/>
            <rFont val="Tahoma"/>
            <family val="2"/>
          </rPr>
          <t xml:space="preserve">
Gilt nur, wenn die Zugkraft mittig zwischen den beiden äußeren Zugschrauben angeordnet ist. Damit müssten die Zeichnungen angepasst werden. Der Hinweis sollte in das Statik-Flyer aufgenommen werden.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<sst xmlns="http://schemas.openxmlformats.org/spreadsheetml/2006/main" count="1532" uniqueCount="479">
  <si>
    <t>KLED</t>
  </si>
  <si>
    <t>kmod</t>
  </si>
  <si>
    <t>ständig</t>
  </si>
  <si>
    <t>kurz</t>
  </si>
  <si>
    <t>Vollgewindeschrauben</t>
  </si>
  <si>
    <t>Bemessung:</t>
  </si>
  <si>
    <t>Nebenträgerabmessung:</t>
  </si>
  <si>
    <t>beanspruchter</t>
  </si>
  <si>
    <t>Rand</t>
  </si>
  <si>
    <t>spruchter Rand</t>
  </si>
  <si>
    <t>unbean-</t>
  </si>
  <si>
    <r>
      <t>Zugkraft F</t>
    </r>
    <r>
      <rPr>
        <vertAlign val="subscript"/>
        <sz val="12"/>
        <rFont val="Myriad Pro"/>
        <family val="2"/>
      </rPr>
      <t>t,90,d</t>
    </r>
    <r>
      <rPr>
        <sz val="12"/>
        <rFont val="Myriad Pro"/>
        <family val="2"/>
      </rPr>
      <t xml:space="preserve"> =</t>
    </r>
  </si>
  <si>
    <t>Die Berechnung hat im Einzelfall der Kunde auf eigene Verantwortung vorzunehmen. Die Vorgabe der KNAPP GmbH stellt lediglich eine Möglichkeit dar. Eine Haftung der KNAPP GmbH für die Berechnung und das Ergebnis ist ausgeschlossen.</t>
  </si>
  <si>
    <t>[mm]</t>
  </si>
  <si>
    <t>[-]</t>
  </si>
  <si>
    <t>N/mm²</t>
  </si>
  <si>
    <t>Firma:</t>
  </si>
  <si>
    <t>Bauvorhaben:</t>
  </si>
  <si>
    <t>Datum:</t>
  </si>
  <si>
    <t>Bearbeiter:</t>
  </si>
  <si>
    <t>Verkäufer:</t>
  </si>
  <si>
    <r>
      <t>F</t>
    </r>
    <r>
      <rPr>
        <vertAlign val="subscript"/>
        <sz val="12"/>
        <rFont val="Myriad Pro"/>
        <family val="2"/>
      </rPr>
      <t>2,Rd</t>
    </r>
  </si>
  <si>
    <r>
      <t>Load direction F</t>
    </r>
    <r>
      <rPr>
        <b/>
        <vertAlign val="subscript"/>
        <sz val="18"/>
        <color indexed="8"/>
        <rFont val="Calibri"/>
        <family val="2"/>
      </rPr>
      <t>1</t>
    </r>
    <r>
      <rPr>
        <b/>
        <sz val="18"/>
        <color indexed="8"/>
        <rFont val="Calibri"/>
        <family val="2"/>
      </rPr>
      <t xml:space="preserve"> perpendicular to the connector plate</t>
    </r>
  </si>
  <si>
    <t>RICON S VS Connector</t>
  </si>
  <si>
    <t>Knapp Connector</t>
  </si>
  <si>
    <r>
      <t>F</t>
    </r>
    <r>
      <rPr>
        <vertAlign val="subscript"/>
        <sz val="11"/>
        <color indexed="8"/>
        <rFont val="Calibri"/>
        <family val="2"/>
      </rPr>
      <t>1,KCC,RK</t>
    </r>
  </si>
  <si>
    <r>
      <t>a</t>
    </r>
    <r>
      <rPr>
        <vertAlign val="subscript"/>
        <sz val="11"/>
        <color indexed="8"/>
        <rFont val="Calibri"/>
        <family val="2"/>
      </rPr>
      <t>c</t>
    </r>
  </si>
  <si>
    <r>
      <t>e</t>
    </r>
    <r>
      <rPr>
        <vertAlign val="subscript"/>
        <sz val="11"/>
        <color indexed="8"/>
        <rFont val="Calibri"/>
        <family val="2"/>
      </rPr>
      <t>1</t>
    </r>
  </si>
  <si>
    <r>
      <t>n</t>
    </r>
    <r>
      <rPr>
        <vertAlign val="subscript"/>
        <sz val="11"/>
        <color indexed="8"/>
        <rFont val="Calibri"/>
        <family val="2"/>
      </rPr>
      <t>ef</t>
    </r>
  </si>
  <si>
    <r>
      <t>l</t>
    </r>
    <r>
      <rPr>
        <vertAlign val="subscript"/>
        <sz val="11"/>
        <color indexed="8"/>
        <rFont val="Calibri"/>
        <family val="2"/>
      </rPr>
      <t>ef (H)</t>
    </r>
  </si>
  <si>
    <r>
      <t>l</t>
    </r>
    <r>
      <rPr>
        <vertAlign val="subscript"/>
        <sz val="11"/>
        <color indexed="8"/>
        <rFont val="Calibri"/>
        <family val="2"/>
      </rPr>
      <t>ef (J)</t>
    </r>
  </si>
  <si>
    <t>d</t>
  </si>
  <si>
    <r>
      <t>F</t>
    </r>
    <r>
      <rPr>
        <vertAlign val="subscript"/>
        <sz val="11"/>
        <color indexed="8"/>
        <rFont val="Calibri"/>
        <family val="2"/>
      </rPr>
      <t>ax,Rk (H)</t>
    </r>
  </si>
  <si>
    <r>
      <t>F</t>
    </r>
    <r>
      <rPr>
        <vertAlign val="subscript"/>
        <sz val="11"/>
        <color indexed="8"/>
        <rFont val="Calibri"/>
        <family val="2"/>
      </rPr>
      <t>ax,Rk (J)</t>
    </r>
  </si>
  <si>
    <r>
      <t>F</t>
    </r>
    <r>
      <rPr>
        <b/>
        <vertAlign val="subscript"/>
        <sz val="11"/>
        <color indexed="8"/>
        <rFont val="Calibri"/>
        <family val="2"/>
      </rPr>
      <t>1,Rk</t>
    </r>
  </si>
  <si>
    <t>[kN]</t>
  </si>
  <si>
    <t>[pcs]</t>
  </si>
  <si>
    <r>
      <t>characteristic density</t>
    </r>
    <r>
      <rPr>
        <sz val="11"/>
        <color indexed="8"/>
        <rFont val="Symbol"/>
        <family val="1"/>
        <charset val="2"/>
      </rPr>
      <t xml:space="preserve"> r</t>
    </r>
    <r>
      <rPr>
        <vertAlign val="subscript"/>
        <sz val="11"/>
        <color indexed="8"/>
        <rFont val="Calibri"/>
        <family val="2"/>
      </rPr>
      <t>k</t>
    </r>
    <r>
      <rPr>
        <sz val="12"/>
        <rFont val="Myriad Pro Light"/>
        <family val="2"/>
      </rPr>
      <t xml:space="preserve"> =</t>
    </r>
  </si>
  <si>
    <t>kg/m³</t>
  </si>
  <si>
    <r>
      <t>Load direction F</t>
    </r>
    <r>
      <rPr>
        <b/>
        <vertAlign val="subscript"/>
        <sz val="18"/>
        <color indexed="8"/>
        <rFont val="Calibri"/>
        <family val="2"/>
      </rPr>
      <t>2</t>
    </r>
    <r>
      <rPr>
        <b/>
        <sz val="18"/>
        <color indexed="8"/>
        <rFont val="Calibri"/>
        <family val="2"/>
      </rPr>
      <t xml:space="preserve"> in the direction of insertion</t>
    </r>
  </si>
  <si>
    <t>Nmm</t>
  </si>
  <si>
    <t>outer thread diameter d =</t>
  </si>
  <si>
    <t>mm</t>
  </si>
  <si>
    <t>n</t>
  </si>
  <si>
    <r>
      <t>l</t>
    </r>
    <r>
      <rPr>
        <vertAlign val="subscript"/>
        <sz val="11"/>
        <color indexed="8"/>
        <rFont val="Calibri"/>
        <family val="2"/>
      </rPr>
      <t xml:space="preserve">ef </t>
    </r>
  </si>
  <si>
    <r>
      <t>F</t>
    </r>
    <r>
      <rPr>
        <vertAlign val="subscript"/>
        <sz val="11"/>
        <color indexed="8"/>
        <rFont val="Calibri"/>
        <family val="2"/>
      </rPr>
      <t>ax,J,RK</t>
    </r>
  </si>
  <si>
    <r>
      <t>F</t>
    </r>
    <r>
      <rPr>
        <vertAlign val="subscript"/>
        <sz val="11"/>
        <color indexed="8"/>
        <rFont val="Calibri"/>
        <family val="2"/>
      </rPr>
      <t>v,J,Rk</t>
    </r>
    <r>
      <rPr>
        <sz val="12"/>
        <rFont val="Myriad Pro Light"/>
        <family val="2"/>
      </rPr>
      <t xml:space="preserve"> </t>
    </r>
  </si>
  <si>
    <r>
      <rPr>
        <sz val="11"/>
        <color indexed="8"/>
        <rFont val="Symbol"/>
        <family val="1"/>
        <charset val="2"/>
      </rPr>
      <t>S</t>
    </r>
    <r>
      <rPr>
        <sz val="12"/>
        <rFont val="Myriad Pro Light"/>
        <family val="2"/>
      </rPr>
      <t xml:space="preserve"> F</t>
    </r>
    <r>
      <rPr>
        <vertAlign val="subscript"/>
        <sz val="11"/>
        <color indexed="8"/>
        <rFont val="Calibri"/>
        <family val="2"/>
      </rPr>
      <t>v,J,Rk</t>
    </r>
  </si>
  <si>
    <r>
      <t>F</t>
    </r>
    <r>
      <rPr>
        <vertAlign val="subscript"/>
        <sz val="11"/>
        <color indexed="8"/>
        <rFont val="Calibri"/>
        <family val="2"/>
      </rPr>
      <t>ax,H,RK</t>
    </r>
  </si>
  <si>
    <r>
      <t>F</t>
    </r>
    <r>
      <rPr>
        <vertAlign val="subscript"/>
        <sz val="11"/>
        <color indexed="8"/>
        <rFont val="Calibri"/>
        <family val="2"/>
      </rPr>
      <t>v,H,Rk</t>
    </r>
    <r>
      <rPr>
        <sz val="12"/>
        <rFont val="Myriad Pro Light"/>
        <family val="2"/>
      </rPr>
      <t xml:space="preserve"> </t>
    </r>
  </si>
  <si>
    <r>
      <rPr>
        <sz val="11"/>
        <color indexed="8"/>
        <rFont val="Symbol"/>
        <family val="1"/>
        <charset val="2"/>
      </rPr>
      <t>S</t>
    </r>
    <r>
      <rPr>
        <sz val="12"/>
        <rFont val="Myriad Pro Light"/>
        <family val="2"/>
      </rPr>
      <t xml:space="preserve"> F</t>
    </r>
    <r>
      <rPr>
        <vertAlign val="subscript"/>
        <sz val="11"/>
        <color indexed="8"/>
        <rFont val="Calibri"/>
        <family val="2"/>
      </rPr>
      <t>v,H,Rk</t>
    </r>
  </si>
  <si>
    <t>EC 5</t>
  </si>
  <si>
    <t>F2,Rd [kN]</t>
  </si>
  <si>
    <r>
      <t>F</t>
    </r>
    <r>
      <rPr>
        <vertAlign val="subscript"/>
        <sz val="11"/>
        <color indexed="8"/>
        <rFont val="Calibri"/>
        <family val="2"/>
      </rPr>
      <t>2,KCC,RK</t>
    </r>
  </si>
  <si>
    <r>
      <t>k</t>
    </r>
    <r>
      <rPr>
        <vertAlign val="subscript"/>
        <sz val="11"/>
        <color indexed="8"/>
        <rFont val="Calibri"/>
        <family val="2"/>
      </rPr>
      <t>H,2</t>
    </r>
  </si>
  <si>
    <r>
      <t>F</t>
    </r>
    <r>
      <rPr>
        <vertAlign val="subscript"/>
        <sz val="11"/>
        <color indexed="8"/>
        <rFont val="Calibri"/>
        <family val="2"/>
      </rPr>
      <t>2,H,Rk</t>
    </r>
  </si>
  <si>
    <r>
      <t>F</t>
    </r>
    <r>
      <rPr>
        <b/>
        <vertAlign val="subscript"/>
        <sz val="11"/>
        <color indexed="8"/>
        <rFont val="Calibri"/>
        <family val="2"/>
      </rPr>
      <t>2,R,k</t>
    </r>
  </si>
  <si>
    <r>
      <t>Centric and eccentric load F</t>
    </r>
    <r>
      <rPr>
        <b/>
        <vertAlign val="subscript"/>
        <sz val="18"/>
        <color indexed="8"/>
        <rFont val="Myriad Pro"/>
        <family val="2"/>
      </rPr>
      <t>45</t>
    </r>
    <r>
      <rPr>
        <b/>
        <sz val="18"/>
        <color indexed="8"/>
        <rFont val="Myriad Pro"/>
        <family val="2"/>
      </rPr>
      <t xml:space="preserve"> - perpendicular to the direction of insertion</t>
    </r>
  </si>
  <si>
    <t>RICON S Connector</t>
  </si>
  <si>
    <r>
      <t>F</t>
    </r>
    <r>
      <rPr>
        <vertAlign val="subscript"/>
        <sz val="11"/>
        <color indexed="8"/>
        <rFont val="Calibri"/>
        <family val="2"/>
      </rPr>
      <t>v,mittel,J,Rk</t>
    </r>
  </si>
  <si>
    <r>
      <t>F</t>
    </r>
    <r>
      <rPr>
        <vertAlign val="subscript"/>
        <sz val="11"/>
        <color indexed="8"/>
        <rFont val="Calibri"/>
        <family val="2"/>
      </rPr>
      <t>v,J,mittel,Rk</t>
    </r>
  </si>
  <si>
    <r>
      <t>n</t>
    </r>
    <r>
      <rPr>
        <vertAlign val="subscript"/>
        <sz val="11"/>
        <color indexed="8"/>
        <rFont val="Calibri"/>
        <family val="2"/>
      </rPr>
      <t>45</t>
    </r>
  </si>
  <si>
    <r>
      <t>a</t>
    </r>
    <r>
      <rPr>
        <vertAlign val="subscript"/>
        <sz val="11"/>
        <color indexed="8"/>
        <rFont val="Calibri"/>
        <family val="2"/>
      </rPr>
      <t xml:space="preserve">1 </t>
    </r>
  </si>
  <si>
    <r>
      <t>a</t>
    </r>
    <r>
      <rPr>
        <vertAlign val="subscript"/>
        <sz val="11"/>
        <color indexed="8"/>
        <rFont val="Calibri"/>
        <family val="2"/>
      </rPr>
      <t>2</t>
    </r>
    <r>
      <rPr>
        <sz val="11"/>
        <color indexed="8"/>
        <rFont val="Calibri"/>
        <family val="2"/>
      </rPr>
      <t/>
    </r>
  </si>
  <si>
    <r>
      <t>e</t>
    </r>
    <r>
      <rPr>
        <vertAlign val="subscript"/>
        <sz val="11"/>
        <color indexed="8"/>
        <rFont val="Calibri"/>
        <family val="2"/>
      </rPr>
      <t>J,45</t>
    </r>
  </si>
  <si>
    <r>
      <t>F</t>
    </r>
    <r>
      <rPr>
        <vertAlign val="subscript"/>
        <sz val="11"/>
        <color indexed="8"/>
        <rFont val="Calibri"/>
        <family val="2"/>
      </rPr>
      <t>45,J,Rk</t>
    </r>
    <r>
      <rPr>
        <sz val="12"/>
        <rFont val="Myriad Pro Light"/>
        <family val="2"/>
      </rPr>
      <t xml:space="preserve"> </t>
    </r>
  </si>
  <si>
    <r>
      <t>F</t>
    </r>
    <r>
      <rPr>
        <vertAlign val="subscript"/>
        <sz val="11"/>
        <color indexed="8"/>
        <rFont val="Calibri"/>
        <family val="2"/>
      </rPr>
      <t>v,mittel,H,Rk</t>
    </r>
  </si>
  <si>
    <r>
      <t>F</t>
    </r>
    <r>
      <rPr>
        <vertAlign val="subscript"/>
        <sz val="11"/>
        <color indexed="8"/>
        <rFont val="Calibri"/>
        <family val="2"/>
      </rPr>
      <t>v,H,mittel,Rk</t>
    </r>
  </si>
  <si>
    <r>
      <t>k</t>
    </r>
    <r>
      <rPr>
        <vertAlign val="subscript"/>
        <sz val="11"/>
        <color indexed="8"/>
        <rFont val="Calibri"/>
        <family val="2"/>
      </rPr>
      <t>H,45</t>
    </r>
    <r>
      <rPr>
        <sz val="11"/>
        <color indexed="8"/>
        <rFont val="Calibri"/>
        <family val="2"/>
      </rPr>
      <t/>
    </r>
  </si>
  <si>
    <r>
      <t>e</t>
    </r>
    <r>
      <rPr>
        <vertAlign val="subscript"/>
        <sz val="11"/>
        <color indexed="8"/>
        <rFont val="Calibri"/>
        <family val="2"/>
      </rPr>
      <t>H,45</t>
    </r>
  </si>
  <si>
    <r>
      <t>F</t>
    </r>
    <r>
      <rPr>
        <vertAlign val="subscript"/>
        <sz val="11"/>
        <color indexed="8"/>
        <rFont val="Calibri"/>
        <family val="2"/>
      </rPr>
      <t>45,H,Rk</t>
    </r>
    <r>
      <rPr>
        <sz val="12"/>
        <rFont val="Myriad Pro Light"/>
        <family val="2"/>
      </rPr>
      <t xml:space="preserve"> </t>
    </r>
  </si>
  <si>
    <r>
      <t xml:space="preserve"> F</t>
    </r>
    <r>
      <rPr>
        <vertAlign val="subscript"/>
        <sz val="11"/>
        <color indexed="8"/>
        <rFont val="Calibri"/>
        <family val="2"/>
      </rPr>
      <t>45,J,Rk</t>
    </r>
  </si>
  <si>
    <r>
      <t>F</t>
    </r>
    <r>
      <rPr>
        <vertAlign val="subscript"/>
        <sz val="11"/>
        <color indexed="8"/>
        <rFont val="Calibri"/>
        <family val="2"/>
      </rPr>
      <t>45,KCC,RK</t>
    </r>
  </si>
  <si>
    <r>
      <t>F</t>
    </r>
    <r>
      <rPr>
        <vertAlign val="subscript"/>
        <sz val="11"/>
        <color indexed="8"/>
        <rFont val="Calibri"/>
        <family val="2"/>
      </rPr>
      <t>45</t>
    </r>
    <r>
      <rPr>
        <vertAlign val="subscript"/>
        <sz val="11"/>
        <color indexed="8"/>
        <rFont val="Calibri"/>
        <family val="2"/>
      </rPr>
      <t>,H,Rk</t>
    </r>
  </si>
  <si>
    <r>
      <t>F</t>
    </r>
    <r>
      <rPr>
        <b/>
        <vertAlign val="subscript"/>
        <sz val="11"/>
        <color indexed="8"/>
        <rFont val="Calibri"/>
        <family val="2"/>
      </rPr>
      <t>45,R,k</t>
    </r>
  </si>
  <si>
    <r>
      <t>Rohdichte</t>
    </r>
    <r>
      <rPr>
        <sz val="12"/>
        <rFont val="Symbol"/>
        <family val="1"/>
        <charset val="2"/>
      </rPr>
      <t xml:space="preserve"> r</t>
    </r>
    <r>
      <rPr>
        <vertAlign val="subscript"/>
        <sz val="12"/>
        <rFont val="Myriad Pro"/>
        <family val="2"/>
      </rPr>
      <t>k</t>
    </r>
    <r>
      <rPr>
        <sz val="12"/>
        <rFont val="Myriad Pro"/>
        <family val="2"/>
      </rPr>
      <t xml:space="preserve"> =</t>
    </r>
  </si>
  <si>
    <r>
      <t>F</t>
    </r>
    <r>
      <rPr>
        <vertAlign val="subscript"/>
        <sz val="12"/>
        <rFont val="Myriad Pro"/>
        <family val="2"/>
      </rPr>
      <t>1,Rd</t>
    </r>
  </si>
  <si>
    <r>
      <t>F</t>
    </r>
    <r>
      <rPr>
        <vertAlign val="subscript"/>
        <sz val="12"/>
        <rFont val="Myriad Pro"/>
        <family val="2"/>
      </rPr>
      <t>45,Rd</t>
    </r>
  </si>
  <si>
    <t>Verbinderauswahl:</t>
  </si>
  <si>
    <t>Schrauben im Hauptträger</t>
  </si>
  <si>
    <t>Anzahl n(H)</t>
  </si>
  <si>
    <t>Schrauben im Nebenträger</t>
  </si>
  <si>
    <r>
      <t>Fließmoment M</t>
    </r>
    <r>
      <rPr>
        <vertAlign val="subscript"/>
        <sz val="12"/>
        <rFont val="Myriad Pro"/>
        <family val="2"/>
      </rPr>
      <t>y,k</t>
    </r>
    <r>
      <rPr>
        <sz val="12"/>
        <rFont val="Myriad Pro"/>
        <family val="2"/>
      </rPr>
      <t>=</t>
    </r>
  </si>
  <si>
    <t>Eingabe</t>
  </si>
  <si>
    <t>Verknüpfte Eingabe</t>
  </si>
  <si>
    <t xml:space="preserve">Zugfestigkeit </t>
  </si>
  <si>
    <t>Fließmoment</t>
  </si>
  <si>
    <r>
      <t>Zugfestigkeit f</t>
    </r>
    <r>
      <rPr>
        <vertAlign val="subscript"/>
        <sz val="12"/>
        <rFont val="Myriad Pro"/>
        <family val="2"/>
      </rPr>
      <t>tens,k</t>
    </r>
    <r>
      <rPr>
        <sz val="12"/>
        <rFont val="Myriad Pro"/>
        <family val="2"/>
      </rPr>
      <t xml:space="preserve"> =</t>
    </r>
  </si>
  <si>
    <r>
      <t>f</t>
    </r>
    <r>
      <rPr>
        <vertAlign val="subscript"/>
        <sz val="11"/>
        <color indexed="8"/>
        <rFont val="Calibri"/>
        <family val="2"/>
      </rPr>
      <t>tens,k</t>
    </r>
  </si>
  <si>
    <t>mit</t>
  </si>
  <si>
    <t>Schrauben</t>
  </si>
  <si>
    <r>
      <t>F</t>
    </r>
    <r>
      <rPr>
        <vertAlign val="subscript"/>
        <sz val="12"/>
        <rFont val="Myriad Pro Light"/>
        <family val="2"/>
      </rPr>
      <t xml:space="preserve">45,Rd </t>
    </r>
    <r>
      <rPr>
        <sz val="12"/>
        <rFont val="Myriad Pro Light"/>
        <family val="2"/>
      </rPr>
      <t>[kN]</t>
    </r>
  </si>
  <si>
    <r>
      <t>Tensile Force F</t>
    </r>
    <r>
      <rPr>
        <vertAlign val="subscript"/>
        <sz val="12"/>
        <rFont val="Myriad Pro Light"/>
        <family val="2"/>
      </rPr>
      <t xml:space="preserve">1,Rd </t>
    </r>
    <r>
      <rPr>
        <sz val="12"/>
        <rFont val="Myriad Pro Light"/>
        <family val="2"/>
      </rPr>
      <t>[kN]</t>
    </r>
  </si>
  <si>
    <r>
      <t>characteristic density</t>
    </r>
    <r>
      <rPr>
        <sz val="11"/>
        <color indexed="8"/>
        <rFont val="Symbol"/>
        <family val="1"/>
        <charset val="2"/>
      </rPr>
      <t xml:space="preserve"> r</t>
    </r>
    <r>
      <rPr>
        <vertAlign val="subscript"/>
        <sz val="11"/>
        <color indexed="8"/>
        <rFont val="Calibri"/>
        <family val="2"/>
      </rPr>
      <t>k</t>
    </r>
    <r>
      <rPr>
        <sz val="11"/>
        <rFont val="Myriad Pro Light"/>
        <family val="2"/>
      </rPr>
      <t xml:space="preserve"> =</t>
    </r>
  </si>
  <si>
    <r>
      <t>char. yield moment M</t>
    </r>
    <r>
      <rPr>
        <vertAlign val="subscript"/>
        <sz val="11"/>
        <color indexed="8"/>
        <rFont val="Calibri"/>
        <family val="2"/>
      </rPr>
      <t>y,Rk</t>
    </r>
    <r>
      <rPr>
        <sz val="11"/>
        <rFont val="Myriad Pro Light"/>
        <family val="2"/>
      </rPr>
      <t xml:space="preserve"> =</t>
    </r>
  </si>
  <si>
    <r>
      <t>Embedding strength f</t>
    </r>
    <r>
      <rPr>
        <vertAlign val="subscript"/>
        <sz val="11"/>
        <color indexed="8"/>
        <rFont val="Calibri"/>
        <family val="2"/>
      </rPr>
      <t xml:space="preserve">h,J,k </t>
    </r>
    <r>
      <rPr>
        <sz val="11"/>
        <rFont val="Myriad Pro Light"/>
        <family val="2"/>
      </rPr>
      <t>=</t>
    </r>
  </si>
  <si>
    <r>
      <t>Embedding strength f</t>
    </r>
    <r>
      <rPr>
        <vertAlign val="subscript"/>
        <sz val="11"/>
        <color indexed="8"/>
        <rFont val="Calibri"/>
        <family val="2"/>
      </rPr>
      <t xml:space="preserve">h,H,k </t>
    </r>
    <r>
      <rPr>
        <sz val="11"/>
        <rFont val="Myriad Pro Light"/>
        <family val="2"/>
      </rPr>
      <t>=</t>
    </r>
  </si>
  <si>
    <t>Knapp Verbinder</t>
  </si>
  <si>
    <r>
      <t>Rechtwinklig zur Einschubrichtung F</t>
    </r>
    <r>
      <rPr>
        <vertAlign val="subscript"/>
        <sz val="12"/>
        <rFont val="Myriad Pro Light"/>
        <family val="2"/>
      </rPr>
      <t>45,Rd</t>
    </r>
    <r>
      <rPr>
        <sz val="12"/>
        <rFont val="Myriad Pro Light"/>
        <family val="2"/>
      </rPr>
      <t xml:space="preserve"> [kN]</t>
    </r>
  </si>
  <si>
    <t>Lastfall:</t>
  </si>
  <si>
    <t>LFK1: g</t>
  </si>
  <si>
    <r>
      <t>F</t>
    </r>
    <r>
      <rPr>
        <vertAlign val="subscript"/>
        <sz val="12"/>
        <rFont val="Myriad Pro"/>
        <family val="2"/>
      </rPr>
      <t>3,Rd</t>
    </r>
  </si>
  <si>
    <r>
      <t>(F</t>
    </r>
    <r>
      <rPr>
        <vertAlign val="subscript"/>
        <sz val="12"/>
        <rFont val="Myriad Pro"/>
        <family val="2"/>
      </rPr>
      <t>1,d</t>
    </r>
    <r>
      <rPr>
        <sz val="12"/>
        <rFont val="Myriad Pro"/>
        <family val="2"/>
      </rPr>
      <t>/F</t>
    </r>
    <r>
      <rPr>
        <vertAlign val="subscript"/>
        <sz val="12"/>
        <rFont val="Myriad Pro"/>
        <family val="2"/>
      </rPr>
      <t>1,Rd</t>
    </r>
    <r>
      <rPr>
        <sz val="12"/>
        <rFont val="Myriad Pro"/>
        <family val="2"/>
      </rPr>
      <t>)²</t>
    </r>
  </si>
  <si>
    <t>LFK2: g+s</t>
  </si>
  <si>
    <t>LFK3: g+n</t>
  </si>
  <si>
    <t>LFK4: g+s+wd</t>
  </si>
  <si>
    <t>LFK5: g+ws</t>
  </si>
  <si>
    <t>mittel</t>
  </si>
  <si>
    <t>Vollgewindeschrauben Hauptträger</t>
  </si>
  <si>
    <t>Vollgewindeschrauben Nebenträger</t>
  </si>
  <si>
    <t>lang</t>
  </si>
  <si>
    <r>
      <t>Rechtwinklig zur Einschubrichtung F</t>
    </r>
    <r>
      <rPr>
        <vertAlign val="subscript"/>
        <sz val="12"/>
        <rFont val="Myriad Pro"/>
        <family val="2"/>
      </rPr>
      <t>45,d</t>
    </r>
  </si>
  <si>
    <r>
      <t>In Einschub-
richtung 
F</t>
    </r>
    <r>
      <rPr>
        <vertAlign val="subscript"/>
        <sz val="12"/>
        <rFont val="Myriad Pro"/>
        <family val="2"/>
      </rPr>
      <t>2,d</t>
    </r>
  </si>
  <si>
    <t>Lastfall
kombination</t>
  </si>
  <si>
    <t>Belastung:</t>
  </si>
  <si>
    <r>
      <t>Entgegen Einschubricht.
F</t>
    </r>
    <r>
      <rPr>
        <vertAlign val="subscript"/>
        <sz val="12"/>
        <rFont val="Myriad Pro"/>
        <family val="2"/>
      </rPr>
      <t>3,d</t>
    </r>
  </si>
  <si>
    <t>(ständige Lasten: Eigengewicht)</t>
  </si>
  <si>
    <t>(veränderliche Lasten: Schnee, Wind, Nutzlast)</t>
  </si>
  <si>
    <r>
      <t>max F</t>
    </r>
    <r>
      <rPr>
        <vertAlign val="subscript"/>
        <sz val="12"/>
        <rFont val="Myriad Pro"/>
        <family val="2"/>
      </rPr>
      <t>2,d</t>
    </r>
    <r>
      <rPr>
        <sz val="12"/>
        <rFont val="Myriad Pro"/>
        <family val="2"/>
      </rPr>
      <t xml:space="preserve"> =</t>
    </r>
  </si>
  <si>
    <r>
      <t>f</t>
    </r>
    <r>
      <rPr>
        <vertAlign val="subscript"/>
        <sz val="12"/>
        <rFont val="Myriad Pro"/>
        <family val="2"/>
      </rPr>
      <t>ax,k</t>
    </r>
    <r>
      <rPr>
        <sz val="12"/>
        <rFont val="Myriad Pro"/>
        <family val="2"/>
      </rPr>
      <t xml:space="preserve"> =</t>
    </r>
  </si>
  <si>
    <r>
      <t>F</t>
    </r>
    <r>
      <rPr>
        <vertAlign val="subscript"/>
        <sz val="12"/>
        <rFont val="Myriad Pro"/>
        <family val="2"/>
      </rPr>
      <t>ax,Rk</t>
    </r>
    <r>
      <rPr>
        <sz val="12"/>
        <rFont val="Myriad Pro"/>
        <family val="2"/>
      </rPr>
      <t xml:space="preserve"> =</t>
    </r>
  </si>
  <si>
    <r>
      <t>k</t>
    </r>
    <r>
      <rPr>
        <vertAlign val="subscript"/>
        <sz val="12"/>
        <rFont val="Myriad Pro"/>
        <family val="2"/>
      </rPr>
      <t>mod</t>
    </r>
    <r>
      <rPr>
        <sz val="12"/>
        <rFont val="Myriad Pro"/>
        <family val="2"/>
      </rPr>
      <t xml:space="preserve"> =</t>
    </r>
  </si>
  <si>
    <t>d [mm]</t>
  </si>
  <si>
    <r>
      <t>f</t>
    </r>
    <r>
      <rPr>
        <vertAlign val="subscript"/>
        <sz val="12"/>
        <rFont val="Myriad Pro"/>
        <family val="2"/>
      </rPr>
      <t xml:space="preserve">tens,k </t>
    </r>
    <r>
      <rPr>
        <sz val="12"/>
        <rFont val="Myriad Pro"/>
        <family val="2"/>
      </rPr>
      <t>[kN]</t>
    </r>
  </si>
  <si>
    <r>
      <t>f</t>
    </r>
    <r>
      <rPr>
        <vertAlign val="subscript"/>
        <sz val="12"/>
        <rFont val="Myriad Pro"/>
        <family val="2"/>
      </rPr>
      <t>ax,k</t>
    </r>
    <r>
      <rPr>
        <sz val="12"/>
        <rFont val="Myriad Pro"/>
        <family val="2"/>
      </rPr>
      <t xml:space="preserve"> [Nmm²]</t>
    </r>
  </si>
  <si>
    <r>
      <t>f</t>
    </r>
    <r>
      <rPr>
        <vertAlign val="subscript"/>
        <sz val="12"/>
        <rFont val="Myriad Pro"/>
        <family val="2"/>
      </rPr>
      <t xml:space="preserve">tens,Rd </t>
    </r>
    <r>
      <rPr>
        <sz val="12"/>
        <rFont val="Myriad Pro"/>
        <family val="2"/>
      </rPr>
      <t>=</t>
    </r>
  </si>
  <si>
    <r>
      <t>f</t>
    </r>
    <r>
      <rPr>
        <vertAlign val="subscript"/>
        <sz val="12"/>
        <rFont val="Myriad Pro"/>
        <family val="2"/>
      </rPr>
      <t xml:space="preserve">tens,Rk </t>
    </r>
    <r>
      <rPr>
        <sz val="12"/>
        <rFont val="Myriad Pro"/>
        <family val="2"/>
      </rPr>
      <t>=</t>
    </r>
  </si>
  <si>
    <r>
      <rPr>
        <sz val="12"/>
        <rFont val="Symbol"/>
        <family val="1"/>
        <charset val="2"/>
      </rPr>
      <t>g</t>
    </r>
    <r>
      <rPr>
        <vertAlign val="subscript"/>
        <sz val="12"/>
        <rFont val="Myriad Pro"/>
        <family val="2"/>
      </rPr>
      <t>g</t>
    </r>
    <r>
      <rPr>
        <sz val="12"/>
        <rFont val="Myriad Pro"/>
        <family val="2"/>
      </rPr>
      <t xml:space="preserve"> =</t>
    </r>
  </si>
  <si>
    <r>
      <rPr>
        <sz val="12"/>
        <rFont val="Symbol"/>
        <family val="1"/>
        <charset val="2"/>
      </rPr>
      <t xml:space="preserve"> g</t>
    </r>
    <r>
      <rPr>
        <vertAlign val="subscript"/>
        <sz val="12"/>
        <rFont val="Myriad Pro"/>
        <family val="2"/>
      </rPr>
      <t>Q</t>
    </r>
    <r>
      <rPr>
        <sz val="12"/>
        <rFont val="Myriad Pro"/>
        <family val="2"/>
      </rPr>
      <t xml:space="preserve"> =</t>
    </r>
  </si>
  <si>
    <t>Teilsicherheitsbeiwerte</t>
  </si>
  <si>
    <t>Kombinationsbeiwerte</t>
  </si>
  <si>
    <t>(Windlasten)</t>
  </si>
  <si>
    <r>
      <rPr>
        <sz val="12"/>
        <rFont val="Symbol"/>
        <family val="1"/>
        <charset val="2"/>
      </rPr>
      <t>y</t>
    </r>
    <r>
      <rPr>
        <vertAlign val="subscript"/>
        <sz val="12"/>
        <rFont val="Myriad Pro"/>
        <family val="2"/>
      </rPr>
      <t xml:space="preserve">0 </t>
    </r>
    <r>
      <rPr>
        <sz val="12"/>
        <rFont val="Myriad Pro"/>
        <family val="2"/>
      </rPr>
      <t>=</t>
    </r>
  </si>
  <si>
    <t>(Schneelasten Orte über NN +1000)</t>
  </si>
  <si>
    <t>(Schneelasten Orte bis zu NN +1000)</t>
  </si>
  <si>
    <t>(Verkehrslasten / Nutzlasten)</t>
  </si>
  <si>
    <t>Schraubentyp:</t>
  </si>
  <si>
    <r>
      <t>k</t>
    </r>
    <r>
      <rPr>
        <vertAlign val="subscript"/>
        <sz val="12"/>
        <rFont val="Myriad Pro"/>
        <family val="2"/>
      </rPr>
      <t>ax</t>
    </r>
    <r>
      <rPr>
        <sz val="12"/>
        <rFont val="Myriad Pro"/>
        <family val="2"/>
      </rPr>
      <t xml:space="preserve"> =</t>
    </r>
  </si>
  <si>
    <t xml:space="preserve">Querzugverstärkung mit </t>
  </si>
  <si>
    <r>
      <t>= n</t>
    </r>
    <r>
      <rPr>
        <vertAlign val="superscript"/>
        <sz val="12"/>
        <rFont val="Myriad Pro Light"/>
        <family val="2"/>
      </rPr>
      <t>0,9</t>
    </r>
    <r>
      <rPr>
        <sz val="12"/>
        <rFont val="Myriad Pro Light"/>
        <family val="2"/>
      </rPr>
      <t xml:space="preserve"> x F</t>
    </r>
    <r>
      <rPr>
        <vertAlign val="subscript"/>
        <sz val="11"/>
        <color indexed="8"/>
        <rFont val="Calibri"/>
        <family val="2"/>
      </rPr>
      <t>V,H,RK</t>
    </r>
  </si>
  <si>
    <r>
      <t>= n</t>
    </r>
    <r>
      <rPr>
        <vertAlign val="superscript"/>
        <sz val="12"/>
        <rFont val="Myriad Pro Light"/>
        <family val="2"/>
      </rPr>
      <t>0,9</t>
    </r>
    <r>
      <rPr>
        <sz val="12"/>
        <rFont val="Myriad Pro Light"/>
        <family val="2"/>
      </rPr>
      <t xml:space="preserve"> x F</t>
    </r>
    <r>
      <rPr>
        <vertAlign val="subscript"/>
        <sz val="11"/>
        <color indexed="8"/>
        <rFont val="Calibri"/>
        <family val="2"/>
      </rPr>
      <t>V,J,RK</t>
    </r>
  </si>
  <si>
    <t>KNAPP®</t>
  </si>
  <si>
    <t>ETA-10/0189</t>
  </si>
  <si>
    <t>GL24h</t>
  </si>
  <si>
    <t>Holzart</t>
  </si>
  <si>
    <r>
      <rPr>
        <sz val="12"/>
        <rFont val="Symbol"/>
        <family val="1"/>
        <charset val="2"/>
      </rPr>
      <t>r</t>
    </r>
    <r>
      <rPr>
        <vertAlign val="subscript"/>
        <sz val="12"/>
        <rFont val="Myriad Pro"/>
        <family val="2"/>
      </rPr>
      <t xml:space="preserve">k </t>
    </r>
    <r>
      <rPr>
        <sz val="12"/>
        <rFont val="Myriad Pro"/>
        <family val="2"/>
      </rPr>
      <t>[kg/m³]</t>
    </r>
  </si>
  <si>
    <t>C24</t>
  </si>
  <si>
    <t>C30</t>
  </si>
  <si>
    <t>GL24c</t>
  </si>
  <si>
    <t>GL28c</t>
  </si>
  <si>
    <r>
      <t>Eingabe der Anschlusskräfte als Bemessungswerte (Design-Werte) F</t>
    </r>
    <r>
      <rPr>
        <b/>
        <vertAlign val="subscript"/>
        <sz val="12"/>
        <rFont val="Myriad Pro"/>
        <family val="2"/>
      </rPr>
      <t>d</t>
    </r>
    <r>
      <rPr>
        <b/>
        <sz val="12"/>
        <rFont val="Myriad Pro"/>
        <family val="2"/>
      </rPr>
      <t>:</t>
    </r>
  </si>
  <si>
    <t>Schrauben-längen L</t>
  </si>
  <si>
    <t>L [mm]</t>
  </si>
  <si>
    <t>Typ 2</t>
  </si>
  <si>
    <t>Typ 3</t>
  </si>
  <si>
    <t>Typ1</t>
  </si>
  <si>
    <t>Auswahl</t>
  </si>
  <si>
    <t>Mindestquerschnitte</t>
  </si>
  <si>
    <t>(Unverbindliche Musterbemessung)</t>
  </si>
  <si>
    <t>Schraubenlängen für Querzugverstärkung der Nebenträger mit</t>
  </si>
  <si>
    <t>Längen L [mm]</t>
  </si>
  <si>
    <t>Endauswahl:</t>
  </si>
  <si>
    <t>geg.:</t>
  </si>
  <si>
    <t>Holzart:</t>
  </si>
  <si>
    <r>
      <t xml:space="preserve">Abbrandrate </t>
    </r>
    <r>
      <rPr>
        <sz val="12"/>
        <rFont val="Calibri"/>
        <family val="2"/>
      </rPr>
      <t>β</t>
    </r>
    <r>
      <rPr>
        <vertAlign val="subscript"/>
        <sz val="12"/>
        <rFont val="Myriad Pro"/>
        <family val="2"/>
      </rPr>
      <t>N</t>
    </r>
    <r>
      <rPr>
        <sz val="12"/>
        <rFont val="Myriad Pro"/>
        <family val="2"/>
      </rPr>
      <t xml:space="preserve"> =</t>
    </r>
  </si>
  <si>
    <t>Branddauer t =</t>
  </si>
  <si>
    <r>
      <t>Zeitfaktor k</t>
    </r>
    <r>
      <rPr>
        <vertAlign val="subscript"/>
        <sz val="12"/>
        <rFont val="Myriad Pro"/>
        <family val="2"/>
      </rPr>
      <t>0</t>
    </r>
    <r>
      <rPr>
        <sz val="12"/>
        <rFont val="Myriad Pro"/>
        <family val="2"/>
      </rPr>
      <t xml:space="preserve"> =</t>
    </r>
  </si>
  <si>
    <r>
      <t xml:space="preserve">(t </t>
    </r>
    <r>
      <rPr>
        <sz val="12"/>
        <rFont val="Calibri"/>
        <family val="2"/>
      </rPr>
      <t>≥</t>
    </r>
    <r>
      <rPr>
        <sz val="12"/>
        <rFont val="Myriad Pro"/>
        <family val="2"/>
      </rPr>
      <t xml:space="preserve"> 20 min)</t>
    </r>
  </si>
  <si>
    <r>
      <t>Schichttiefe t</t>
    </r>
    <r>
      <rPr>
        <vertAlign val="subscript"/>
        <sz val="12"/>
        <rFont val="Myriad Pro"/>
        <family val="2"/>
      </rPr>
      <t>0</t>
    </r>
    <r>
      <rPr>
        <sz val="12"/>
        <rFont val="Myriad Pro"/>
        <family val="2"/>
      </rPr>
      <t xml:space="preserve"> =</t>
    </r>
  </si>
  <si>
    <t>(Schichttiefe mit der Festigkeits- und Steifigkeitseigenschaft gleich Null)</t>
  </si>
  <si>
    <r>
      <t>Brandüberdeckung d</t>
    </r>
    <r>
      <rPr>
        <vertAlign val="subscript"/>
        <sz val="12"/>
        <rFont val="Myriad Pro"/>
        <family val="2"/>
      </rPr>
      <t>ef</t>
    </r>
    <r>
      <rPr>
        <sz val="12"/>
        <rFont val="Myriad Pro"/>
        <family val="2"/>
      </rPr>
      <t xml:space="preserve"> =</t>
    </r>
  </si>
  <si>
    <t>Überprüfung der dreiseitigen Brandüberdeckung:</t>
  </si>
  <si>
    <r>
      <t>Überdeckung d</t>
    </r>
    <r>
      <rPr>
        <vertAlign val="subscript"/>
        <sz val="12"/>
        <rFont val="Myriad Pro"/>
        <family val="2"/>
      </rPr>
      <t>links</t>
    </r>
    <r>
      <rPr>
        <sz val="12"/>
        <rFont val="Myriad Pro"/>
        <family val="2"/>
      </rPr>
      <t xml:space="preserve"> =</t>
    </r>
  </si>
  <si>
    <r>
      <t>Überdeckung d</t>
    </r>
    <r>
      <rPr>
        <vertAlign val="subscript"/>
        <sz val="12"/>
        <rFont val="Myriad Pro"/>
        <family val="2"/>
      </rPr>
      <t xml:space="preserve">rechts </t>
    </r>
    <r>
      <rPr>
        <sz val="12"/>
        <rFont val="Myriad Pro"/>
        <family val="2"/>
      </rPr>
      <t>=</t>
    </r>
  </si>
  <si>
    <r>
      <t>Überdeckung d</t>
    </r>
    <r>
      <rPr>
        <vertAlign val="subscript"/>
        <sz val="12"/>
        <rFont val="Myriad Pro"/>
        <family val="2"/>
      </rPr>
      <t>unten</t>
    </r>
    <r>
      <rPr>
        <sz val="12"/>
        <rFont val="Myriad Pro"/>
        <family val="2"/>
      </rPr>
      <t>=</t>
    </r>
  </si>
  <si>
    <r>
      <rPr>
        <sz val="12"/>
        <rFont val="Calibri"/>
        <family val="2"/>
      </rPr>
      <t>β</t>
    </r>
    <r>
      <rPr>
        <vertAlign val="subscript"/>
        <sz val="12"/>
        <rFont val="Myriad Pro"/>
        <family val="2"/>
      </rPr>
      <t>n</t>
    </r>
    <r>
      <rPr>
        <sz val="12"/>
        <rFont val="Myriad Pro"/>
        <family val="2"/>
      </rPr>
      <t xml:space="preserve"> [mm/min]</t>
    </r>
  </si>
  <si>
    <t>KNAPP®-Schrauben nach ETA-10/0189</t>
  </si>
  <si>
    <r>
      <t>Breite B</t>
    </r>
    <r>
      <rPr>
        <vertAlign val="subscript"/>
        <sz val="12"/>
        <rFont val="Myriad Pro"/>
        <family val="2"/>
      </rPr>
      <t>N</t>
    </r>
  </si>
  <si>
    <r>
      <t>Höhe H</t>
    </r>
    <r>
      <rPr>
        <vertAlign val="subscript"/>
        <sz val="12"/>
        <rFont val="Myriad Pro"/>
        <family val="2"/>
      </rPr>
      <t>N</t>
    </r>
  </si>
  <si>
    <r>
      <t>Height joist H</t>
    </r>
    <r>
      <rPr>
        <vertAlign val="subscript"/>
        <sz val="12"/>
        <rFont val="Myriad Pro Light"/>
        <family val="2"/>
      </rPr>
      <t>N</t>
    </r>
    <r>
      <rPr>
        <sz val="12"/>
        <rFont val="Myriad Pro Light"/>
        <family val="2"/>
      </rPr>
      <t xml:space="preserve"> =</t>
    </r>
  </si>
  <si>
    <r>
      <t>Distance t</t>
    </r>
    <r>
      <rPr>
        <vertAlign val="subscript"/>
        <sz val="12"/>
        <rFont val="Myriad Pro Light"/>
        <family val="2"/>
      </rPr>
      <t>1</t>
    </r>
    <r>
      <rPr>
        <sz val="12"/>
        <rFont val="Myriad Pro Light"/>
        <family val="2"/>
      </rPr>
      <t xml:space="preserve"> =</t>
    </r>
  </si>
  <si>
    <r>
      <t>Distance t</t>
    </r>
    <r>
      <rPr>
        <vertAlign val="subscript"/>
        <sz val="12"/>
        <rFont val="Myriad Pro Light"/>
        <family val="2"/>
      </rPr>
      <t>2</t>
    </r>
    <r>
      <rPr>
        <sz val="12"/>
        <rFont val="Myriad Pro Light"/>
        <family val="2"/>
      </rPr>
      <t xml:space="preserve"> =</t>
    </r>
  </si>
  <si>
    <r>
      <t>Abstand a</t>
    </r>
    <r>
      <rPr>
        <vertAlign val="subscript"/>
        <sz val="12"/>
        <rFont val="Myriad Pro Light"/>
        <family val="2"/>
      </rPr>
      <t>c</t>
    </r>
  </si>
  <si>
    <r>
      <t>Abstand e</t>
    </r>
    <r>
      <rPr>
        <vertAlign val="subscript"/>
        <sz val="12"/>
        <rFont val="Myriad Pro Light"/>
        <family val="2"/>
      </rPr>
      <t>1</t>
    </r>
  </si>
  <si>
    <r>
      <t>n</t>
    </r>
    <r>
      <rPr>
        <vertAlign val="subscript"/>
        <sz val="12"/>
        <rFont val="Myriad Pro Light"/>
        <family val="2"/>
      </rPr>
      <t>ef</t>
    </r>
  </si>
  <si>
    <r>
      <t>Mittiger / Ausmittiger Zugkraft F</t>
    </r>
    <r>
      <rPr>
        <vertAlign val="subscript"/>
        <sz val="12"/>
        <rFont val="Myriad Pro Light"/>
        <family val="2"/>
      </rPr>
      <t xml:space="preserve">1,Rd </t>
    </r>
    <r>
      <rPr>
        <sz val="12"/>
        <rFont val="Myriad Pro Light"/>
        <family val="2"/>
      </rPr>
      <t>[kN]</t>
    </r>
  </si>
  <si>
    <r>
      <t>Mittige/Ausmittige Zugkraft 
F</t>
    </r>
    <r>
      <rPr>
        <vertAlign val="subscript"/>
        <sz val="12"/>
        <rFont val="Myriad Pro"/>
        <family val="2"/>
      </rPr>
      <t xml:space="preserve">1,d </t>
    </r>
  </si>
  <si>
    <t>eff. Scr-Stk.</t>
  </si>
  <si>
    <r>
      <t>n</t>
    </r>
    <r>
      <rPr>
        <vertAlign val="subscript"/>
        <sz val="12"/>
        <rFont val="Myriad Pro Light"/>
        <family val="2"/>
      </rPr>
      <t xml:space="preserve">ef </t>
    </r>
    <r>
      <rPr>
        <sz val="12"/>
        <rFont val="Myriad Pro Light"/>
        <family val="2"/>
      </rPr>
      <t>[Stk.]</t>
    </r>
  </si>
  <si>
    <r>
      <t>f</t>
    </r>
    <r>
      <rPr>
        <vertAlign val="subscript"/>
        <sz val="12"/>
        <rFont val="Myriad Pro"/>
        <family val="2"/>
      </rPr>
      <t>tens,k</t>
    </r>
    <r>
      <rPr>
        <sz val="12"/>
        <rFont val="Myriad Pro"/>
        <family val="2"/>
      </rPr>
      <t xml:space="preserve">  [kN]</t>
    </r>
  </si>
  <si>
    <r>
      <t xml:space="preserve"> M</t>
    </r>
    <r>
      <rPr>
        <vertAlign val="subscript"/>
        <sz val="12"/>
        <rFont val="Myriad Pro"/>
        <family val="2"/>
      </rPr>
      <t>y,k</t>
    </r>
    <r>
      <rPr>
        <sz val="12"/>
        <rFont val="Myriad Pro"/>
        <family val="2"/>
      </rPr>
      <t xml:space="preserve"> [Nm]</t>
    </r>
  </si>
  <si>
    <t>Verbinder-höhe [mm]</t>
  </si>
  <si>
    <t>Verbinder-breite [mm]</t>
  </si>
  <si>
    <t>d(H) [mm]</t>
  </si>
  <si>
    <t>L(H) [mm]</t>
  </si>
  <si>
    <t>VS… verschweißter Kragenbolzen</t>
  </si>
  <si>
    <t>k./s.kurz</t>
  </si>
  <si>
    <t>GL30c</t>
  </si>
  <si>
    <t>GL28h</t>
  </si>
  <si>
    <t>GL30h</t>
  </si>
  <si>
    <t xml:space="preserve">Lastfall Beschreibung: </t>
  </si>
  <si>
    <r>
      <rPr>
        <b/>
        <sz val="12"/>
        <rFont val="Myriad Pro"/>
        <family val="2"/>
      </rPr>
      <t>g</t>
    </r>
    <r>
      <rPr>
        <sz val="12"/>
        <rFont val="Myriad Pro"/>
        <family val="2"/>
      </rPr>
      <t xml:space="preserve"> : Eigengewicht Konstruktion  </t>
    </r>
    <r>
      <rPr>
        <b/>
        <sz val="12"/>
        <rFont val="Myriad Pro"/>
        <family val="2"/>
      </rPr>
      <t>s</t>
    </r>
    <r>
      <rPr>
        <sz val="12"/>
        <rFont val="Myriad Pro"/>
        <family val="2"/>
      </rPr>
      <t xml:space="preserve">: Schnee </t>
    </r>
    <r>
      <rPr>
        <b/>
        <sz val="12"/>
        <rFont val="Myriad Pro"/>
        <family val="2"/>
      </rPr>
      <t>n</t>
    </r>
    <r>
      <rPr>
        <sz val="12"/>
        <rFont val="Myriad Pro"/>
        <family val="2"/>
      </rPr>
      <t xml:space="preserve">: Nutzlast (Verkehrslast in Gebäuden)  </t>
    </r>
    <r>
      <rPr>
        <b/>
        <sz val="12"/>
        <rFont val="Myriad Pro"/>
        <family val="2"/>
      </rPr>
      <t>wd</t>
    </r>
    <r>
      <rPr>
        <sz val="12"/>
        <rFont val="Myriad Pro"/>
        <family val="2"/>
      </rPr>
      <t xml:space="preserve">: Winddruck  </t>
    </r>
    <r>
      <rPr>
        <b/>
        <sz val="12"/>
        <rFont val="Myriad Pro"/>
        <family val="2"/>
      </rPr>
      <t>ws</t>
    </r>
    <r>
      <rPr>
        <sz val="12"/>
        <rFont val="Myriad Pro"/>
        <family val="2"/>
      </rPr>
      <t>: Windsog (Abhebende Dachlasten)</t>
    </r>
  </si>
  <si>
    <t>Brettschichtholz homogen</t>
  </si>
  <si>
    <t>Brettschichtholz kombiniert</t>
  </si>
  <si>
    <t>VS verschweißter Kragenbolzen</t>
  </si>
  <si>
    <t>KNAPP® Schrauben:</t>
  </si>
  <si>
    <t>Ausgewählter KNAPP® RICON® S Anschluss:</t>
  </si>
  <si>
    <t>(Fichte, Lärche, Tanne)</t>
  </si>
  <si>
    <t>(Fichte, Lärche, Tanne, Douglasie)</t>
  </si>
  <si>
    <t>Nadelvollholz/KVH</t>
  </si>
  <si>
    <t>Verschweißter Kragenbolzen</t>
  </si>
  <si>
    <t>RICON S 390x80 VS+ZP</t>
  </si>
  <si>
    <t>kax =</t>
  </si>
  <si>
    <r>
      <t xml:space="preserve">Winkel </t>
    </r>
    <r>
      <rPr>
        <sz val="12"/>
        <rFont val="Symbol"/>
        <family val="1"/>
        <charset val="2"/>
      </rPr>
      <t>a</t>
    </r>
    <r>
      <rPr>
        <sz val="12"/>
        <rFont val="Myriad Pro Light"/>
        <family val="2"/>
      </rPr>
      <t xml:space="preserve"> =</t>
    </r>
  </si>
  <si>
    <t>kax=</t>
  </si>
  <si>
    <t>RICON S 390x80 VS+ZP max</t>
  </si>
  <si>
    <t>F2,IS,Rk =</t>
  </si>
  <si>
    <r>
      <t>F</t>
    </r>
    <r>
      <rPr>
        <vertAlign val="subscript"/>
        <sz val="11"/>
        <color indexed="8"/>
        <rFont val="Calibri"/>
        <family val="2"/>
      </rPr>
      <t>ax</t>
    </r>
    <r>
      <rPr>
        <vertAlign val="subscript"/>
        <sz val="11"/>
        <color indexed="8"/>
        <rFont val="Calibri"/>
        <family val="2"/>
      </rPr>
      <t>,H,Rk</t>
    </r>
  </si>
  <si>
    <t>Nebenträger</t>
  </si>
  <si>
    <t>Hauptträger</t>
  </si>
  <si>
    <t>Draufsicht:</t>
  </si>
  <si>
    <t>GL32c</t>
  </si>
  <si>
    <t>GL32h</t>
  </si>
  <si>
    <t>CLT</t>
  </si>
  <si>
    <t>Brettsperrholz</t>
  </si>
  <si>
    <t>VS + ZP verschweißter Kragenbolzen + Zusatzplatte</t>
  </si>
  <si>
    <t>t [mm]</t>
  </si>
  <si>
    <t xml:space="preserve">Abstand </t>
  </si>
  <si>
    <t>Eingabefelder</t>
  </si>
  <si>
    <t>Ergebnisse OK</t>
  </si>
  <si>
    <t>Ergebnisse nicht OK</t>
  </si>
  <si>
    <r>
      <t xml:space="preserve">screws length </t>
    </r>
    <r>
      <rPr>
        <sz val="12"/>
        <rFont val="Calibri"/>
        <family val="2"/>
      </rPr>
      <t>≥</t>
    </r>
    <r>
      <rPr>
        <sz val="12"/>
        <rFont val="Myriad Pro Light"/>
        <family val="2"/>
      </rPr>
      <t xml:space="preserve"> 100mm</t>
    </r>
  </si>
  <si>
    <t>screws length &lt; 100mm</t>
  </si>
  <si>
    <r>
      <t>n</t>
    </r>
    <r>
      <rPr>
        <vertAlign val="subscript"/>
        <sz val="12"/>
        <rFont val="Myriad Pro Light"/>
        <family val="2"/>
      </rPr>
      <t>45</t>
    </r>
  </si>
  <si>
    <r>
      <t>S</t>
    </r>
    <r>
      <rPr>
        <vertAlign val="subscript"/>
        <sz val="12"/>
        <rFont val="Myriad Pro Light"/>
        <family val="2"/>
      </rPr>
      <t>H,45</t>
    </r>
  </si>
  <si>
    <r>
      <t>S</t>
    </r>
    <r>
      <rPr>
        <vertAlign val="subscript"/>
        <sz val="12"/>
        <rFont val="Myriad Pro Light"/>
        <family val="2"/>
      </rPr>
      <t>J,45</t>
    </r>
  </si>
  <si>
    <t>Distance t =</t>
  </si>
  <si>
    <t>Determination of the center of gravity of the connector plate</t>
  </si>
  <si>
    <r>
      <t>F</t>
    </r>
    <r>
      <rPr>
        <b/>
        <vertAlign val="subscript"/>
        <sz val="18"/>
        <rFont val="Myriad Pro"/>
        <family val="2"/>
      </rPr>
      <t>45,d</t>
    </r>
  </si>
  <si>
    <r>
      <t>F</t>
    </r>
    <r>
      <rPr>
        <b/>
        <vertAlign val="subscript"/>
        <sz val="18"/>
        <rFont val="Myriad Pro"/>
        <family val="2"/>
      </rPr>
      <t>2,d</t>
    </r>
    <r>
      <rPr>
        <b/>
        <sz val="18"/>
        <rFont val="Myriad Pro"/>
        <family val="2"/>
      </rPr>
      <t xml:space="preserve">         F</t>
    </r>
    <r>
      <rPr>
        <b/>
        <vertAlign val="subscript"/>
        <sz val="18"/>
        <rFont val="Myriad Pro"/>
        <family val="2"/>
      </rPr>
      <t xml:space="preserve">3,d </t>
    </r>
  </si>
  <si>
    <t>Schwerpunkt</t>
  </si>
  <si>
    <t>Ausklinkungsnachweis im Nebenträger nach EN 1995-1-1 Kap. 6.5.2:</t>
  </si>
  <si>
    <t>Überprüfung des Ausklinkungsverhälnis im Nebenträger:</t>
  </si>
  <si>
    <t>Ausklinkungsberechnung nach EN 1995-1-1 Kap. 6.5.2:</t>
  </si>
  <si>
    <t>Schub fv,k</t>
  </si>
  <si>
    <t>[N/mm²]</t>
  </si>
  <si>
    <t>Faktor kcr</t>
  </si>
  <si>
    <t>Faktor kn</t>
  </si>
  <si>
    <r>
      <rPr>
        <b/>
        <sz val="12"/>
        <rFont val="Symbol"/>
        <family val="1"/>
        <charset val="2"/>
      </rPr>
      <t xml:space="preserve">a </t>
    </r>
    <r>
      <rPr>
        <b/>
        <sz val="12"/>
        <rFont val="Myriad Pro Light"/>
        <family val="2"/>
      </rPr>
      <t>= h</t>
    </r>
    <r>
      <rPr>
        <b/>
        <vertAlign val="subscript"/>
        <sz val="12"/>
        <rFont val="Myriad Pro Light"/>
        <family val="2"/>
      </rPr>
      <t>ef</t>
    </r>
    <r>
      <rPr>
        <b/>
        <sz val="12"/>
        <rFont val="Myriad Pro Light"/>
        <family val="2"/>
      </rPr>
      <t>/H</t>
    </r>
    <r>
      <rPr>
        <b/>
        <vertAlign val="subscript"/>
        <sz val="12"/>
        <rFont val="Myriad Pro Light"/>
        <family val="2"/>
      </rPr>
      <t>N</t>
    </r>
    <r>
      <rPr>
        <b/>
        <sz val="12"/>
        <rFont val="Myriad Pro Light"/>
        <family val="2"/>
      </rPr>
      <t xml:space="preserve"> =</t>
    </r>
  </si>
  <si>
    <r>
      <t xml:space="preserve">Das Ausklinkungsverhältnis </t>
    </r>
    <r>
      <rPr>
        <sz val="12"/>
        <rFont val="Symbol"/>
        <family val="1"/>
        <charset val="2"/>
      </rPr>
      <t>a</t>
    </r>
    <r>
      <rPr>
        <sz val="12"/>
        <rFont val="Myriad Pro"/>
        <family val="2"/>
      </rPr>
      <t xml:space="preserve"> = h</t>
    </r>
    <r>
      <rPr>
        <vertAlign val="subscript"/>
        <sz val="12"/>
        <rFont val="Myriad Pro"/>
        <family val="2"/>
      </rPr>
      <t>ef</t>
    </r>
    <r>
      <rPr>
        <sz val="12"/>
        <rFont val="Myriad Pro"/>
        <family val="2"/>
      </rPr>
      <t xml:space="preserve"> / H</t>
    </r>
    <r>
      <rPr>
        <vertAlign val="subscript"/>
        <sz val="12"/>
        <rFont val="Myriad Pro"/>
        <family val="2"/>
      </rPr>
      <t>N</t>
    </r>
    <r>
      <rPr>
        <sz val="12"/>
        <rFont val="Myriad Pro"/>
        <family val="2"/>
      </rPr>
      <t xml:space="preserve"> &gt; 0,60 sein.</t>
    </r>
  </si>
  <si>
    <t>[ - ]</t>
  </si>
  <si>
    <t>Abstand x =</t>
  </si>
  <si>
    <t>b =</t>
  </si>
  <si>
    <t>Charakteristische Tragfähigkeit der Ausklinkung:</t>
  </si>
  <si>
    <t>kN</t>
  </si>
  <si>
    <r>
      <t>F</t>
    </r>
    <r>
      <rPr>
        <vertAlign val="subscript"/>
        <sz val="12"/>
        <rFont val="Myriad Pro Light"/>
        <family val="2"/>
      </rPr>
      <t xml:space="preserve">2,d </t>
    </r>
    <r>
      <rPr>
        <sz val="12"/>
        <rFont val="Myriad Pro Light"/>
        <family val="2"/>
      </rPr>
      <t xml:space="preserve">
[kN]</t>
    </r>
  </si>
  <si>
    <r>
      <t>F</t>
    </r>
    <r>
      <rPr>
        <vertAlign val="subscript"/>
        <sz val="12"/>
        <rFont val="Myriad Pro Light"/>
        <family val="2"/>
      </rPr>
      <t>Rd</t>
    </r>
    <r>
      <rPr>
        <sz val="12"/>
        <rFont val="Myriad Pro Light"/>
        <family val="2"/>
      </rPr>
      <t xml:space="preserve">
[kN]</t>
    </r>
  </si>
  <si>
    <t>Nachweise</t>
  </si>
  <si>
    <r>
      <rPr>
        <sz val="12"/>
        <rFont val="Symbol"/>
        <family val="1"/>
        <charset val="2"/>
      </rPr>
      <t xml:space="preserve">a </t>
    </r>
    <r>
      <rPr>
        <sz val="12"/>
        <rFont val="Myriad Pro Light"/>
        <family val="2"/>
      </rPr>
      <t>= h</t>
    </r>
    <r>
      <rPr>
        <vertAlign val="subscript"/>
        <sz val="12"/>
        <rFont val="Myriad Pro Light"/>
        <family val="2"/>
      </rPr>
      <t>ef</t>
    </r>
    <r>
      <rPr>
        <sz val="12"/>
        <rFont val="Myriad Pro Light"/>
        <family val="2"/>
      </rPr>
      <t>/H</t>
    </r>
    <r>
      <rPr>
        <vertAlign val="subscript"/>
        <sz val="12"/>
        <rFont val="Myriad Pro Light"/>
        <family val="2"/>
      </rPr>
      <t>N</t>
    </r>
    <r>
      <rPr>
        <sz val="12"/>
        <rFont val="Myriad Pro Light"/>
        <family val="2"/>
      </rPr>
      <t xml:space="preserve"> =</t>
    </r>
  </si>
  <si>
    <t>Nachweisüberprüfung:</t>
  </si>
  <si>
    <r>
      <t>Querkraft F</t>
    </r>
    <r>
      <rPr>
        <vertAlign val="subscript"/>
        <sz val="12"/>
        <rFont val="Myriad Pro"/>
        <family val="2"/>
      </rPr>
      <t>2,d</t>
    </r>
  </si>
  <si>
    <r>
      <t>F</t>
    </r>
    <r>
      <rPr>
        <vertAlign val="subscript"/>
        <sz val="12"/>
        <rFont val="Myriad Pro"/>
        <family val="2"/>
      </rPr>
      <t>Rd</t>
    </r>
  </si>
  <si>
    <r>
      <t>f</t>
    </r>
    <r>
      <rPr>
        <vertAlign val="subscript"/>
        <sz val="12"/>
        <rFont val="Myriad Pro Light"/>
        <family val="2"/>
      </rPr>
      <t xml:space="preserve">v,k </t>
    </r>
    <r>
      <rPr>
        <sz val="12"/>
        <rFont val="Myriad Pro Light"/>
        <family val="2"/>
      </rPr>
      <t>=</t>
    </r>
  </si>
  <si>
    <r>
      <t>k</t>
    </r>
    <r>
      <rPr>
        <vertAlign val="subscript"/>
        <sz val="12"/>
        <rFont val="Myriad Pro Light"/>
        <family val="2"/>
      </rPr>
      <t>cr</t>
    </r>
    <r>
      <rPr>
        <sz val="12"/>
        <rFont val="Myriad Pro Light"/>
        <family val="2"/>
      </rPr>
      <t xml:space="preserve"> =</t>
    </r>
  </si>
  <si>
    <r>
      <t>k</t>
    </r>
    <r>
      <rPr>
        <vertAlign val="subscript"/>
        <sz val="12"/>
        <rFont val="Myriad Pro Light"/>
        <family val="2"/>
      </rPr>
      <t>n</t>
    </r>
    <r>
      <rPr>
        <sz val="12"/>
        <rFont val="Myriad Pro Light"/>
        <family val="2"/>
      </rPr>
      <t xml:space="preserve"> =</t>
    </r>
  </si>
  <si>
    <r>
      <t>H</t>
    </r>
    <r>
      <rPr>
        <vertAlign val="subscript"/>
        <sz val="12"/>
        <rFont val="Myriad Pro Light"/>
        <family val="2"/>
      </rPr>
      <t>N</t>
    </r>
    <r>
      <rPr>
        <sz val="12"/>
        <rFont val="Myriad Pro Light"/>
        <family val="2"/>
      </rPr>
      <t xml:space="preserve"> =</t>
    </r>
  </si>
  <si>
    <r>
      <t>h</t>
    </r>
    <r>
      <rPr>
        <vertAlign val="subscript"/>
        <sz val="12"/>
        <rFont val="Myriad Pro Light"/>
        <family val="2"/>
      </rPr>
      <t>ef</t>
    </r>
    <r>
      <rPr>
        <sz val="12"/>
        <rFont val="Myriad Pro Light"/>
        <family val="2"/>
      </rPr>
      <t xml:space="preserve"> =</t>
    </r>
  </si>
  <si>
    <r>
      <t>Faktor k</t>
    </r>
    <r>
      <rPr>
        <vertAlign val="subscript"/>
        <sz val="12"/>
        <rFont val="Myriad Pro Light"/>
        <family val="2"/>
      </rPr>
      <t>v</t>
    </r>
    <r>
      <rPr>
        <sz val="12"/>
        <rFont val="Myriad Pro Light"/>
        <family val="2"/>
      </rPr>
      <t xml:space="preserve"> =</t>
    </r>
  </si>
  <si>
    <r>
      <t>F</t>
    </r>
    <r>
      <rPr>
        <vertAlign val="subscript"/>
        <sz val="12"/>
        <rFont val="Myriad Pro Light"/>
        <family val="2"/>
      </rPr>
      <t>Rk</t>
    </r>
    <r>
      <rPr>
        <sz val="12"/>
        <rFont val="Myriad Pro Light"/>
        <family val="2"/>
      </rPr>
      <t xml:space="preserve"> =</t>
    </r>
  </si>
  <si>
    <r>
      <t xml:space="preserve">Sicherheitsbeiwert </t>
    </r>
    <r>
      <rPr>
        <sz val="12"/>
        <rFont val="Symbol"/>
        <family val="1"/>
        <charset val="2"/>
      </rPr>
      <t>g</t>
    </r>
    <r>
      <rPr>
        <vertAlign val="subscript"/>
        <sz val="12"/>
        <rFont val="Myriad Pro"/>
        <family val="2"/>
      </rPr>
      <t>M</t>
    </r>
    <r>
      <rPr>
        <sz val="12"/>
        <rFont val="Myriad Pro"/>
        <family val="2"/>
      </rPr>
      <t xml:space="preserve"> =</t>
    </r>
  </si>
  <si>
    <r>
      <t>k</t>
    </r>
    <r>
      <rPr>
        <vertAlign val="subscript"/>
        <sz val="12"/>
        <rFont val="Myriad Pro Light"/>
        <family val="2"/>
      </rPr>
      <t>mod</t>
    </r>
  </si>
  <si>
    <t>Brandbemessung nach EN 1995-1-2:</t>
  </si>
  <si>
    <t>cm²</t>
  </si>
  <si>
    <r>
      <t>Breite B</t>
    </r>
    <r>
      <rPr>
        <vertAlign val="subscript"/>
        <sz val="12"/>
        <rFont val="Myriad Pro"/>
        <family val="2"/>
      </rPr>
      <t>N</t>
    </r>
    <r>
      <rPr>
        <sz val="12"/>
        <rFont val="Myriad Pro"/>
        <family val="2"/>
      </rPr>
      <t xml:space="preserve"> =</t>
    </r>
  </si>
  <si>
    <r>
      <t>Fläche A</t>
    </r>
    <r>
      <rPr>
        <vertAlign val="subscript"/>
        <sz val="12"/>
        <rFont val="Myriad Pro"/>
        <family val="2"/>
      </rPr>
      <t>stat</t>
    </r>
    <r>
      <rPr>
        <sz val="12"/>
        <rFont val="Myriad Pro"/>
        <family val="2"/>
      </rPr>
      <t xml:space="preserve"> =</t>
    </r>
  </si>
  <si>
    <t>Höhe hef ermitteln:</t>
  </si>
  <si>
    <t>Verbinder</t>
  </si>
  <si>
    <t>Abzug</t>
  </si>
  <si>
    <t>hef</t>
  </si>
  <si>
    <t xml:space="preserve">RICON S Länge </t>
  </si>
  <si>
    <t>red. Länge</t>
  </si>
  <si>
    <t>ASSY [ ETA-11/0190]</t>
  </si>
  <si>
    <t>RAPID STARDRIVE Gruppe E [ETA-12/0373]</t>
  </si>
  <si>
    <t>Spax [ETA-20/0385]</t>
  </si>
  <si>
    <r>
      <rPr>
        <b/>
        <sz val="12"/>
        <rFont val="Myriad Pro"/>
        <family val="2"/>
      </rPr>
      <t>Nach EN 1995-1-2 Abschnitt 4.3.1 (2):</t>
    </r>
    <r>
      <rPr>
        <sz val="12"/>
        <rFont val="Myriad Pro"/>
        <family val="2"/>
      </rPr>
      <t xml:space="preserve"> Eine Schubbeanspruchung darf in rechteckigen und runden Querschnitten vernachlässigt werden. Für ausgeklinkte Träger sollte nachgewiesen werden, dass als Restquerschnitt im Bereich der Ausklinkung mindestens 60% des bei Bemessung unter Normaltemperatur erforderlichen Querschnitt verbleiben.</t>
    </r>
  </si>
  <si>
    <r>
      <t>Ausklinkungsfläche A</t>
    </r>
    <r>
      <rPr>
        <vertAlign val="subscript"/>
        <sz val="12"/>
        <rFont val="Myriad Pro"/>
        <family val="2"/>
      </rPr>
      <t>ef</t>
    </r>
    <r>
      <rPr>
        <sz val="12"/>
        <rFont val="Myriad Pro"/>
        <family val="2"/>
      </rPr>
      <t xml:space="preserve"> =</t>
    </r>
  </si>
  <si>
    <r>
      <t>A</t>
    </r>
    <r>
      <rPr>
        <vertAlign val="subscript"/>
        <sz val="12"/>
        <rFont val="Myriad Pro"/>
        <family val="2"/>
      </rPr>
      <t>ef</t>
    </r>
    <r>
      <rPr>
        <sz val="12"/>
        <rFont val="Myriad Pro"/>
        <family val="2"/>
      </rPr>
      <t xml:space="preserve"> = B</t>
    </r>
    <r>
      <rPr>
        <vertAlign val="subscript"/>
        <sz val="12"/>
        <rFont val="Myriad Pro"/>
        <family val="2"/>
      </rPr>
      <t>N</t>
    </r>
    <r>
      <rPr>
        <sz val="12"/>
        <rFont val="Myriad Pro"/>
        <family val="2"/>
      </rPr>
      <t xml:space="preserve"> x h</t>
    </r>
    <r>
      <rPr>
        <vertAlign val="subscript"/>
        <sz val="12"/>
        <rFont val="Myriad Pro"/>
        <family val="2"/>
      </rPr>
      <t>ef</t>
    </r>
  </si>
  <si>
    <r>
      <t>B</t>
    </r>
    <r>
      <rPr>
        <vertAlign val="subscript"/>
        <sz val="12"/>
        <rFont val="Myriad Pro"/>
        <family val="2"/>
      </rPr>
      <t>N</t>
    </r>
    <r>
      <rPr>
        <sz val="12"/>
        <rFont val="Myriad Pro"/>
        <family val="2"/>
      </rPr>
      <t xml:space="preserve"> =</t>
    </r>
  </si>
  <si>
    <r>
      <t>Ausklinkungsfläche: A</t>
    </r>
    <r>
      <rPr>
        <vertAlign val="subscript"/>
        <sz val="12"/>
        <rFont val="Myriad Pro"/>
        <family val="2"/>
      </rPr>
      <t>ef</t>
    </r>
    <r>
      <rPr>
        <sz val="12"/>
        <rFont val="Myriad Pro"/>
        <family val="2"/>
      </rPr>
      <t xml:space="preserve"> = B</t>
    </r>
    <r>
      <rPr>
        <vertAlign val="subscript"/>
        <sz val="12"/>
        <rFont val="Myriad Pro"/>
        <family val="2"/>
      </rPr>
      <t>N</t>
    </r>
    <r>
      <rPr>
        <sz val="12"/>
        <rFont val="Myriad Pro"/>
        <family val="2"/>
      </rPr>
      <t xml:space="preserve"> x h</t>
    </r>
    <r>
      <rPr>
        <vertAlign val="subscript"/>
        <sz val="12"/>
        <rFont val="Myriad Pro"/>
        <family val="2"/>
      </rPr>
      <t>ef</t>
    </r>
  </si>
  <si>
    <r>
      <t>Fläche A</t>
    </r>
    <r>
      <rPr>
        <vertAlign val="subscript"/>
        <sz val="12"/>
        <rFont val="Myriad Pro"/>
        <family val="2"/>
      </rPr>
      <t>stat,erf,60%</t>
    </r>
    <r>
      <rPr>
        <sz val="12"/>
        <rFont val="Myriad Pro"/>
        <family val="2"/>
      </rPr>
      <t xml:space="preserve"> =</t>
    </r>
  </si>
  <si>
    <r>
      <t>A</t>
    </r>
    <r>
      <rPr>
        <vertAlign val="subscript"/>
        <sz val="12"/>
        <rFont val="Myriad Pro"/>
        <family val="2"/>
      </rPr>
      <t>stat,erf,60%</t>
    </r>
    <r>
      <rPr>
        <sz val="12"/>
        <rFont val="Myriad Pro"/>
        <family val="2"/>
      </rPr>
      <t xml:space="preserve">  = A</t>
    </r>
    <r>
      <rPr>
        <vertAlign val="subscript"/>
        <sz val="12"/>
        <rFont val="Myriad Pro"/>
        <family val="2"/>
      </rPr>
      <t>stat</t>
    </r>
    <r>
      <rPr>
        <sz val="12"/>
        <rFont val="Myriad Pro"/>
        <family val="2"/>
      </rPr>
      <t xml:space="preserve"> x 0,60</t>
    </r>
  </si>
  <si>
    <r>
      <t>A</t>
    </r>
    <r>
      <rPr>
        <vertAlign val="subscript"/>
        <sz val="12"/>
        <rFont val="Myriad Pro"/>
        <family val="2"/>
      </rPr>
      <t xml:space="preserve">stat </t>
    </r>
    <r>
      <rPr>
        <sz val="12"/>
        <rFont val="Myriad Pro"/>
        <family val="2"/>
      </rPr>
      <t>= A</t>
    </r>
    <r>
      <rPr>
        <vertAlign val="subscript"/>
        <sz val="12"/>
        <rFont val="Myriad Pro"/>
        <family val="2"/>
      </rPr>
      <t>ef</t>
    </r>
    <r>
      <rPr>
        <sz val="12"/>
        <rFont val="Myriad Pro"/>
        <family val="2"/>
      </rPr>
      <t xml:space="preserve"> x </t>
    </r>
    <r>
      <rPr>
        <sz val="12"/>
        <rFont val="Symbol"/>
        <family val="1"/>
        <charset val="2"/>
      </rPr>
      <t>h</t>
    </r>
  </si>
  <si>
    <r>
      <t xml:space="preserve">max. Schub Auslastung  </t>
    </r>
    <r>
      <rPr>
        <sz val="12"/>
        <rFont val="Symbol"/>
        <family val="1"/>
        <charset val="2"/>
      </rPr>
      <t>h</t>
    </r>
    <r>
      <rPr>
        <sz val="12"/>
        <rFont val="Myriad Pro"/>
        <family val="2"/>
      </rPr>
      <t xml:space="preserve"> =</t>
    </r>
  </si>
  <si>
    <r>
      <t>Restbreite nach Beflammung: B</t>
    </r>
    <r>
      <rPr>
        <vertAlign val="subscript"/>
        <sz val="12"/>
        <rFont val="Myriad Pro"/>
        <family val="2"/>
      </rPr>
      <t xml:space="preserve">befl </t>
    </r>
    <r>
      <rPr>
        <sz val="12"/>
        <rFont val="Myriad Pro"/>
        <family val="2"/>
      </rPr>
      <t>=</t>
    </r>
  </si>
  <si>
    <r>
      <t>Restfläche nach Beflammung: Fläche A</t>
    </r>
    <r>
      <rPr>
        <vertAlign val="subscript"/>
        <sz val="12"/>
        <rFont val="Myriad Pro"/>
        <family val="2"/>
      </rPr>
      <t xml:space="preserve">befl </t>
    </r>
    <r>
      <rPr>
        <sz val="12"/>
        <rFont val="Myriad Pro"/>
        <family val="2"/>
      </rPr>
      <t>=</t>
    </r>
  </si>
  <si>
    <r>
      <t>B</t>
    </r>
    <r>
      <rPr>
        <vertAlign val="subscript"/>
        <sz val="12"/>
        <rFont val="Myriad Pro"/>
        <family val="2"/>
      </rPr>
      <t>befl</t>
    </r>
    <r>
      <rPr>
        <sz val="12"/>
        <rFont val="Myriad Pro"/>
        <family val="2"/>
      </rPr>
      <t xml:space="preserve"> = B</t>
    </r>
    <r>
      <rPr>
        <vertAlign val="subscript"/>
        <sz val="12"/>
        <rFont val="Myriad Pro"/>
        <family val="2"/>
      </rPr>
      <t>N</t>
    </r>
    <r>
      <rPr>
        <sz val="12"/>
        <rFont val="Myriad Pro"/>
        <family val="2"/>
      </rPr>
      <t xml:space="preserve"> - 2 x d</t>
    </r>
    <r>
      <rPr>
        <vertAlign val="subscript"/>
        <sz val="12"/>
        <rFont val="Myriad Pro"/>
        <family val="2"/>
      </rPr>
      <t>ef</t>
    </r>
  </si>
  <si>
    <t>Verhältnis:</t>
  </si>
  <si>
    <r>
      <rPr>
        <b/>
        <sz val="14"/>
        <rFont val="Symbol"/>
        <family val="1"/>
        <charset val="2"/>
      </rPr>
      <t xml:space="preserve">a </t>
    </r>
    <r>
      <rPr>
        <b/>
        <sz val="14"/>
        <rFont val="Myriad Pro Light"/>
        <family val="2"/>
      </rPr>
      <t>= h</t>
    </r>
    <r>
      <rPr>
        <b/>
        <vertAlign val="subscript"/>
        <sz val="14"/>
        <rFont val="Myriad Pro Light"/>
        <family val="2"/>
      </rPr>
      <t>ef</t>
    </r>
    <r>
      <rPr>
        <b/>
        <sz val="14"/>
        <rFont val="Myriad Pro Light"/>
        <family val="2"/>
      </rPr>
      <t>/H</t>
    </r>
    <r>
      <rPr>
        <b/>
        <vertAlign val="subscript"/>
        <sz val="14"/>
        <rFont val="Myriad Pro Light"/>
        <family val="2"/>
      </rPr>
      <t>N</t>
    </r>
    <r>
      <rPr>
        <b/>
        <sz val="14"/>
        <rFont val="Myriad Pro Light"/>
        <family val="2"/>
      </rPr>
      <t xml:space="preserve"> =</t>
    </r>
  </si>
  <si>
    <r>
      <t>F</t>
    </r>
    <r>
      <rPr>
        <b/>
        <vertAlign val="subscript"/>
        <sz val="14"/>
        <rFont val="Myriad Pro"/>
        <family val="2"/>
      </rPr>
      <t>2,d</t>
    </r>
    <r>
      <rPr>
        <b/>
        <sz val="14"/>
        <rFont val="Myriad Pro"/>
        <family val="2"/>
      </rPr>
      <t xml:space="preserve"> / F</t>
    </r>
    <r>
      <rPr>
        <b/>
        <vertAlign val="subscript"/>
        <sz val="14"/>
        <rFont val="Myriad Pro"/>
        <family val="2"/>
      </rPr>
      <t>Rd</t>
    </r>
    <r>
      <rPr>
        <b/>
        <sz val="14"/>
        <rFont val="Myriad Pro"/>
        <family val="2"/>
      </rPr>
      <t xml:space="preserve"> </t>
    </r>
    <r>
      <rPr>
        <b/>
        <sz val="14"/>
        <rFont val="Calibri"/>
        <family val="2"/>
      </rPr>
      <t>≤</t>
    </r>
    <r>
      <rPr>
        <b/>
        <sz val="14"/>
        <rFont val="Myriad Pro"/>
        <family val="2"/>
      </rPr>
      <t xml:space="preserve"> 1,0</t>
    </r>
  </si>
  <si>
    <r>
      <t>A</t>
    </r>
    <r>
      <rPr>
        <b/>
        <vertAlign val="subscript"/>
        <sz val="14"/>
        <rFont val="Myriad Pro"/>
        <family val="2"/>
      </rPr>
      <t>stat,erf,60%</t>
    </r>
    <r>
      <rPr>
        <b/>
        <sz val="14"/>
        <rFont val="Myriad Pro"/>
        <family val="2"/>
      </rPr>
      <t xml:space="preserve"> / A</t>
    </r>
    <r>
      <rPr>
        <b/>
        <vertAlign val="subscript"/>
        <sz val="14"/>
        <rFont val="Myriad Pro"/>
        <family val="2"/>
      </rPr>
      <t>befl</t>
    </r>
    <r>
      <rPr>
        <b/>
        <sz val="14"/>
        <rFont val="Myriad Pro"/>
        <family val="2"/>
      </rPr>
      <t xml:space="preserve"> </t>
    </r>
    <r>
      <rPr>
        <b/>
        <sz val="14"/>
        <rFont val="Calibri"/>
        <family val="2"/>
      </rPr>
      <t>≤</t>
    </r>
    <r>
      <rPr>
        <b/>
        <sz val="14"/>
        <rFont val="Myriad Pro"/>
        <family val="2"/>
      </rPr>
      <t xml:space="preserve"> 1,0</t>
    </r>
  </si>
  <si>
    <r>
      <t>Resthöhe nach Beflammung: h</t>
    </r>
    <r>
      <rPr>
        <vertAlign val="subscript"/>
        <sz val="12"/>
        <rFont val="Myriad Pro"/>
        <family val="2"/>
      </rPr>
      <t xml:space="preserve">befl </t>
    </r>
    <r>
      <rPr>
        <sz val="12"/>
        <rFont val="Myriad Pro"/>
        <family val="2"/>
      </rPr>
      <t>=</t>
    </r>
  </si>
  <si>
    <r>
      <t>A</t>
    </r>
    <r>
      <rPr>
        <vertAlign val="subscript"/>
        <sz val="12"/>
        <rFont val="Myriad Pro"/>
        <family val="2"/>
      </rPr>
      <t>ef</t>
    </r>
    <r>
      <rPr>
        <sz val="12"/>
        <rFont val="Myriad Pro"/>
        <family val="2"/>
      </rPr>
      <t xml:space="preserve"> = B</t>
    </r>
    <r>
      <rPr>
        <vertAlign val="subscript"/>
        <sz val="12"/>
        <rFont val="Myriad Pro"/>
        <family val="2"/>
      </rPr>
      <t>befl</t>
    </r>
    <r>
      <rPr>
        <sz val="12"/>
        <rFont val="Myriad Pro"/>
        <family val="2"/>
      </rPr>
      <t xml:space="preserve"> x h</t>
    </r>
    <r>
      <rPr>
        <vertAlign val="subscript"/>
        <sz val="12"/>
        <rFont val="Myriad Pro"/>
        <family val="2"/>
      </rPr>
      <t>befl</t>
    </r>
  </si>
  <si>
    <r>
      <t>Breite B</t>
    </r>
    <r>
      <rPr>
        <vertAlign val="subscript"/>
        <sz val="12"/>
        <rFont val="Myriad Pro"/>
        <family val="2"/>
      </rPr>
      <t>N</t>
    </r>
    <r>
      <rPr>
        <sz val="12"/>
        <rFont val="Myriad Pro"/>
        <family val="2"/>
      </rPr>
      <t xml:space="preserve"> [mm]</t>
    </r>
  </si>
  <si>
    <r>
      <t>k</t>
    </r>
    <r>
      <rPr>
        <vertAlign val="subscript"/>
        <sz val="12"/>
        <rFont val="Myriad Pro"/>
        <family val="2"/>
      </rPr>
      <t>cr</t>
    </r>
    <r>
      <rPr>
        <sz val="12"/>
        <rFont val="Myriad Pro"/>
        <family val="2"/>
      </rPr>
      <t xml:space="preserve"> [-]</t>
    </r>
  </si>
  <si>
    <r>
      <t>k</t>
    </r>
    <r>
      <rPr>
        <vertAlign val="subscript"/>
        <sz val="12"/>
        <rFont val="Myriad Pro"/>
        <family val="2"/>
      </rPr>
      <t>v</t>
    </r>
    <r>
      <rPr>
        <sz val="12"/>
        <rFont val="Myriad Pro"/>
        <family val="2"/>
      </rPr>
      <t xml:space="preserve"> [-]</t>
    </r>
  </si>
  <si>
    <r>
      <t>f</t>
    </r>
    <r>
      <rPr>
        <vertAlign val="subscript"/>
        <sz val="12"/>
        <rFont val="Myriad Pro"/>
        <family val="2"/>
      </rPr>
      <t>v,k</t>
    </r>
    <r>
      <rPr>
        <sz val="12"/>
        <rFont val="Myriad Pro"/>
        <family val="2"/>
      </rPr>
      <t xml:space="preserve"> [N/mm²]</t>
    </r>
  </si>
  <si>
    <t>Nachweise:</t>
  </si>
  <si>
    <t>ef. Höhe hef =</t>
  </si>
  <si>
    <r>
      <t xml:space="preserve"> h</t>
    </r>
    <r>
      <rPr>
        <vertAlign val="subscript"/>
        <sz val="12"/>
        <rFont val="Myriad Pro"/>
        <family val="2"/>
      </rPr>
      <t xml:space="preserve">befl </t>
    </r>
    <r>
      <rPr>
        <sz val="12"/>
        <rFont val="Myriad Pro"/>
        <family val="2"/>
      </rPr>
      <t>=</t>
    </r>
  </si>
  <si>
    <t>hbefl</t>
  </si>
  <si>
    <t>hef,Scr</t>
  </si>
  <si>
    <t>hblfl</t>
  </si>
  <si>
    <r>
      <t>Rohdichte NT</t>
    </r>
    <r>
      <rPr>
        <sz val="12"/>
        <rFont val="Symbol"/>
        <family val="1"/>
        <charset val="2"/>
      </rPr>
      <t xml:space="preserve"> r</t>
    </r>
    <r>
      <rPr>
        <vertAlign val="subscript"/>
        <sz val="12"/>
        <rFont val="Myriad Pro"/>
        <family val="2"/>
      </rPr>
      <t>k</t>
    </r>
    <r>
      <rPr>
        <sz val="12"/>
        <rFont val="Myriad Pro"/>
        <family val="2"/>
      </rPr>
      <t xml:space="preserve"> =</t>
    </r>
  </si>
  <si>
    <t>Joist</t>
  </si>
  <si>
    <t>Header</t>
  </si>
  <si>
    <r>
      <t>Rohdichte HT</t>
    </r>
    <r>
      <rPr>
        <sz val="12"/>
        <rFont val="Symbol"/>
        <family val="1"/>
        <charset val="2"/>
      </rPr>
      <t xml:space="preserve"> r</t>
    </r>
    <r>
      <rPr>
        <vertAlign val="subscript"/>
        <sz val="12"/>
        <rFont val="Myriad Pro"/>
        <family val="2"/>
      </rPr>
      <t>k</t>
    </r>
    <r>
      <rPr>
        <sz val="12"/>
        <rFont val="Myriad Pro"/>
        <family val="2"/>
      </rPr>
      <t xml:space="preserve"> =</t>
    </r>
  </si>
  <si>
    <t>Grundwinkeldarstellung:</t>
  </si>
  <si>
    <r>
      <t>Grundwinkel</t>
    </r>
    <r>
      <rPr>
        <sz val="12"/>
        <rFont val="Symbol"/>
        <family val="1"/>
        <charset val="2"/>
      </rPr>
      <t xml:space="preserve"> a</t>
    </r>
    <r>
      <rPr>
        <sz val="12"/>
        <rFont val="Myriad Pro"/>
        <family val="2"/>
      </rPr>
      <t xml:space="preserve"> =</t>
    </r>
  </si>
  <si>
    <t>Bemessungswerte der Tragfähigkeit vom ausgewählten RICON®S Verbinder</t>
  </si>
  <si>
    <t>Statische Nachweise für ausgewählten RICON®S Verbinder:</t>
  </si>
  <si>
    <r>
      <t>Rechtwinklig zur Einschub-richtung F</t>
    </r>
    <r>
      <rPr>
        <vertAlign val="subscript"/>
        <sz val="12"/>
        <rFont val="Myriad Pro"/>
        <family val="2"/>
      </rPr>
      <t>45,d</t>
    </r>
  </si>
  <si>
    <t>Einzelnachweise in den verschiedenen Lastfallkombinationen:</t>
  </si>
  <si>
    <r>
      <t>(F</t>
    </r>
    <r>
      <rPr>
        <vertAlign val="subscript"/>
        <sz val="12"/>
        <rFont val="Myriad Pro"/>
        <family val="2"/>
      </rPr>
      <t>1,d</t>
    </r>
    <r>
      <rPr>
        <sz val="12"/>
        <rFont val="Myriad Pro"/>
        <family val="2"/>
      </rPr>
      <t>/F</t>
    </r>
    <r>
      <rPr>
        <vertAlign val="subscript"/>
        <sz val="12"/>
        <rFont val="Myriad Pro"/>
        <family val="2"/>
      </rPr>
      <t>1,Rd</t>
    </r>
    <r>
      <rPr>
        <sz val="12"/>
        <rFont val="Myriad Pro"/>
        <family val="2"/>
      </rPr>
      <t>)</t>
    </r>
    <r>
      <rPr>
        <sz val="12"/>
        <rFont val="Calibri"/>
        <family val="2"/>
      </rPr>
      <t>≤</t>
    </r>
    <r>
      <rPr>
        <sz val="12"/>
        <rFont val="Myriad Pro"/>
        <family val="2"/>
      </rPr>
      <t xml:space="preserve"> 1,0</t>
    </r>
  </si>
  <si>
    <r>
      <t>(F</t>
    </r>
    <r>
      <rPr>
        <vertAlign val="subscript"/>
        <sz val="12"/>
        <rFont val="Myriad Pro"/>
        <family val="2"/>
      </rPr>
      <t>2,d</t>
    </r>
    <r>
      <rPr>
        <sz val="12"/>
        <rFont val="Myriad Pro"/>
        <family val="2"/>
      </rPr>
      <t>/F</t>
    </r>
    <r>
      <rPr>
        <vertAlign val="subscript"/>
        <sz val="12"/>
        <rFont val="Myriad Pro"/>
        <family val="2"/>
      </rPr>
      <t>2,Rd</t>
    </r>
    <r>
      <rPr>
        <sz val="12"/>
        <rFont val="Myriad Pro"/>
        <family val="2"/>
      </rPr>
      <t>)</t>
    </r>
    <r>
      <rPr>
        <sz val="12"/>
        <rFont val="Calibri"/>
        <family val="2"/>
      </rPr>
      <t>≤</t>
    </r>
    <r>
      <rPr>
        <sz val="12"/>
        <rFont val="Myriad Pro"/>
        <family val="2"/>
      </rPr>
      <t xml:space="preserve"> 1,0</t>
    </r>
  </si>
  <si>
    <r>
      <t>(F</t>
    </r>
    <r>
      <rPr>
        <vertAlign val="subscript"/>
        <sz val="12"/>
        <rFont val="Myriad Pro"/>
        <family val="2"/>
      </rPr>
      <t>3,d</t>
    </r>
    <r>
      <rPr>
        <sz val="12"/>
        <rFont val="Myriad Pro"/>
        <family val="2"/>
      </rPr>
      <t>/F</t>
    </r>
    <r>
      <rPr>
        <vertAlign val="subscript"/>
        <sz val="12"/>
        <rFont val="Myriad Pro"/>
        <family val="2"/>
      </rPr>
      <t>3,Rd</t>
    </r>
    <r>
      <rPr>
        <sz val="12"/>
        <rFont val="Myriad Pro"/>
        <family val="2"/>
      </rPr>
      <t>)</t>
    </r>
    <r>
      <rPr>
        <sz val="12"/>
        <rFont val="Calibri"/>
        <family val="2"/>
      </rPr>
      <t>≤</t>
    </r>
    <r>
      <rPr>
        <sz val="12"/>
        <rFont val="Myriad Pro"/>
        <family val="2"/>
      </rPr>
      <t xml:space="preserve"> 1,0</t>
    </r>
  </si>
  <si>
    <r>
      <t>(F</t>
    </r>
    <r>
      <rPr>
        <vertAlign val="subscript"/>
        <sz val="12"/>
        <rFont val="Myriad Pro"/>
        <family val="2"/>
      </rPr>
      <t>45,d</t>
    </r>
    <r>
      <rPr>
        <sz val="12"/>
        <rFont val="Myriad Pro"/>
        <family val="2"/>
      </rPr>
      <t>/F</t>
    </r>
    <r>
      <rPr>
        <vertAlign val="subscript"/>
        <sz val="12"/>
        <rFont val="Myriad Pro"/>
        <family val="2"/>
      </rPr>
      <t>45,Rd</t>
    </r>
    <r>
      <rPr>
        <sz val="12"/>
        <rFont val="Myriad Pro"/>
        <family val="2"/>
      </rPr>
      <t>)</t>
    </r>
    <r>
      <rPr>
        <sz val="12"/>
        <rFont val="Calibri"/>
        <family val="2"/>
      </rPr>
      <t>≤</t>
    </r>
    <r>
      <rPr>
        <sz val="12"/>
        <rFont val="Myriad Pro"/>
        <family val="2"/>
      </rPr>
      <t xml:space="preserve"> 1,0</t>
    </r>
  </si>
  <si>
    <r>
      <t>(F</t>
    </r>
    <r>
      <rPr>
        <vertAlign val="subscript"/>
        <sz val="12"/>
        <rFont val="Myriad Pro"/>
        <family val="2"/>
      </rPr>
      <t>2,d</t>
    </r>
    <r>
      <rPr>
        <sz val="12"/>
        <rFont val="Myriad Pro"/>
        <family val="2"/>
      </rPr>
      <t>/F</t>
    </r>
    <r>
      <rPr>
        <vertAlign val="subscript"/>
        <sz val="12"/>
        <rFont val="Myriad Pro"/>
        <family val="2"/>
      </rPr>
      <t>2,Rd</t>
    </r>
    <r>
      <rPr>
        <sz val="12"/>
        <rFont val="Myriad Pro"/>
        <family val="2"/>
      </rPr>
      <t>)</t>
    </r>
    <r>
      <rPr>
        <sz val="12"/>
        <rFont val="Calibri"/>
        <family val="2"/>
      </rPr>
      <t>²</t>
    </r>
  </si>
  <si>
    <r>
      <t>(F</t>
    </r>
    <r>
      <rPr>
        <vertAlign val="subscript"/>
        <sz val="12"/>
        <rFont val="Myriad Pro"/>
        <family val="2"/>
      </rPr>
      <t>3,d</t>
    </r>
    <r>
      <rPr>
        <sz val="12"/>
        <rFont val="Myriad Pro"/>
        <family val="2"/>
      </rPr>
      <t>/F</t>
    </r>
    <r>
      <rPr>
        <vertAlign val="subscript"/>
        <sz val="12"/>
        <rFont val="Myriad Pro"/>
        <family val="2"/>
      </rPr>
      <t>3,Rd</t>
    </r>
    <r>
      <rPr>
        <sz val="12"/>
        <rFont val="Myriad Pro"/>
        <family val="2"/>
      </rPr>
      <t>)</t>
    </r>
    <r>
      <rPr>
        <sz val="12"/>
        <rFont val="Calibri"/>
        <family val="2"/>
      </rPr>
      <t>²</t>
    </r>
  </si>
  <si>
    <r>
      <t>(F</t>
    </r>
    <r>
      <rPr>
        <vertAlign val="subscript"/>
        <sz val="12"/>
        <rFont val="Myriad Pro"/>
        <family val="2"/>
      </rPr>
      <t>45,d</t>
    </r>
    <r>
      <rPr>
        <sz val="12"/>
        <rFont val="Myriad Pro"/>
        <family val="2"/>
      </rPr>
      <t>/F</t>
    </r>
    <r>
      <rPr>
        <vertAlign val="subscript"/>
        <sz val="12"/>
        <rFont val="Myriad Pro"/>
        <family val="2"/>
      </rPr>
      <t>45,Rd</t>
    </r>
    <r>
      <rPr>
        <sz val="12"/>
        <rFont val="Myriad Pro"/>
        <family val="2"/>
      </rPr>
      <t>)</t>
    </r>
    <r>
      <rPr>
        <sz val="12"/>
        <rFont val="Calibri"/>
        <family val="2"/>
      </rPr>
      <t>²</t>
    </r>
  </si>
  <si>
    <r>
      <t>(F</t>
    </r>
    <r>
      <rPr>
        <vertAlign val="subscript"/>
        <sz val="12"/>
        <rFont val="Myriad Pro"/>
        <family val="2"/>
      </rPr>
      <t>1,d</t>
    </r>
    <r>
      <rPr>
        <sz val="12"/>
        <rFont val="Myriad Pro"/>
        <family val="2"/>
      </rPr>
      <t>/F</t>
    </r>
    <r>
      <rPr>
        <vertAlign val="subscript"/>
        <sz val="12"/>
        <rFont val="Myriad Pro"/>
        <family val="2"/>
      </rPr>
      <t>1,Rd</t>
    </r>
    <r>
      <rPr>
        <sz val="12"/>
        <rFont val="Myriad Pro"/>
        <family val="2"/>
      </rPr>
      <t xml:space="preserve">) </t>
    </r>
    <r>
      <rPr>
        <sz val="12"/>
        <rFont val="Calibri"/>
        <family val="2"/>
      </rPr>
      <t>≤</t>
    </r>
    <r>
      <rPr>
        <sz val="12"/>
        <rFont val="Myriad Pro"/>
        <family val="2"/>
      </rPr>
      <t xml:space="preserve"> 1,0</t>
    </r>
  </si>
  <si>
    <r>
      <t>(F</t>
    </r>
    <r>
      <rPr>
        <vertAlign val="subscript"/>
        <sz val="12"/>
        <rFont val="Myriad Pro"/>
        <family val="2"/>
      </rPr>
      <t>2,d</t>
    </r>
    <r>
      <rPr>
        <sz val="12"/>
        <rFont val="Myriad Pro"/>
        <family val="2"/>
      </rPr>
      <t>/F</t>
    </r>
    <r>
      <rPr>
        <vertAlign val="subscript"/>
        <sz val="12"/>
        <rFont val="Myriad Pro"/>
        <family val="2"/>
      </rPr>
      <t>2,Rd</t>
    </r>
    <r>
      <rPr>
        <sz val="12"/>
        <rFont val="Myriad Pro"/>
        <family val="2"/>
      </rPr>
      <t xml:space="preserve">) </t>
    </r>
    <r>
      <rPr>
        <sz val="12"/>
        <rFont val="Calibri"/>
        <family val="2"/>
      </rPr>
      <t>≤</t>
    </r>
    <r>
      <rPr>
        <sz val="12"/>
        <rFont val="Myriad Pro"/>
        <family val="2"/>
      </rPr>
      <t xml:space="preserve"> 1,0</t>
    </r>
  </si>
  <si>
    <r>
      <t>(F</t>
    </r>
    <r>
      <rPr>
        <vertAlign val="subscript"/>
        <sz val="12"/>
        <rFont val="Myriad Pro"/>
        <family val="2"/>
      </rPr>
      <t>3,d</t>
    </r>
    <r>
      <rPr>
        <sz val="12"/>
        <rFont val="Myriad Pro"/>
        <family val="2"/>
      </rPr>
      <t>/F</t>
    </r>
    <r>
      <rPr>
        <vertAlign val="subscript"/>
        <sz val="12"/>
        <rFont val="Myriad Pro"/>
        <family val="2"/>
      </rPr>
      <t>3,Rd</t>
    </r>
    <r>
      <rPr>
        <sz val="12"/>
        <rFont val="Myriad Pro"/>
        <family val="2"/>
      </rPr>
      <t xml:space="preserve">) </t>
    </r>
    <r>
      <rPr>
        <sz val="12"/>
        <rFont val="Calibri"/>
        <family val="2"/>
      </rPr>
      <t>≤</t>
    </r>
    <r>
      <rPr>
        <sz val="12"/>
        <rFont val="Myriad Pro"/>
        <family val="2"/>
      </rPr>
      <t xml:space="preserve"> 1,0</t>
    </r>
  </si>
  <si>
    <r>
      <t>(F</t>
    </r>
    <r>
      <rPr>
        <vertAlign val="subscript"/>
        <sz val="12"/>
        <rFont val="Myriad Pro"/>
        <family val="2"/>
      </rPr>
      <t>45,d</t>
    </r>
    <r>
      <rPr>
        <sz val="12"/>
        <rFont val="Myriad Pro"/>
        <family val="2"/>
      </rPr>
      <t>/F</t>
    </r>
    <r>
      <rPr>
        <vertAlign val="subscript"/>
        <sz val="12"/>
        <rFont val="Myriad Pro"/>
        <family val="2"/>
      </rPr>
      <t>45,Rd</t>
    </r>
    <r>
      <rPr>
        <sz val="12"/>
        <rFont val="Myriad Pro"/>
        <family val="2"/>
      </rPr>
      <t xml:space="preserve">) </t>
    </r>
    <r>
      <rPr>
        <sz val="12"/>
        <rFont val="Calibri"/>
        <family val="2"/>
      </rPr>
      <t>≤</t>
    </r>
    <r>
      <rPr>
        <sz val="12"/>
        <rFont val="Myriad Pro"/>
        <family val="2"/>
      </rPr>
      <t xml:space="preserve"> 1,0</t>
    </r>
  </si>
  <si>
    <r>
      <t>(F</t>
    </r>
    <r>
      <rPr>
        <vertAlign val="subscript"/>
        <sz val="12"/>
        <rFont val="Myriad Pro"/>
        <family val="2"/>
      </rPr>
      <t>1,d</t>
    </r>
    <r>
      <rPr>
        <sz val="12"/>
        <rFont val="Myriad Pro"/>
        <family val="2"/>
      </rPr>
      <t>/F</t>
    </r>
    <r>
      <rPr>
        <vertAlign val="subscript"/>
        <sz val="12"/>
        <rFont val="Myriad Pro"/>
        <family val="2"/>
      </rPr>
      <t>1,Rd</t>
    </r>
    <r>
      <rPr>
        <sz val="12"/>
        <rFont val="Myriad Pro"/>
        <family val="2"/>
      </rPr>
      <t>)² + (F</t>
    </r>
    <r>
      <rPr>
        <vertAlign val="subscript"/>
        <sz val="12"/>
        <rFont val="Myriad Pro"/>
        <family val="2"/>
      </rPr>
      <t>2,d</t>
    </r>
    <r>
      <rPr>
        <sz val="12"/>
        <rFont val="Myriad Pro"/>
        <family val="2"/>
      </rPr>
      <t>/F</t>
    </r>
    <r>
      <rPr>
        <vertAlign val="subscript"/>
        <sz val="12"/>
        <rFont val="Myriad Pro"/>
        <family val="2"/>
      </rPr>
      <t>2,Rd</t>
    </r>
    <r>
      <rPr>
        <sz val="12"/>
        <rFont val="Myriad Pro"/>
        <family val="2"/>
      </rPr>
      <t>)²≤ 1,0</t>
    </r>
  </si>
  <si>
    <r>
      <t>(F</t>
    </r>
    <r>
      <rPr>
        <vertAlign val="subscript"/>
        <sz val="12"/>
        <rFont val="Myriad Pro"/>
        <family val="2"/>
      </rPr>
      <t>2,d</t>
    </r>
    <r>
      <rPr>
        <sz val="12"/>
        <rFont val="Myriad Pro"/>
        <family val="2"/>
      </rPr>
      <t>/F</t>
    </r>
    <r>
      <rPr>
        <vertAlign val="subscript"/>
        <sz val="12"/>
        <rFont val="Myriad Pro"/>
        <family val="2"/>
      </rPr>
      <t>2,Rd</t>
    </r>
    <r>
      <rPr>
        <sz val="12"/>
        <rFont val="Myriad Pro"/>
        <family val="2"/>
      </rPr>
      <t>)² + (F</t>
    </r>
    <r>
      <rPr>
        <vertAlign val="subscript"/>
        <sz val="12"/>
        <rFont val="Myriad Pro"/>
        <family val="2"/>
      </rPr>
      <t>45,d</t>
    </r>
    <r>
      <rPr>
        <sz val="12"/>
        <rFont val="Myriad Pro"/>
        <family val="2"/>
      </rPr>
      <t>/F</t>
    </r>
    <r>
      <rPr>
        <vertAlign val="subscript"/>
        <sz val="12"/>
        <rFont val="Myriad Pro"/>
        <family val="2"/>
      </rPr>
      <t>45,Rd</t>
    </r>
    <r>
      <rPr>
        <sz val="12"/>
        <rFont val="Myriad Pro"/>
        <family val="2"/>
      </rPr>
      <t>)²≤ 1,0</t>
    </r>
  </si>
  <si>
    <r>
      <t>(F</t>
    </r>
    <r>
      <rPr>
        <vertAlign val="subscript"/>
        <sz val="12"/>
        <rFont val="Myriad Pro"/>
        <family val="2"/>
      </rPr>
      <t>1,d</t>
    </r>
    <r>
      <rPr>
        <sz val="12"/>
        <rFont val="Myriad Pro"/>
        <family val="2"/>
      </rPr>
      <t>/F</t>
    </r>
    <r>
      <rPr>
        <vertAlign val="subscript"/>
        <sz val="12"/>
        <rFont val="Myriad Pro"/>
        <family val="2"/>
      </rPr>
      <t>1,Rd</t>
    </r>
    <r>
      <rPr>
        <sz val="12"/>
        <rFont val="Myriad Pro"/>
        <family val="2"/>
      </rPr>
      <t>)² + (F</t>
    </r>
    <r>
      <rPr>
        <vertAlign val="subscript"/>
        <sz val="12"/>
        <rFont val="Myriad Pro"/>
        <family val="2"/>
      </rPr>
      <t>45,d</t>
    </r>
    <r>
      <rPr>
        <sz val="12"/>
        <rFont val="Myriad Pro"/>
        <family val="2"/>
      </rPr>
      <t>/F</t>
    </r>
    <r>
      <rPr>
        <vertAlign val="subscript"/>
        <sz val="12"/>
        <rFont val="Myriad Pro"/>
        <family val="2"/>
      </rPr>
      <t>45,Rd</t>
    </r>
    <r>
      <rPr>
        <sz val="12"/>
        <rFont val="Myriad Pro"/>
        <family val="2"/>
      </rPr>
      <t>)²≤ 1,0</t>
    </r>
  </si>
  <si>
    <r>
      <t>(F</t>
    </r>
    <r>
      <rPr>
        <vertAlign val="subscript"/>
        <sz val="12"/>
        <rFont val="Myriad Pro"/>
        <family val="2"/>
      </rPr>
      <t>1,d</t>
    </r>
    <r>
      <rPr>
        <sz val="12"/>
        <rFont val="Myriad Pro"/>
        <family val="2"/>
      </rPr>
      <t>/F</t>
    </r>
    <r>
      <rPr>
        <vertAlign val="subscript"/>
        <sz val="12"/>
        <rFont val="Myriad Pro"/>
        <family val="2"/>
      </rPr>
      <t>1,Rd</t>
    </r>
    <r>
      <rPr>
        <sz val="12"/>
        <rFont val="Myriad Pro"/>
        <family val="2"/>
      </rPr>
      <t>)² + (F</t>
    </r>
    <r>
      <rPr>
        <vertAlign val="subscript"/>
        <sz val="12"/>
        <rFont val="Myriad Pro"/>
        <family val="2"/>
      </rPr>
      <t>2,d</t>
    </r>
    <r>
      <rPr>
        <sz val="12"/>
        <rFont val="Myriad Pro"/>
        <family val="2"/>
      </rPr>
      <t>/F</t>
    </r>
    <r>
      <rPr>
        <vertAlign val="subscript"/>
        <sz val="12"/>
        <rFont val="Myriad Pro"/>
        <family val="2"/>
      </rPr>
      <t>2,Rd</t>
    </r>
    <r>
      <rPr>
        <sz val="12"/>
        <rFont val="Myriad Pro"/>
        <family val="2"/>
      </rPr>
      <t>)² + (F</t>
    </r>
    <r>
      <rPr>
        <vertAlign val="subscript"/>
        <sz val="12"/>
        <rFont val="Myriad Pro"/>
        <family val="2"/>
      </rPr>
      <t>45,d</t>
    </r>
    <r>
      <rPr>
        <sz val="12"/>
        <rFont val="Myriad Pro"/>
        <family val="2"/>
      </rPr>
      <t>/F</t>
    </r>
    <r>
      <rPr>
        <vertAlign val="subscript"/>
        <sz val="12"/>
        <rFont val="Myriad Pro"/>
        <family val="2"/>
      </rPr>
      <t>45,Rd</t>
    </r>
    <r>
      <rPr>
        <sz val="12"/>
        <rFont val="Myriad Pro"/>
        <family val="2"/>
      </rPr>
      <t>)² ≤ 1,0</t>
    </r>
  </si>
  <si>
    <r>
      <t>(F</t>
    </r>
    <r>
      <rPr>
        <vertAlign val="subscript"/>
        <sz val="12"/>
        <rFont val="Myriad Pro"/>
        <family val="2"/>
      </rPr>
      <t>1,d</t>
    </r>
    <r>
      <rPr>
        <sz val="12"/>
        <rFont val="Myriad Pro"/>
        <family val="2"/>
      </rPr>
      <t>/F</t>
    </r>
    <r>
      <rPr>
        <vertAlign val="subscript"/>
        <sz val="12"/>
        <rFont val="Myriad Pro"/>
        <family val="2"/>
      </rPr>
      <t>1,Rd</t>
    </r>
    <r>
      <rPr>
        <sz val="12"/>
        <rFont val="Myriad Pro"/>
        <family val="2"/>
      </rPr>
      <t>)² + (F</t>
    </r>
    <r>
      <rPr>
        <vertAlign val="subscript"/>
        <sz val="12"/>
        <rFont val="Myriad Pro"/>
        <family val="2"/>
      </rPr>
      <t>3,d</t>
    </r>
    <r>
      <rPr>
        <sz val="12"/>
        <rFont val="Myriad Pro"/>
        <family val="2"/>
      </rPr>
      <t>/F</t>
    </r>
    <r>
      <rPr>
        <vertAlign val="subscript"/>
        <sz val="12"/>
        <rFont val="Myriad Pro"/>
        <family val="2"/>
      </rPr>
      <t>3,Rd</t>
    </r>
    <r>
      <rPr>
        <sz val="12"/>
        <rFont val="Myriad Pro"/>
        <family val="2"/>
      </rPr>
      <t>)²≤ 1,0</t>
    </r>
  </si>
  <si>
    <r>
      <t>(F</t>
    </r>
    <r>
      <rPr>
        <vertAlign val="subscript"/>
        <sz val="12"/>
        <rFont val="Myriad Pro"/>
        <family val="2"/>
      </rPr>
      <t>3,d</t>
    </r>
    <r>
      <rPr>
        <sz val="12"/>
        <rFont val="Myriad Pro"/>
        <family val="2"/>
      </rPr>
      <t>/F</t>
    </r>
    <r>
      <rPr>
        <vertAlign val="subscript"/>
        <sz val="12"/>
        <rFont val="Myriad Pro"/>
        <family val="2"/>
      </rPr>
      <t>3,Rd</t>
    </r>
    <r>
      <rPr>
        <sz val="12"/>
        <rFont val="Myriad Pro"/>
        <family val="2"/>
      </rPr>
      <t>)² + (F</t>
    </r>
    <r>
      <rPr>
        <vertAlign val="subscript"/>
        <sz val="12"/>
        <rFont val="Myriad Pro"/>
        <family val="2"/>
      </rPr>
      <t>45,d</t>
    </r>
    <r>
      <rPr>
        <sz val="12"/>
        <rFont val="Myriad Pro"/>
        <family val="2"/>
      </rPr>
      <t>/F</t>
    </r>
    <r>
      <rPr>
        <vertAlign val="subscript"/>
        <sz val="12"/>
        <rFont val="Myriad Pro"/>
        <family val="2"/>
      </rPr>
      <t>45,Rd</t>
    </r>
    <r>
      <rPr>
        <sz val="12"/>
        <rFont val="Myriad Pro"/>
        <family val="2"/>
      </rPr>
      <t>)²≤ 1,0</t>
    </r>
  </si>
  <si>
    <r>
      <t>(F</t>
    </r>
    <r>
      <rPr>
        <vertAlign val="subscript"/>
        <sz val="12"/>
        <rFont val="Myriad Pro"/>
        <family val="2"/>
      </rPr>
      <t>1,d</t>
    </r>
    <r>
      <rPr>
        <sz val="12"/>
        <rFont val="Myriad Pro"/>
        <family val="2"/>
      </rPr>
      <t>/F</t>
    </r>
    <r>
      <rPr>
        <vertAlign val="subscript"/>
        <sz val="12"/>
        <rFont val="Myriad Pro"/>
        <family val="2"/>
      </rPr>
      <t>1,Rd</t>
    </r>
    <r>
      <rPr>
        <sz val="12"/>
        <rFont val="Myriad Pro"/>
        <family val="2"/>
      </rPr>
      <t>)² + (F</t>
    </r>
    <r>
      <rPr>
        <vertAlign val="subscript"/>
        <sz val="12"/>
        <rFont val="Myriad Pro"/>
        <family val="2"/>
      </rPr>
      <t>3,d</t>
    </r>
    <r>
      <rPr>
        <sz val="12"/>
        <rFont val="Myriad Pro"/>
        <family val="2"/>
      </rPr>
      <t>/F</t>
    </r>
    <r>
      <rPr>
        <vertAlign val="subscript"/>
        <sz val="12"/>
        <rFont val="Myriad Pro"/>
        <family val="2"/>
      </rPr>
      <t>3,Rd</t>
    </r>
    <r>
      <rPr>
        <sz val="12"/>
        <rFont val="Myriad Pro"/>
        <family val="2"/>
      </rPr>
      <t>)² + (F</t>
    </r>
    <r>
      <rPr>
        <vertAlign val="subscript"/>
        <sz val="12"/>
        <rFont val="Myriad Pro"/>
        <family val="2"/>
      </rPr>
      <t>45,d</t>
    </r>
    <r>
      <rPr>
        <sz val="12"/>
        <rFont val="Myriad Pro"/>
        <family val="2"/>
      </rPr>
      <t>/F</t>
    </r>
    <r>
      <rPr>
        <vertAlign val="subscript"/>
        <sz val="12"/>
        <rFont val="Myriad Pro"/>
        <family val="2"/>
      </rPr>
      <t>45,Rd</t>
    </r>
    <r>
      <rPr>
        <sz val="12"/>
        <rFont val="Myriad Pro"/>
        <family val="2"/>
      </rPr>
      <t>)² ≤ 1,0</t>
    </r>
  </si>
  <si>
    <t>Kombinierte Nachweise in den verschiedenen Lastfallkombinationen:</t>
  </si>
  <si>
    <t>Eingabetabelle mit den vorhandenen Lasten:</t>
  </si>
  <si>
    <t>Ausgewählte Verbinderlasten für den jeweiligen Lastfall:</t>
  </si>
  <si>
    <t>Bemessungswerte der Tragfähigkeit für ausgewählten Verbinder:</t>
  </si>
  <si>
    <t>Höhe hef [mm]</t>
  </si>
  <si>
    <t>Fläche Aef [cm²]</t>
  </si>
  <si>
    <t>(siehe Tabelle:  Ausklinkungs-Tragfähigkeit)</t>
  </si>
  <si>
    <t>Nach EN 1995-1-2 Abschnitt 4.3.1 (2) verbleiben vom ausgeklinkten statischen Restquerschnitt noch</t>
  </si>
  <si>
    <r>
      <rPr>
        <sz val="12"/>
        <rFont val="Symbol"/>
        <family val="1"/>
        <charset val="2"/>
      </rPr>
      <t>g</t>
    </r>
    <r>
      <rPr>
        <vertAlign val="subscript"/>
        <sz val="12"/>
        <rFont val="Myriad Pro"/>
        <family val="2"/>
      </rPr>
      <t>M</t>
    </r>
    <r>
      <rPr>
        <sz val="12"/>
        <rFont val="Myriad Pro"/>
        <family val="2"/>
      </rPr>
      <t xml:space="preserve"> [-]</t>
    </r>
  </si>
  <si>
    <r>
      <rPr>
        <sz val="12"/>
        <rFont val="Symbol"/>
        <family val="1"/>
        <charset val="2"/>
      </rPr>
      <t>g</t>
    </r>
    <r>
      <rPr>
        <vertAlign val="subscript"/>
        <sz val="12"/>
        <rFont val="Myriad Pro"/>
        <family val="2"/>
      </rPr>
      <t xml:space="preserve">M,2 (Stahl) </t>
    </r>
    <r>
      <rPr>
        <sz val="12"/>
        <rFont val="Myriad Pro"/>
        <family val="2"/>
      </rPr>
      <t>=</t>
    </r>
  </si>
  <si>
    <r>
      <rPr>
        <sz val="12"/>
        <rFont val="Symbol"/>
        <family val="1"/>
        <charset val="2"/>
      </rPr>
      <t>g</t>
    </r>
    <r>
      <rPr>
        <vertAlign val="subscript"/>
        <sz val="12"/>
        <rFont val="Myriad Pro"/>
        <family val="2"/>
      </rPr>
      <t xml:space="preserve">M (Holz) </t>
    </r>
    <r>
      <rPr>
        <sz val="12"/>
        <rFont val="Myriad Pro"/>
        <family val="2"/>
      </rPr>
      <t>=</t>
    </r>
  </si>
  <si>
    <r>
      <t>F</t>
    </r>
    <r>
      <rPr>
        <vertAlign val="subscript"/>
        <sz val="12"/>
        <rFont val="Myriad Pro"/>
        <family val="2"/>
      </rPr>
      <t>ax,Rd</t>
    </r>
    <r>
      <rPr>
        <sz val="12"/>
        <rFont val="Myriad Pro"/>
        <family val="2"/>
      </rPr>
      <t xml:space="preserve"> = F</t>
    </r>
    <r>
      <rPr>
        <vertAlign val="subscript"/>
        <sz val="12"/>
        <rFont val="Myriad Pro"/>
        <family val="2"/>
      </rPr>
      <t>ax,Rk</t>
    </r>
    <r>
      <rPr>
        <sz val="12"/>
        <rFont val="Myriad Pro"/>
        <family val="2"/>
      </rPr>
      <t xml:space="preserve"> x k</t>
    </r>
    <r>
      <rPr>
        <vertAlign val="subscript"/>
        <sz val="12"/>
        <rFont val="Myriad Pro"/>
        <family val="2"/>
      </rPr>
      <t>mod</t>
    </r>
    <r>
      <rPr>
        <sz val="12"/>
        <rFont val="Myriad Pro"/>
        <family val="2"/>
      </rPr>
      <t xml:space="preserve">/ </t>
    </r>
    <r>
      <rPr>
        <sz val="12"/>
        <rFont val="Symbol"/>
        <family val="1"/>
        <charset val="2"/>
      </rPr>
      <t>g</t>
    </r>
    <r>
      <rPr>
        <vertAlign val="subscript"/>
        <sz val="12"/>
        <rFont val="Myriad Pro"/>
        <family val="2"/>
      </rPr>
      <t>M</t>
    </r>
    <r>
      <rPr>
        <sz val="12"/>
        <rFont val="Myriad Pro"/>
        <family val="2"/>
      </rPr>
      <t xml:space="preserve"> =</t>
    </r>
  </si>
  <si>
    <r>
      <t xml:space="preserve">Partial factor for material properties </t>
    </r>
    <r>
      <rPr>
        <sz val="11"/>
        <rFont val="Symbol"/>
        <family val="1"/>
        <charset val="2"/>
      </rPr>
      <t>g</t>
    </r>
    <r>
      <rPr>
        <vertAlign val="subscript"/>
        <sz val="11"/>
        <rFont val="Calibri"/>
        <family val="2"/>
        <scheme val="minor"/>
      </rPr>
      <t>M</t>
    </r>
    <r>
      <rPr>
        <sz val="11"/>
        <rFont val="Calibri"/>
        <family val="2"/>
        <scheme val="minor"/>
      </rPr>
      <t xml:space="preserve"> =</t>
    </r>
  </si>
  <si>
    <t xml:space="preserve">RICON®S Bemessungstool für Haupt-Nebenträger/ Nebenträger-Stützen-Anschlüsse </t>
  </si>
  <si>
    <r>
      <t>Load direction F</t>
    </r>
    <r>
      <rPr>
        <b/>
        <vertAlign val="subscript"/>
        <sz val="18"/>
        <color indexed="8"/>
        <rFont val="Calibri"/>
        <family val="2"/>
      </rPr>
      <t>2</t>
    </r>
    <r>
      <rPr>
        <b/>
        <sz val="18"/>
        <color indexed="8"/>
        <rFont val="Calibri"/>
        <family val="2"/>
      </rPr>
      <t xml:space="preserve"> in the direction of insertion for column connection</t>
    </r>
  </si>
  <si>
    <t>Column</t>
  </si>
  <si>
    <t>Schrauben in Stütze</t>
  </si>
  <si>
    <r>
      <t>n</t>
    </r>
    <r>
      <rPr>
        <vertAlign val="subscript"/>
        <sz val="12"/>
        <rFont val="Myriad Pro Light"/>
        <family val="2"/>
      </rPr>
      <t>ef,H</t>
    </r>
  </si>
  <si>
    <t>RICON S 200/60 VS min</t>
  </si>
  <si>
    <t>RICON S 200/60 VS st</t>
  </si>
  <si>
    <t>RICON S 200/80 VS min</t>
  </si>
  <si>
    <t>RICON S 200/80 VS st</t>
  </si>
  <si>
    <t>RICON S 290/80 VS min</t>
  </si>
  <si>
    <t>RICON S 290/80 VS st</t>
  </si>
  <si>
    <r>
      <t>a</t>
    </r>
    <r>
      <rPr>
        <vertAlign val="subscript"/>
        <sz val="12"/>
        <rFont val="Myriad Pro Light"/>
        <family val="2"/>
      </rPr>
      <t>1,screw</t>
    </r>
  </si>
  <si>
    <t>RICON S 140/60 VS st</t>
  </si>
  <si>
    <t>RICON S 140/60 VS min</t>
  </si>
  <si>
    <r>
      <t>F</t>
    </r>
    <r>
      <rPr>
        <vertAlign val="subscript"/>
        <sz val="12"/>
        <rFont val="Myriad Pro Light"/>
        <family val="2"/>
      </rPr>
      <t>2,H,Rd</t>
    </r>
    <r>
      <rPr>
        <sz val="12"/>
        <rFont val="Myriad Pro Light"/>
        <family val="2"/>
      </rPr>
      <t xml:space="preserve"> [kN] Column connection</t>
    </r>
  </si>
  <si>
    <r>
      <t>F</t>
    </r>
    <r>
      <rPr>
        <vertAlign val="subscript"/>
        <sz val="12"/>
        <rFont val="Myriad Pro Light"/>
        <family val="2"/>
      </rPr>
      <t>2,J,Rd</t>
    </r>
    <r>
      <rPr>
        <sz val="12"/>
        <rFont val="Myriad Pro Light"/>
        <family val="2"/>
      </rPr>
      <t xml:space="preserve"> [kN] Joist connection</t>
    </r>
  </si>
  <si>
    <r>
      <t>F</t>
    </r>
    <r>
      <rPr>
        <vertAlign val="subscript"/>
        <sz val="12"/>
        <rFont val="Myriad Pro Light"/>
        <family val="2"/>
      </rPr>
      <t>2,JH,Rd</t>
    </r>
    <r>
      <rPr>
        <sz val="12"/>
        <rFont val="Myriad Pro Light"/>
        <family val="2"/>
      </rPr>
      <t xml:space="preserve"> [kN] Column / Joist connection</t>
    </r>
  </si>
  <si>
    <r>
      <t>In Einschubrichtung F</t>
    </r>
    <r>
      <rPr>
        <vertAlign val="subscript"/>
        <sz val="12"/>
        <rFont val="Myriad Pro Light"/>
        <family val="2"/>
      </rPr>
      <t>2,Rd</t>
    </r>
    <r>
      <rPr>
        <sz val="12"/>
        <rFont val="Myriad Pro Light"/>
        <family val="2"/>
      </rPr>
      <t xml:space="preserve"> [kN]</t>
    </r>
    <r>
      <rPr>
        <sz val="12"/>
        <rFont val="Myriad Pro Light"/>
        <family val="2"/>
      </rPr>
      <t xml:space="preserve"> HT - NT Anschluss</t>
    </r>
  </si>
  <si>
    <r>
      <t>In Einschubrichtung F</t>
    </r>
    <r>
      <rPr>
        <vertAlign val="subscript"/>
        <sz val="12"/>
        <rFont val="Myriad Pro Light"/>
        <family val="2"/>
      </rPr>
      <t>2,Rd</t>
    </r>
    <r>
      <rPr>
        <sz val="12"/>
        <rFont val="Myriad Pro Light"/>
        <family val="2"/>
      </rPr>
      <t xml:space="preserve"> [kN]</t>
    </r>
    <r>
      <rPr>
        <sz val="12"/>
        <rFont val="Myriad Pro Light"/>
        <family val="2"/>
      </rPr>
      <t xml:space="preserve"> Stützen - NT Anschluss</t>
    </r>
  </si>
  <si>
    <t>Anschlussart:</t>
  </si>
  <si>
    <t>Haupt- Nebenträger-Anschluss</t>
  </si>
  <si>
    <t>Stützen-Nebenträger-Anschluss:</t>
  </si>
  <si>
    <t>Haupt- Nebenträger-Anschluss:</t>
  </si>
  <si>
    <t>Vollgewindeschrauben Stütze</t>
  </si>
  <si>
    <t>n=</t>
  </si>
  <si>
    <t>d =</t>
  </si>
  <si>
    <t>lef =</t>
  </si>
  <si>
    <t>a =</t>
  </si>
  <si>
    <t>°</t>
  </si>
  <si>
    <t>Fax,Rk =</t>
  </si>
  <si>
    <r>
      <rPr>
        <sz val="12"/>
        <rFont val="Symbol"/>
        <family val="1"/>
        <charset val="2"/>
      </rPr>
      <t>g</t>
    </r>
    <r>
      <rPr>
        <sz val="12"/>
        <rFont val="Myriad Pro"/>
        <family val="2"/>
      </rPr>
      <t>M =</t>
    </r>
  </si>
  <si>
    <r>
      <t>In Einschub-
richtung 
F</t>
    </r>
    <r>
      <rPr>
        <vertAlign val="subscript"/>
        <sz val="12"/>
        <rFont val="Myriad Pro"/>
        <family val="2"/>
      </rPr>
      <t>2,k</t>
    </r>
  </si>
  <si>
    <t>max Wert</t>
  </si>
  <si>
    <t>kmod=</t>
  </si>
  <si>
    <t>L</t>
  </si>
  <si>
    <t>RICON S80 Screws in header</t>
  </si>
  <si>
    <r>
      <t>l</t>
    </r>
    <r>
      <rPr>
        <vertAlign val="subscript"/>
        <sz val="11"/>
        <rFont val="Calibri"/>
        <family val="2"/>
      </rPr>
      <t>ef</t>
    </r>
    <r>
      <rPr>
        <sz val="11"/>
        <rFont val="Calibri"/>
        <family val="2"/>
      </rPr>
      <t xml:space="preserve"> [mm]</t>
    </r>
  </si>
  <si>
    <r>
      <t>L(</t>
    </r>
    <r>
      <rPr>
        <vertAlign val="subscript"/>
        <sz val="12"/>
        <rFont val="Myriad Pro Light"/>
        <family val="2"/>
      </rPr>
      <t>H)</t>
    </r>
  </si>
  <si>
    <r>
      <t>L</t>
    </r>
    <r>
      <rPr>
        <vertAlign val="subscript"/>
        <sz val="12"/>
        <rFont val="Myriad Pro Light"/>
        <family val="2"/>
      </rPr>
      <t>(H)</t>
    </r>
  </si>
  <si>
    <r>
      <t>l</t>
    </r>
    <r>
      <rPr>
        <vertAlign val="subscript"/>
        <sz val="11"/>
        <color indexed="8"/>
        <rFont val="Calibri"/>
        <family val="2"/>
      </rPr>
      <t xml:space="preserve"> (H)</t>
    </r>
  </si>
  <si>
    <r>
      <rPr>
        <sz val="12"/>
        <rFont val="Symbol"/>
        <family val="1"/>
        <charset val="2"/>
      </rPr>
      <t>g</t>
    </r>
    <r>
      <rPr>
        <vertAlign val="subscript"/>
        <sz val="12"/>
        <rFont val="Myriad Pro"/>
        <family val="2"/>
      </rPr>
      <t>M</t>
    </r>
    <r>
      <rPr>
        <sz val="12"/>
        <rFont val="Myriad Pro"/>
        <family val="2"/>
      </rPr>
      <t xml:space="preserve"> =</t>
    </r>
  </si>
  <si>
    <t>Holzqualität NT:</t>
  </si>
  <si>
    <t>n (NT)</t>
  </si>
  <si>
    <t>n (HT)</t>
  </si>
  <si>
    <t>Schrauben HT</t>
  </si>
  <si>
    <t>n (Stütze)</t>
  </si>
  <si>
    <t>Schrauben Stütze</t>
  </si>
  <si>
    <t xml:space="preserve"> Schrauben NT</t>
  </si>
  <si>
    <t>RICON S60 Screws in header</t>
  </si>
  <si>
    <t>Nebenträger Standardschraube</t>
  </si>
  <si>
    <t>Nebenträger vorh. Schrauben</t>
  </si>
  <si>
    <t>Hauptträger Standardschraube</t>
  </si>
  <si>
    <t>Hauptträger vorh. Schraube</t>
  </si>
  <si>
    <t xml:space="preserve">Zuglast der </t>
  </si>
  <si>
    <t>Scr. im NT</t>
  </si>
  <si>
    <t>Scr. im HT</t>
  </si>
  <si>
    <t>nef =</t>
  </si>
  <si>
    <t>L =</t>
  </si>
  <si>
    <r>
      <t xml:space="preserve">Fax,Rk = 0,52 x (d)^0,5 x Lef^0,9 x </t>
    </r>
    <r>
      <rPr>
        <sz val="12"/>
        <rFont val="Symbol"/>
        <family val="1"/>
        <charset val="2"/>
      </rPr>
      <t>r</t>
    </r>
    <r>
      <rPr>
        <sz val="12"/>
        <rFont val="Myriad Pro Light"/>
        <family val="2"/>
      </rPr>
      <t>k^0,8</t>
    </r>
  </si>
  <si>
    <t>Fv,Rk =</t>
  </si>
  <si>
    <r>
      <t xml:space="preserve">Fv,RK = 2^0,9 x Fax,Rk x cos ( </t>
    </r>
    <r>
      <rPr>
        <sz val="12"/>
        <rFont val="Symbol"/>
        <family val="1"/>
        <charset val="2"/>
      </rPr>
      <t>a</t>
    </r>
    <r>
      <rPr>
        <sz val="12"/>
        <rFont val="Myriad Pro Light"/>
        <family val="2"/>
      </rPr>
      <t xml:space="preserve"> )</t>
    </r>
  </si>
  <si>
    <r>
      <t>L</t>
    </r>
    <r>
      <rPr>
        <vertAlign val="subscript"/>
        <sz val="12"/>
        <rFont val="Myriad Pro Light"/>
        <family val="2"/>
      </rPr>
      <t>(J)</t>
    </r>
  </si>
  <si>
    <t>RICON S60 Screws in joist</t>
  </si>
  <si>
    <t>RICON S80 Screws in joist</t>
  </si>
  <si>
    <t>Stütze Standardschraube</t>
  </si>
  <si>
    <t>Stütze vorh. Schraube</t>
  </si>
  <si>
    <r>
      <t xml:space="preserve">Ausklinkungsverhältnis </t>
    </r>
    <r>
      <rPr>
        <sz val="12"/>
        <rFont val="Symbol"/>
        <family val="1"/>
        <charset val="2"/>
      </rPr>
      <t>a</t>
    </r>
    <r>
      <rPr>
        <sz val="12"/>
        <rFont val="Myriad Pro"/>
        <family val="2"/>
      </rPr>
      <t xml:space="preserve"> = h</t>
    </r>
    <r>
      <rPr>
        <vertAlign val="subscript"/>
        <sz val="12"/>
        <rFont val="Myriad Pro"/>
        <family val="2"/>
      </rPr>
      <t>ef</t>
    </r>
    <r>
      <rPr>
        <sz val="12"/>
        <rFont val="Myriad Pro"/>
        <family val="2"/>
      </rPr>
      <t xml:space="preserve"> / H</t>
    </r>
    <r>
      <rPr>
        <vertAlign val="subscript"/>
        <sz val="12"/>
        <rFont val="Myriad Pro"/>
        <family val="2"/>
      </rPr>
      <t>N</t>
    </r>
    <r>
      <rPr>
        <sz val="12"/>
        <rFont val="Myriad Pro"/>
        <family val="2"/>
      </rPr>
      <t xml:space="preserve"> &gt; 0,50  (ÖNORM EN 1995-1-1 NA 6.63-E1):</t>
    </r>
  </si>
  <si>
    <t>Anschlussdimensionierung RICON® S nach  ETA 10-0189 (Ausgabe 25.08.2022)</t>
  </si>
  <si>
    <t>RI-S 390x80 ZP</t>
  </si>
  <si>
    <r>
      <t>n</t>
    </r>
    <r>
      <rPr>
        <vertAlign val="subscript"/>
        <sz val="12"/>
        <rFont val="Myriad Pro Light"/>
        <family val="2"/>
      </rPr>
      <t>ges</t>
    </r>
  </si>
  <si>
    <t>% Anteile</t>
  </si>
  <si>
    <r>
      <rPr>
        <sz val="12"/>
        <rFont val="Symbol"/>
        <family val="1"/>
        <charset val="2"/>
      </rPr>
      <t>S</t>
    </r>
    <r>
      <rPr>
        <sz val="12"/>
        <rFont val="Myriad Pro Light"/>
        <family val="2"/>
      </rPr>
      <t xml:space="preserve"> F</t>
    </r>
    <r>
      <rPr>
        <vertAlign val="subscript"/>
        <sz val="12"/>
        <rFont val="Myriad Pro Light"/>
        <family val="2"/>
      </rPr>
      <t>v,J,Rk</t>
    </r>
  </si>
  <si>
    <r>
      <t>n</t>
    </r>
    <r>
      <rPr>
        <vertAlign val="subscript"/>
        <sz val="12"/>
        <rFont val="Myriad Pro Light"/>
        <family val="2"/>
      </rPr>
      <t>ef</t>
    </r>
    <r>
      <rPr>
        <sz val="12"/>
        <rFont val="Myriad Pro Light"/>
        <family val="2"/>
      </rPr>
      <t xml:space="preserve"> aufgeteilt</t>
    </r>
  </si>
  <si>
    <r>
      <t>n</t>
    </r>
    <r>
      <rPr>
        <vertAlign val="subscript"/>
        <sz val="12"/>
        <rFont val="Myriad Pro Light"/>
        <family val="2"/>
      </rPr>
      <t xml:space="preserve">ef </t>
    </r>
    <r>
      <rPr>
        <sz val="12"/>
        <rFont val="Myriad Pro Light"/>
        <family val="2"/>
      </rPr>
      <t>= n</t>
    </r>
    <r>
      <rPr>
        <vertAlign val="subscript"/>
        <sz val="12"/>
        <rFont val="Myriad Pro Light"/>
        <family val="2"/>
      </rPr>
      <t>ges</t>
    </r>
    <r>
      <rPr>
        <vertAlign val="superscript"/>
        <sz val="12"/>
        <rFont val="Myriad Pro Light"/>
        <family val="2"/>
      </rPr>
      <t>0,9</t>
    </r>
  </si>
  <si>
    <r>
      <t>l</t>
    </r>
    <r>
      <rPr>
        <vertAlign val="subscript"/>
        <sz val="11"/>
        <color indexed="8"/>
        <rFont val="Calibri"/>
        <family val="2"/>
      </rPr>
      <t xml:space="preserve">ef,J </t>
    </r>
  </si>
  <si>
    <t>Lef =L - 31</t>
  </si>
  <si>
    <r>
      <rPr>
        <sz val="12"/>
        <rFont val="Symbol"/>
        <family val="1"/>
        <charset val="2"/>
      </rPr>
      <t>S</t>
    </r>
    <r>
      <rPr>
        <sz val="12"/>
        <rFont val="Myriad Pro Light"/>
        <family val="2"/>
      </rPr>
      <t xml:space="preserve"> F</t>
    </r>
    <r>
      <rPr>
        <vertAlign val="subscript"/>
        <sz val="12"/>
        <rFont val="Myriad Pro Light"/>
        <family val="2"/>
      </rPr>
      <t>v,J,Rk,ges</t>
    </r>
  </si>
  <si>
    <r>
      <t>F</t>
    </r>
    <r>
      <rPr>
        <vertAlign val="subscript"/>
        <sz val="11"/>
        <color indexed="8"/>
        <rFont val="Calibri"/>
        <family val="2"/>
      </rPr>
      <t>2,H,R</t>
    </r>
    <r>
      <rPr>
        <vertAlign val="subscript"/>
        <sz val="11"/>
        <color indexed="8"/>
        <rFont val="Cambria"/>
        <family val="1"/>
      </rPr>
      <t>k</t>
    </r>
  </si>
  <si>
    <r>
      <rPr>
        <sz val="12"/>
        <rFont val="Myriad Pro Light"/>
        <family val="2"/>
      </rPr>
      <t>F</t>
    </r>
    <r>
      <rPr>
        <vertAlign val="subscript"/>
        <sz val="11"/>
        <color indexed="8"/>
        <rFont val="Calibri"/>
        <family val="2"/>
      </rPr>
      <t>v,H,Rk</t>
    </r>
    <r>
      <rPr>
        <vertAlign val="subscript"/>
        <sz val="12"/>
        <rFont val="Myriad Pro Light"/>
        <family val="2"/>
      </rPr>
      <t>,ges</t>
    </r>
  </si>
  <si>
    <r>
      <rPr>
        <sz val="12"/>
        <rFont val="Myriad Pro Light"/>
        <family val="2"/>
      </rPr>
      <t>F</t>
    </r>
    <r>
      <rPr>
        <vertAlign val="subscript"/>
        <sz val="12"/>
        <rFont val="Myriad Pro Light"/>
        <family val="2"/>
      </rPr>
      <t>v,H,Rk,ges</t>
    </r>
  </si>
  <si>
    <r>
      <rPr>
        <sz val="12"/>
        <rFont val="Myriad Pro Light"/>
        <family val="2"/>
      </rPr>
      <t>F</t>
    </r>
    <r>
      <rPr>
        <vertAlign val="subscript"/>
        <sz val="12"/>
        <rFont val="Myriad Pro Light"/>
        <family val="2"/>
      </rPr>
      <t>v,J,Rk,ges</t>
    </r>
  </si>
  <si>
    <r>
      <rPr>
        <sz val="11"/>
        <color indexed="8"/>
        <rFont val="Symbol"/>
        <family val="1"/>
        <charset val="2"/>
      </rPr>
      <t>S</t>
    </r>
    <r>
      <rPr>
        <sz val="12"/>
        <rFont val="Myriad Pro Light"/>
        <family val="2"/>
      </rPr>
      <t xml:space="preserve"> F</t>
    </r>
    <r>
      <rPr>
        <vertAlign val="subscript"/>
        <sz val="11"/>
        <color indexed="8"/>
        <rFont val="Calibri"/>
        <family val="2"/>
      </rPr>
      <t>v,J,R</t>
    </r>
    <r>
      <rPr>
        <vertAlign val="subscript"/>
        <sz val="11"/>
        <color indexed="8"/>
        <rFont val="Cambria"/>
        <family val="1"/>
      </rPr>
      <t>k</t>
    </r>
  </si>
  <si>
    <t>RICON S 390x80 VS+ZP min</t>
  </si>
  <si>
    <t>RICON S 390x80 VS+ZP St</t>
  </si>
  <si>
    <t>Verschraubung/ Screwing</t>
  </si>
  <si>
    <t>HT / Header</t>
  </si>
  <si>
    <t>NT / Joist</t>
  </si>
  <si>
    <t>28x SK 10x200</t>
  </si>
  <si>
    <t>Connector</t>
  </si>
  <si>
    <t xml:space="preserve">Verbinder / </t>
  </si>
  <si>
    <t>28x SK 10x100</t>
  </si>
  <si>
    <t>2 SK 10x450</t>
  </si>
  <si>
    <t>28x SK 10x300</t>
  </si>
  <si>
    <t>2 SK 10x400</t>
  </si>
  <si>
    <t>Char. Belastung</t>
  </si>
  <si>
    <r>
      <t>F</t>
    </r>
    <r>
      <rPr>
        <vertAlign val="subscript"/>
        <sz val="12"/>
        <rFont val="Myriad Pro"/>
        <family val="2"/>
      </rPr>
      <t xml:space="preserve">2,Rk </t>
    </r>
    <r>
      <rPr>
        <sz val="12"/>
        <rFont val="Myriad Pro"/>
        <family val="2"/>
      </rPr>
      <t>[GL24h]</t>
    </r>
  </si>
  <si>
    <r>
      <t>F</t>
    </r>
    <r>
      <rPr>
        <vertAlign val="subscript"/>
        <sz val="12"/>
        <rFont val="Myriad Pro"/>
        <family val="2"/>
      </rPr>
      <t>2,Rk</t>
    </r>
    <r>
      <rPr>
        <sz val="12"/>
        <rFont val="Myriad Pro"/>
        <family val="2"/>
      </rPr>
      <t xml:space="preserve"> [GL24h]</t>
    </r>
  </si>
  <si>
    <t>Bisher/Belong</t>
  </si>
  <si>
    <t>Neu/New</t>
  </si>
  <si>
    <t>Stütze / Column</t>
  </si>
  <si>
    <t>23x SK 10x100</t>
  </si>
  <si>
    <t>Lef</t>
  </si>
  <si>
    <r>
      <t>F</t>
    </r>
    <r>
      <rPr>
        <vertAlign val="subscript"/>
        <sz val="12"/>
        <rFont val="Myriad Pro"/>
        <family val="2"/>
      </rPr>
      <t xml:space="preserve">45,Rk </t>
    </r>
    <r>
      <rPr>
        <sz val="12"/>
        <rFont val="Myriad Pro"/>
        <family val="2"/>
      </rPr>
      <t>[GL24h]</t>
    </r>
  </si>
  <si>
    <r>
      <t>F</t>
    </r>
    <r>
      <rPr>
        <vertAlign val="subscript"/>
        <sz val="12"/>
        <rFont val="Myriad Pro"/>
        <family val="2"/>
      </rPr>
      <t>45,Rk</t>
    </r>
    <r>
      <rPr>
        <sz val="12"/>
        <rFont val="Myriad Pro"/>
        <family val="2"/>
      </rPr>
      <t xml:space="preserve"> [GL24h]</t>
    </r>
  </si>
  <si>
    <r>
      <t>F</t>
    </r>
    <r>
      <rPr>
        <vertAlign val="subscript"/>
        <sz val="12"/>
        <rFont val="Myriad Pro"/>
        <family val="2"/>
      </rPr>
      <t>45,KCC,Rk</t>
    </r>
  </si>
  <si>
    <t>Char. Mittige Belastung [kN]/</t>
  </si>
  <si>
    <t>Char. Central load [kN]</t>
  </si>
  <si>
    <t>decisive value</t>
  </si>
  <si>
    <t>maßgebender Wert</t>
  </si>
  <si>
    <r>
      <t>l</t>
    </r>
    <r>
      <rPr>
        <vertAlign val="subscript"/>
        <sz val="12"/>
        <rFont val="Myriad Pro"/>
        <family val="2"/>
      </rPr>
      <t>ef</t>
    </r>
    <r>
      <rPr>
        <sz val="12"/>
        <rFont val="Myriad Pro"/>
        <family val="2"/>
      </rPr>
      <t xml:space="preserve"> = l</t>
    </r>
    <r>
      <rPr>
        <vertAlign val="subscript"/>
        <sz val="12"/>
        <rFont val="Myriad Pro"/>
        <family val="2"/>
      </rPr>
      <t xml:space="preserve">Scr </t>
    </r>
    <r>
      <rPr>
        <sz val="12"/>
        <rFont val="Myriad Pro"/>
        <family val="2"/>
      </rPr>
      <t>- h</t>
    </r>
    <r>
      <rPr>
        <vertAlign val="subscript"/>
        <sz val="12"/>
        <rFont val="Myriad Pro"/>
        <family val="2"/>
      </rPr>
      <t>ef</t>
    </r>
    <r>
      <rPr>
        <sz val="12"/>
        <rFont val="Myriad Pro"/>
        <family val="2"/>
      </rPr>
      <t xml:space="preserve"> +t =</t>
    </r>
  </si>
  <si>
    <t>seitlicher Randabstand:</t>
  </si>
  <si>
    <r>
      <t>l</t>
    </r>
    <r>
      <rPr>
        <vertAlign val="subscript"/>
        <sz val="12"/>
        <rFont val="Myriad Pro"/>
        <family val="2"/>
      </rPr>
      <t>Scr</t>
    </r>
    <r>
      <rPr>
        <sz val="12"/>
        <rFont val="Myriad Pro"/>
        <family val="2"/>
      </rPr>
      <t xml:space="preserve"> + t =</t>
    </r>
  </si>
  <si>
    <t>Schraubenlänge + Vertiefung L + t =</t>
  </si>
  <si>
    <t>Schraubenlänge + Vertiefung: hef =</t>
  </si>
  <si>
    <t>Randabstand vom Hirnholzende (min 5d ) a1,c =</t>
  </si>
  <si>
    <t>a2,c [mm]</t>
  </si>
  <si>
    <t>Schrauben-abstände</t>
  </si>
  <si>
    <r>
      <t>Versenktiefe der Querzugschraube t</t>
    </r>
    <r>
      <rPr>
        <b/>
        <vertAlign val="subscript"/>
        <sz val="12"/>
        <rFont val="Myriad Pro"/>
        <family val="2"/>
      </rPr>
      <t>v</t>
    </r>
    <r>
      <rPr>
        <b/>
        <sz val="12"/>
        <rFont val="Myriad Pro"/>
        <family val="2"/>
      </rPr>
      <t xml:space="preserve"> =</t>
    </r>
  </si>
  <si>
    <r>
      <t>(</t>
    </r>
    <r>
      <rPr>
        <sz val="12"/>
        <color rgb="FFFF0000"/>
        <rFont val="Myriad Pro"/>
        <family val="2"/>
      </rPr>
      <t xml:space="preserve">rote </t>
    </r>
    <r>
      <rPr>
        <sz val="12"/>
        <rFont val="Myriad Pro"/>
        <family val="2"/>
      </rPr>
      <t>theoretische Aufspaltlinie im Nebenträger)</t>
    </r>
  </si>
  <si>
    <r>
      <t>Überprüfung der Ausklinkungs-Tragfähigkeit bis zur "</t>
    </r>
    <r>
      <rPr>
        <sz val="18"/>
        <color rgb="FFFF0000"/>
        <rFont val="Myriad Pro Black"/>
        <family val="2"/>
      </rPr>
      <t>roten</t>
    </r>
    <r>
      <rPr>
        <sz val="18"/>
        <rFont val="Myriad Pro Black"/>
        <family val="2"/>
      </rPr>
      <t>" oder "</t>
    </r>
    <r>
      <rPr>
        <sz val="18"/>
        <color rgb="FF00FF00"/>
        <rFont val="Myriad Pro Black"/>
        <family val="2"/>
      </rPr>
      <t>grünen</t>
    </r>
    <r>
      <rPr>
        <sz val="18"/>
        <rFont val="Myriad Pro Black"/>
        <family val="2"/>
      </rPr>
      <t>" Aufspaltlinie nach EN 1995-1-1 Abschnitt 6.5:</t>
    </r>
  </si>
  <si>
    <r>
      <t>Überprüfung der Schubtragfähigkeit am "</t>
    </r>
    <r>
      <rPr>
        <sz val="18"/>
        <color rgb="FFFF0000"/>
        <rFont val="Myriad Pro Black"/>
        <family val="2"/>
      </rPr>
      <t>roten ausgeklinkten</t>
    </r>
    <r>
      <rPr>
        <sz val="18"/>
        <rFont val="Myriad Pro Black"/>
        <family val="2"/>
      </rPr>
      <t>" Querschnitt nach EN 1995-1-1 Abschnitt 6.5 :</t>
    </r>
  </si>
  <si>
    <r>
      <t>Die "</t>
    </r>
    <r>
      <rPr>
        <sz val="12"/>
        <color rgb="FFFF0000"/>
        <rFont val="Myriad Pro"/>
        <family val="2"/>
      </rPr>
      <t>rote</t>
    </r>
    <r>
      <rPr>
        <sz val="12"/>
        <rFont val="Myriad Pro"/>
        <family val="2"/>
      </rPr>
      <t>" Aufspaltlinie wird verschoben zur "</t>
    </r>
    <r>
      <rPr>
        <sz val="12"/>
        <color rgb="FF00FF00"/>
        <rFont val="Myriad Pro"/>
        <family val="2"/>
      </rPr>
      <t>grünen</t>
    </r>
    <r>
      <rPr>
        <sz val="12"/>
        <rFont val="Myriad Pro"/>
        <family val="2"/>
      </rPr>
      <t>" Aufspaltlinie mit Querzug-Vollgewindeschrauben</t>
    </r>
  </si>
  <si>
    <t>für Verbindungen</t>
  </si>
  <si>
    <r>
      <t xml:space="preserve">Faktor </t>
    </r>
    <r>
      <rPr>
        <sz val="12"/>
        <rFont val="Symbol"/>
        <family val="1"/>
        <charset val="2"/>
      </rPr>
      <t>g</t>
    </r>
    <r>
      <rPr>
        <vertAlign val="subscript"/>
        <sz val="12"/>
        <rFont val="Myriad Pro"/>
        <family val="2"/>
      </rPr>
      <t>M</t>
    </r>
    <r>
      <rPr>
        <sz val="12"/>
        <rFont val="Myriad Pro"/>
        <family val="2"/>
      </rPr>
      <t xml:space="preserve"> =</t>
    </r>
  </si>
  <si>
    <t>Typ 1</t>
  </si>
  <si>
    <t>Version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</si>
</sst>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164" formatCode="_(* #,##0.00_);_(* \(#,##0.00\);_(* &quot;-&quot;??_);_(@_)"/>
    <numFmt numFmtId="165" formatCode="_-* #,##0.00\ _€_-;\-* #,##0.00\ _€_-;_-* &quot;-&quot;??\ _€_-;_-@_-"/>
    <numFmt numFmtId="166" formatCode="0.00\ &quot;kN&quot;"/>
    <numFmt numFmtId="167" formatCode="0\ &quot;x&quot;"/>
    <numFmt numFmtId="168" formatCode="_-* #,##0.0_-;\-* #,##0.0_-;_-* &quot;-&quot;??_-;_-@_-"/>
    <numFmt numFmtId="169" formatCode="_-* #,##0_-;\-* #,##0_-;_-* &quot;-&quot;??_-;_-@_-"/>
    <numFmt numFmtId="170" formatCode="0\ &quot;mm&quot;"/>
    <numFmt numFmtId="171" formatCode="0.0"/>
    <numFmt numFmtId="172" formatCode="_-* #,##0.0_-;\-* #,##0.0_-;_-* &quot;-&quot;?_-;_-@_-"/>
    <numFmt numFmtId="173" formatCode="&quot;kmod = &quot;0.0"/>
    <numFmt numFmtId="174" formatCode="0\ &quot;kg/m³&quot;"/>
    <numFmt numFmtId="175" formatCode="0.0\ &quot;kN&quot;"/>
    <numFmt numFmtId="176" formatCode="0.0\ &quot;Nm&quot;"/>
    <numFmt numFmtId="177" formatCode="&quot;HN= &quot;0"/>
    <numFmt numFmtId="178" formatCode="&quot;Typ&quot;\ 0"/>
    <numFmt numFmtId="179" formatCode="&quot;d=&quot;\ 0\ &quot;mm&quot;"/>
    <numFmt numFmtId="180" formatCode="0.00\ &quot;mm/min&quot;"/>
    <numFmt numFmtId="181" formatCode="0\ &quot;min&quot;"/>
    <numFmt numFmtId="182" formatCode="0\ &quot;-Schrauben&quot;"/>
    <numFmt numFmtId="183" formatCode="&quot;t1=&quot;\ 0"/>
    <numFmt numFmtId="184" formatCode="0&quot;°&quot;"/>
    <numFmt numFmtId="185" formatCode="0\ &quot;°&quot;"/>
    <numFmt numFmtId="186" formatCode="&quot;hef= &quot;0"/>
    <numFmt numFmtId="187" formatCode="0.000"/>
    <numFmt numFmtId="188" formatCode="0&quot; % &quot;"/>
    <numFmt numFmtId="189" formatCode="0.0&quot; N/mm²&quot;"/>
    <numFmt numFmtId="190" formatCode="&quot;SK 8 x&quot;0"/>
    <numFmt numFmtId="191" formatCode="&quot;SK 10 x&quot;0"/>
    <numFmt numFmtId="192" formatCode="&quot;SK 10x&quot;0"/>
    <numFmt numFmtId="193" formatCode="0&quot; mm&quot;"/>
    <numFmt numFmtId="194" formatCode="_-* #,##0.00_-;\-* #,##0.00_-;_-* &quot;-&quot;?_-;_-@_-"/>
  </numFmts>
  <fonts count="77">
    <font>
      <sz val="12"/>
      <name val="Myriad Pro Light"/>
    </font>
    <font>
      <sz val="12"/>
      <name val="Myriad Pro Light"/>
      <family val="2"/>
    </font>
    <font>
      <sz val="12"/>
      <name val="Myriad Pro"/>
      <family val="2"/>
    </font>
    <font>
      <vertAlign val="subscript"/>
      <sz val="12"/>
      <name val="Myriad Pro"/>
      <family val="2"/>
    </font>
    <font>
      <sz val="12"/>
      <name val="Symbol"/>
      <family val="1"/>
      <charset val="2"/>
    </font>
    <font>
      <sz val="8"/>
      <name val="Myriad Pro Light"/>
      <family val="2"/>
    </font>
    <font>
      <sz val="12"/>
      <name val="Myriad Pro Black"/>
      <family val="2"/>
    </font>
    <font>
      <sz val="14"/>
      <name val="Myriad Pro"/>
      <family val="2"/>
    </font>
    <font>
      <sz val="18"/>
      <name val="Myriad Pro Black"/>
      <family val="2"/>
    </font>
    <font>
      <sz val="12"/>
      <name val="Myriad Pro Light"/>
      <family val="2"/>
    </font>
    <font>
      <b/>
      <u/>
      <sz val="20"/>
      <name val="Arial"/>
      <family val="2"/>
    </font>
    <font>
      <b/>
      <sz val="12"/>
      <name val="Myriad Pro Light"/>
      <family val="2"/>
    </font>
    <font>
      <sz val="11"/>
      <color indexed="8"/>
      <name val="Calibri"/>
      <family val="2"/>
    </font>
    <font>
      <b/>
      <sz val="11"/>
      <color indexed="8"/>
      <name val="Calibri"/>
      <family val="2"/>
    </font>
    <font>
      <sz val="11"/>
      <name val="Calibri"/>
      <family val="2"/>
    </font>
    <font>
      <b/>
      <sz val="11"/>
      <name val="Calibri"/>
      <family val="2"/>
    </font>
    <font>
      <b/>
      <sz val="18"/>
      <color indexed="8"/>
      <name val="Calibri"/>
      <family val="2"/>
    </font>
    <font>
      <b/>
      <vertAlign val="subscript"/>
      <sz val="18"/>
      <color indexed="8"/>
      <name val="Calibri"/>
      <family val="2"/>
    </font>
    <font>
      <b/>
      <sz val="14"/>
      <color indexed="8"/>
      <name val="Calibri"/>
      <family val="2"/>
    </font>
    <font>
      <vertAlign val="subscript"/>
      <sz val="11"/>
      <color indexed="8"/>
      <name val="Calibri"/>
      <family val="2"/>
    </font>
    <font>
      <b/>
      <vertAlign val="subscript"/>
      <sz val="11"/>
      <color indexed="8"/>
      <name val="Calibri"/>
      <family val="2"/>
    </font>
    <font>
      <sz val="11"/>
      <color indexed="8"/>
      <name val="Symbol"/>
      <family val="1"/>
      <charset val="2"/>
    </font>
    <font>
      <b/>
      <sz val="18"/>
      <color indexed="8"/>
      <name val="Myriad Pro"/>
      <family val="2"/>
    </font>
    <font>
      <sz val="11"/>
      <name val="Myriad Web"/>
      <family val="2"/>
    </font>
    <font>
      <sz val="11"/>
      <name val="Myriad Pro"/>
      <family val="2"/>
    </font>
    <font>
      <b/>
      <vertAlign val="subscript"/>
      <sz val="18"/>
      <color indexed="8"/>
      <name val="Myriad Pro"/>
      <family val="2"/>
    </font>
    <font>
      <b/>
      <sz val="9"/>
      <color indexed="81"/>
      <name val="Tahoma"/>
      <family val="2"/>
    </font>
    <font>
      <sz val="9"/>
      <color indexed="81"/>
      <name val="Tahoma"/>
      <family val="2"/>
    </font>
    <font>
      <b/>
      <sz val="12"/>
      <name val="Myriad Pro"/>
      <family val="2"/>
    </font>
    <font>
      <vertAlign val="subscript"/>
      <sz val="12"/>
      <name val="Myriad Pro Light"/>
      <family val="2"/>
    </font>
    <font>
      <sz val="11"/>
      <name val="Myriad Pro Light"/>
      <family val="2"/>
    </font>
    <font>
      <b/>
      <vertAlign val="subscript"/>
      <sz val="12"/>
      <name val="Myriad Pro"/>
      <family val="2"/>
    </font>
    <font>
      <b/>
      <vertAlign val="subscript"/>
      <sz val="12"/>
      <name val="Myriad Pro Light"/>
      <family val="2"/>
    </font>
    <font>
      <sz val="18"/>
      <name val="Myriad Pro"/>
      <family val="2"/>
    </font>
    <font>
      <b/>
      <sz val="18"/>
      <name val="Myriad Pro"/>
      <family val="2"/>
    </font>
    <font>
      <vertAlign val="superscript"/>
      <sz val="12"/>
      <name val="Myriad Pro Light"/>
      <family val="2"/>
    </font>
    <font>
      <sz val="18"/>
      <name val="Myriad Pro Light"/>
      <family val="2"/>
    </font>
    <font>
      <b/>
      <sz val="14"/>
      <name val="Myriad Pro"/>
      <family val="2"/>
    </font>
    <font>
      <sz val="12"/>
      <name val="Calibri"/>
      <family val="2"/>
    </font>
    <font>
      <sz val="11"/>
      <color theme="1"/>
      <name val="Calibri"/>
      <family val="2"/>
      <scheme val="minor"/>
    </font>
    <font>
      <u/>
      <sz val="12"/>
      <color theme="10"/>
      <name val="Myriad Pro Light"/>
      <family val="2"/>
    </font>
    <font>
      <sz val="11"/>
      <color rgb="FFFF0000"/>
      <name val="Calibri"/>
      <family val="2"/>
      <scheme val="minor"/>
    </font>
    <font>
      <sz val="11"/>
      <name val="Calibri"/>
      <family val="2"/>
      <scheme val="minor"/>
    </font>
    <font>
      <sz val="11"/>
      <color theme="1"/>
      <name val="Myriad Pro"/>
      <family val="2"/>
    </font>
    <font>
      <sz val="11"/>
      <color theme="0"/>
      <name val="Myriad Pro"/>
      <family val="2"/>
    </font>
    <font>
      <sz val="9"/>
      <color indexed="81"/>
      <name val="Segoe UI"/>
      <family val="2"/>
    </font>
    <font>
      <b/>
      <sz val="9"/>
      <color indexed="81"/>
      <name val="Segoe UI"/>
      <family val="2"/>
    </font>
    <font>
      <sz val="10"/>
      <color rgb="FFFF0000"/>
      <name val="Myriad Pro"/>
      <family val="2"/>
    </font>
    <font>
      <sz val="11"/>
      <color rgb="FF006100"/>
      <name val="Calibri"/>
      <family val="2"/>
      <scheme val="minor"/>
    </font>
    <font>
      <sz val="11"/>
      <color rgb="FF9C0006"/>
      <name val="Calibri"/>
      <family val="2"/>
      <scheme val="minor"/>
    </font>
    <font>
      <b/>
      <sz val="14"/>
      <color rgb="FFFF0000"/>
      <name val="Myriad Pro"/>
      <family val="2"/>
    </font>
    <font>
      <b/>
      <vertAlign val="subscript"/>
      <sz val="18"/>
      <name val="Myriad Pro"/>
      <family val="2"/>
    </font>
    <font>
      <b/>
      <sz val="12"/>
      <name val="Symbol"/>
      <family val="1"/>
      <charset val="2"/>
    </font>
    <font>
      <b/>
      <sz val="12"/>
      <name val="Myriad Pro Light"/>
      <family val="1"/>
      <charset val="2"/>
    </font>
    <font>
      <sz val="12"/>
      <name val="Myriad Pro Light"/>
      <family val="1"/>
      <charset val="2"/>
    </font>
    <font>
      <b/>
      <vertAlign val="subscript"/>
      <sz val="14"/>
      <name val="Myriad Pro"/>
      <family val="2"/>
    </font>
    <font>
      <b/>
      <sz val="14"/>
      <name val="Calibri"/>
      <family val="2"/>
    </font>
    <font>
      <b/>
      <sz val="14"/>
      <name val="Myriad Pro Light"/>
      <family val="2"/>
    </font>
    <font>
      <b/>
      <sz val="14"/>
      <name val="Myriad Pro Light"/>
      <family val="1"/>
      <charset val="2"/>
    </font>
    <font>
      <b/>
      <sz val="14"/>
      <name val="Symbol"/>
      <family val="1"/>
      <charset val="2"/>
    </font>
    <font>
      <b/>
      <vertAlign val="subscript"/>
      <sz val="14"/>
      <name val="Myriad Pro Light"/>
      <family val="2"/>
    </font>
    <font>
      <sz val="14"/>
      <name val="Myriad Pro Black"/>
      <family val="2"/>
    </font>
    <font>
      <sz val="12"/>
      <name val="Myriad Pro Light"/>
      <family val="2"/>
    </font>
    <font>
      <sz val="12"/>
      <color rgb="FFFF0000"/>
      <name val="Myriad Pro"/>
      <family val="2"/>
    </font>
    <font>
      <sz val="12"/>
      <name val="Myriad Pro"/>
      <family val="1"/>
      <charset val="2"/>
    </font>
    <font>
      <sz val="11"/>
      <name val="Symbol"/>
      <family val="1"/>
      <charset val="2"/>
    </font>
    <font>
      <vertAlign val="subscript"/>
      <sz val="11"/>
      <name val="Calibri"/>
      <family val="2"/>
      <scheme val="minor"/>
    </font>
    <font>
      <vertAlign val="subscript"/>
      <sz val="11"/>
      <name val="Calibri"/>
      <family val="2"/>
    </font>
    <font>
      <b/>
      <sz val="11"/>
      <name val="Myriad Pro"/>
      <family val="2"/>
    </font>
    <font>
      <vertAlign val="subscript"/>
      <sz val="11"/>
      <color indexed="8"/>
      <name val="Cambria"/>
      <family val="1"/>
    </font>
    <font>
      <sz val="12"/>
      <name val="Myriad Pro Light"/>
      <family val="2"/>
      <charset val="2"/>
    </font>
    <font>
      <b/>
      <sz val="12"/>
      <color rgb="FFFF0000"/>
      <name val="Myriad Pro"/>
      <family val="2"/>
    </font>
    <font>
      <sz val="12"/>
      <color rgb="FF00FF00"/>
      <name val="Myriad Pro"/>
      <family val="2"/>
    </font>
    <font>
      <sz val="18"/>
      <color rgb="FF00FF00"/>
      <name val="Myriad Pro Black"/>
      <family val="2"/>
    </font>
    <font>
      <sz val="18"/>
      <color rgb="FFFF0000"/>
      <name val="Myriad Pro Black"/>
      <family val="2"/>
    </font>
    <font>
      <b/>
      <sz val="9"/>
      <color indexed="81"/>
      <name val="Symbol"/>
      <family val="1"/>
      <charset val="2"/>
    </font>
    <font>
      <b/>
      <vertAlign val="subscript"/>
      <sz val="9"/>
      <color indexed="81"/>
      <name val="Segoe UI"/>
      <family val="2"/>
    </font>
  </fonts>
  <fills count="7">
    <fill>
      <patternFill patternType="none"/>
    </fill>
    <fill>
      <patternFill patternType="gray125"/>
    </fill>
    <fill>
      <patternFill patternType="solid">
        <fgColor theme="6" tint="0.79998168889431442"/>
        <bgColor indexed="64"/>
      </patternFill>
    </fill>
    <fill>
      <patternFill patternType="solid">
        <fgColor theme="6" tint="0.39997558519241921"/>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s>
  <borders count="61">
    <border>
      <left/>
      <right/>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double">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thin">
        <color indexed="64"/>
      </bottom>
      <diagonal style="thin">
        <color indexed="64"/>
      </diagonal>
    </border>
    <border>
      <left/>
      <right/>
      <top style="medium">
        <color indexed="64"/>
      </top>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diagonalUp="1" diagonalDown="1">
      <left style="thin">
        <color indexed="64"/>
      </left>
      <right style="thin">
        <color indexed="64"/>
      </right>
      <top style="thin">
        <color indexed="64"/>
      </top>
      <bottom style="medium">
        <color indexed="64"/>
      </bottom>
      <diagonal style="thin">
        <color indexed="64"/>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diagonalUp="1" diagonalDown="1">
      <left style="medium">
        <color indexed="64"/>
      </left>
      <right style="medium">
        <color indexed="64"/>
      </right>
      <top/>
      <bottom/>
      <diagonal style="thin">
        <color indexed="64"/>
      </diagonal>
    </border>
    <border diagonalUp="1" diagonalDown="1">
      <left style="medium">
        <color indexed="64"/>
      </left>
      <right style="medium">
        <color indexed="64"/>
      </right>
      <top/>
      <bottom style="medium">
        <color indexed="64"/>
      </bottom>
      <diagonal style="thin">
        <color indexed="64"/>
      </diagonal>
    </border>
    <border diagonalUp="1" diagonalDown="1">
      <left style="medium">
        <color indexed="64"/>
      </left>
      <right style="medium">
        <color indexed="64"/>
      </right>
      <top style="thin">
        <color indexed="64"/>
      </top>
      <bottom style="medium">
        <color indexed="64"/>
      </bottom>
      <diagonal style="thin">
        <color indexed="64"/>
      </diagonal>
    </border>
    <border diagonalUp="1" diagonalDown="1">
      <left style="medium">
        <color indexed="64"/>
      </left>
      <right style="medium">
        <color indexed="64"/>
      </right>
      <top style="medium">
        <color indexed="64"/>
      </top>
      <bottom/>
      <diagonal style="thin">
        <color indexed="64"/>
      </diagonal>
    </border>
    <border diagonalUp="1" diagonalDown="1">
      <left style="medium">
        <color indexed="64"/>
      </left>
      <right style="medium">
        <color indexed="64"/>
      </right>
      <top style="thin">
        <color indexed="64"/>
      </top>
      <bottom style="thin">
        <color indexed="64"/>
      </bottom>
      <diagonal style="thin">
        <color indexed="64"/>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style="medium">
        <color indexed="64"/>
      </left>
      <right/>
      <top style="double">
        <color indexed="64"/>
      </top>
      <bottom style="double">
        <color indexed="64"/>
      </bottom>
      <diagonal/>
    </border>
    <border>
      <left style="medium">
        <color indexed="64"/>
      </left>
      <right/>
      <top/>
      <bottom style="double">
        <color indexed="64"/>
      </bottom>
      <diagonal/>
    </border>
  </borders>
  <cellStyleXfs count="8">
    <xf numFmtId="0" fontId="0" fillId="0" borderId="0"/>
    <xf numFmtId="0" fontId="40" fillId="0" borderId="0" applyNumberFormat="0" applyFill="0" applyBorder="0" applyAlignment="0" applyProtection="0"/>
    <xf numFmtId="164" fontId="1" fillId="0" borderId="0" applyFont="0" applyFill="0" applyBorder="0" applyAlignment="0" applyProtection="0"/>
    <xf numFmtId="165" fontId="39" fillId="0" borderId="0" applyFont="0" applyFill="0" applyBorder="0" applyAlignment="0" applyProtection="0"/>
    <xf numFmtId="164" fontId="12" fillId="0" borderId="0" applyFont="0" applyFill="0" applyBorder="0" applyAlignment="0" applyProtection="0"/>
    <xf numFmtId="0" fontId="48" fillId="5" borderId="0" applyNumberFormat="0" applyBorder="0" applyAlignment="0" applyProtection="0"/>
    <xf numFmtId="0" fontId="49" fillId="6" borderId="0" applyNumberFormat="0" applyBorder="0" applyAlignment="0" applyProtection="0"/>
    <xf numFmtId="9" fontId="62" fillId="0" borderId="0" applyFont="0" applyFill="0" applyBorder="0" applyAlignment="0" applyProtection="0"/>
  </cellStyleXfs>
  <cellXfs count="548">
    <xf numFmtId="0" fontId="0" fillId="0" borderId="0" xfId="0"/>
    <xf numFmtId="0" fontId="2" fillId="0" borderId="0" xfId="0" applyFont="1"/>
    <xf numFmtId="0" fontId="2" fillId="0" borderId="0" xfId="0" applyFont="1" applyAlignment="1">
      <alignment horizontal="right"/>
    </xf>
    <xf numFmtId="166" fontId="2" fillId="0" borderId="0" xfId="0" applyNumberFormat="1" applyFont="1"/>
    <xf numFmtId="166" fontId="2" fillId="0" borderId="0" xfId="0" applyNumberFormat="1" applyFont="1" applyAlignment="1">
      <alignment horizontal="center"/>
    </xf>
    <xf numFmtId="0" fontId="2" fillId="0" borderId="0" xfId="0" applyFont="1" applyAlignment="1">
      <alignment horizontal="center"/>
    </xf>
    <xf numFmtId="0" fontId="2" fillId="0" borderId="1" xfId="0" applyFont="1" applyBorder="1"/>
    <xf numFmtId="0" fontId="2" fillId="0" borderId="2" xfId="0" applyFont="1" applyBorder="1"/>
    <xf numFmtId="0" fontId="2" fillId="0" borderId="3" xfId="0" applyFont="1" applyBorder="1"/>
    <xf numFmtId="0" fontId="2" fillId="0" borderId="4" xfId="0" applyFont="1" applyBorder="1" applyAlignment="1">
      <alignment horizontal="center" vertical="center"/>
    </xf>
    <xf numFmtId="0" fontId="2" fillId="0" borderId="4" xfId="0" applyFont="1" applyBorder="1"/>
    <xf numFmtId="0" fontId="2" fillId="0" borderId="4" xfId="0" applyFont="1" applyBorder="1" applyAlignment="1">
      <alignment horizontal="center"/>
    </xf>
    <xf numFmtId="0" fontId="2" fillId="0" borderId="5" xfId="0" applyFont="1" applyBorder="1"/>
    <xf numFmtId="170" fontId="2" fillId="0" borderId="0" xfId="2" applyNumberFormat="1" applyFont="1"/>
    <xf numFmtId="166" fontId="2" fillId="0" borderId="0" xfId="2" applyNumberFormat="1" applyFont="1"/>
    <xf numFmtId="0" fontId="8" fillId="0" borderId="0" xfId="0" applyFont="1"/>
    <xf numFmtId="0" fontId="10" fillId="0" borderId="0" xfId="0" applyFont="1"/>
    <xf numFmtId="0" fontId="11" fillId="0" borderId="0" xfId="0" applyFont="1" applyAlignment="1">
      <alignment horizontal="right"/>
    </xf>
    <xf numFmtId="1" fontId="2" fillId="0" borderId="0" xfId="0" applyNumberFormat="1" applyFont="1" applyAlignment="1">
      <alignment horizontal="right"/>
    </xf>
    <xf numFmtId="0" fontId="2" fillId="0" borderId="0" xfId="0" applyFont="1" applyAlignment="1">
      <alignment horizontal="right" vertical="center"/>
    </xf>
    <xf numFmtId="166" fontId="2" fillId="0" borderId="4" xfId="0" applyNumberFormat="1" applyFont="1" applyBorder="1" applyAlignment="1">
      <alignment horizontal="center"/>
    </xf>
    <xf numFmtId="0" fontId="2" fillId="0" borderId="0" xfId="0" applyFont="1" applyAlignment="1">
      <alignment horizontal="center" wrapText="1"/>
    </xf>
    <xf numFmtId="0" fontId="2" fillId="0" borderId="8" xfId="0" applyFont="1" applyBorder="1"/>
    <xf numFmtId="0" fontId="2" fillId="0" borderId="0" xfId="0" applyFont="1" applyAlignment="1">
      <alignment horizontal="left"/>
    </xf>
    <xf numFmtId="167" fontId="2" fillId="0" borderId="0" xfId="0" applyNumberFormat="1" applyFont="1"/>
    <xf numFmtId="0" fontId="2" fillId="0" borderId="7" xfId="0" applyFont="1" applyBorder="1"/>
    <xf numFmtId="0" fontId="28" fillId="0" borderId="0" xfId="0" applyFont="1"/>
    <xf numFmtId="0" fontId="2" fillId="0" borderId="7" xfId="0" applyFont="1" applyBorder="1" applyAlignment="1">
      <alignment horizontal="center"/>
    </xf>
    <xf numFmtId="0" fontId="7" fillId="0" borderId="0" xfId="0" applyFont="1" applyAlignment="1">
      <alignment horizontal="right"/>
    </xf>
    <xf numFmtId="0" fontId="7" fillId="0" borderId="0" xfId="0" applyFont="1"/>
    <xf numFmtId="0" fontId="7" fillId="0" borderId="0" xfId="0" applyFont="1" applyAlignment="1">
      <alignment horizontal="center"/>
    </xf>
    <xf numFmtId="166" fontId="2" fillId="0" borderId="12" xfId="0" applyNumberFormat="1" applyFont="1" applyBorder="1"/>
    <xf numFmtId="166" fontId="2" fillId="0" borderId="4" xfId="0" applyNumberFormat="1" applyFont="1" applyBorder="1" applyAlignment="1">
      <alignment vertical="center"/>
    </xf>
    <xf numFmtId="164" fontId="2" fillId="0" borderId="0" xfId="2" applyFont="1" applyFill="1"/>
    <xf numFmtId="0" fontId="2" fillId="0" borderId="4" xfId="0" applyFont="1" applyBorder="1" applyAlignment="1">
      <alignment horizontal="left" vertical="top" wrapText="1"/>
    </xf>
    <xf numFmtId="166" fontId="2" fillId="0" borderId="4" xfId="0" applyNumberFormat="1" applyFont="1" applyBorder="1" applyAlignment="1">
      <alignment horizontal="center" wrapText="1"/>
    </xf>
    <xf numFmtId="1" fontId="2" fillId="0" borderId="0" xfId="2" applyNumberFormat="1" applyFont="1" applyAlignment="1">
      <alignment horizontal="center"/>
    </xf>
    <xf numFmtId="2" fontId="2" fillId="0" borderId="0" xfId="0" applyNumberFormat="1" applyFont="1" applyAlignment="1">
      <alignment horizontal="center"/>
    </xf>
    <xf numFmtId="166" fontId="2" fillId="0" borderId="0" xfId="2" applyNumberFormat="1" applyFont="1" applyFill="1"/>
    <xf numFmtId="167" fontId="2" fillId="2" borderId="0" xfId="0" applyNumberFormat="1" applyFont="1" applyFill="1" applyProtection="1">
      <protection locked="0"/>
    </xf>
    <xf numFmtId="1" fontId="2" fillId="2" borderId="0" xfId="2" applyNumberFormat="1" applyFont="1" applyFill="1" applyAlignment="1" applyProtection="1">
      <alignment horizontal="center"/>
      <protection locked="0"/>
    </xf>
    <xf numFmtId="1" fontId="2" fillId="2" borderId="0" xfId="0" applyNumberFormat="1" applyFont="1" applyFill="1" applyProtection="1">
      <protection locked="0"/>
    </xf>
    <xf numFmtId="177" fontId="2" fillId="2" borderId="0" xfId="0" applyNumberFormat="1" applyFont="1" applyFill="1" applyAlignment="1" applyProtection="1">
      <alignment horizontal="center"/>
      <protection locked="0"/>
    </xf>
    <xf numFmtId="0" fontId="2" fillId="2" borderId="4" xfId="0" applyFont="1" applyFill="1" applyBorder="1" applyAlignment="1" applyProtection="1">
      <alignment horizontal="center"/>
      <protection locked="0"/>
    </xf>
    <xf numFmtId="166" fontId="2" fillId="0" borderId="16" xfId="0" applyNumberFormat="1" applyFont="1" applyBorder="1" applyAlignment="1">
      <alignment horizontal="center"/>
    </xf>
    <xf numFmtId="166" fontId="2" fillId="2" borderId="7" xfId="0" applyNumberFormat="1" applyFont="1" applyFill="1" applyBorder="1" applyAlignment="1" applyProtection="1">
      <alignment horizontal="center"/>
      <protection locked="0"/>
    </xf>
    <xf numFmtId="0" fontId="2" fillId="2" borderId="7" xfId="0" applyFont="1" applyFill="1" applyBorder="1" applyAlignment="1" applyProtection="1">
      <alignment horizontal="center"/>
      <protection locked="0"/>
    </xf>
    <xf numFmtId="0" fontId="2" fillId="0" borderId="17" xfId="0" applyFont="1" applyBorder="1"/>
    <xf numFmtId="0" fontId="2" fillId="0" borderId="18" xfId="0" applyFont="1" applyBorder="1"/>
    <xf numFmtId="0" fontId="9" fillId="2" borderId="0" xfId="0" applyFont="1" applyFill="1"/>
    <xf numFmtId="0" fontId="9" fillId="3" borderId="0" xfId="0" applyFont="1" applyFill="1"/>
    <xf numFmtId="0" fontId="16" fillId="0" borderId="0" xfId="0" applyFont="1"/>
    <xf numFmtId="0" fontId="0" fillId="0" borderId="0" xfId="0" applyAlignment="1">
      <alignment horizontal="center"/>
    </xf>
    <xf numFmtId="0" fontId="18" fillId="0" borderId="0" xfId="0" applyFont="1" applyAlignment="1">
      <alignment horizontal="left"/>
    </xf>
    <xf numFmtId="0" fontId="0" fillId="0" borderId="11" xfId="0" applyBorder="1"/>
    <xf numFmtId="0" fontId="0" fillId="0" borderId="11" xfId="0" applyBorder="1" applyAlignment="1">
      <alignment horizontal="center"/>
    </xf>
    <xf numFmtId="0" fontId="9" fillId="0" borderId="11" xfId="0" applyFont="1" applyBorder="1" applyAlignment="1">
      <alignment horizontal="center"/>
    </xf>
    <xf numFmtId="0" fontId="13" fillId="0" borderId="11" xfId="0" applyFont="1" applyBorder="1" applyAlignment="1">
      <alignment horizontal="center"/>
    </xf>
    <xf numFmtId="0" fontId="0" fillId="0" borderId="7" xfId="0" applyBorder="1"/>
    <xf numFmtId="0" fontId="0" fillId="0" borderId="7" xfId="0" applyBorder="1" applyAlignment="1">
      <alignment horizontal="center"/>
    </xf>
    <xf numFmtId="0" fontId="13" fillId="0" borderId="7" xfId="0" applyFont="1" applyBorder="1" applyAlignment="1">
      <alignment horizontal="center"/>
    </xf>
    <xf numFmtId="173" fontId="0" fillId="0" borderId="4" xfId="0" applyNumberFormat="1" applyBorder="1" applyAlignment="1">
      <alignment horizontal="center"/>
    </xf>
    <xf numFmtId="0" fontId="42" fillId="4" borderId="4" xfId="0" applyFont="1" applyFill="1" applyBorder="1"/>
    <xf numFmtId="171" fontId="42" fillId="4" borderId="4" xfId="0" applyNumberFormat="1" applyFont="1" applyFill="1" applyBorder="1" applyAlignment="1">
      <alignment horizontal="center"/>
    </xf>
    <xf numFmtId="1" fontId="42" fillId="4" borderId="4" xfId="0" applyNumberFormat="1" applyFont="1" applyFill="1" applyBorder="1" applyAlignment="1">
      <alignment horizontal="center"/>
    </xf>
    <xf numFmtId="171" fontId="14" fillId="4" borderId="4" xfId="3" applyNumberFormat="1" applyFont="1" applyFill="1" applyBorder="1" applyAlignment="1" applyProtection="1">
      <alignment horizontal="center"/>
    </xf>
    <xf numFmtId="171" fontId="42" fillId="3" borderId="4" xfId="0" applyNumberFormat="1" applyFont="1" applyFill="1" applyBorder="1" applyAlignment="1">
      <alignment horizontal="center"/>
    </xf>
    <xf numFmtId="0" fontId="42" fillId="4" borderId="9" xfId="0" applyFont="1" applyFill="1" applyBorder="1"/>
    <xf numFmtId="171" fontId="42" fillId="4" borderId="9" xfId="0" applyNumberFormat="1" applyFont="1" applyFill="1" applyBorder="1" applyAlignment="1">
      <alignment horizontal="center"/>
    </xf>
    <xf numFmtId="1" fontId="42" fillId="4" borderId="9" xfId="0" applyNumberFormat="1" applyFont="1" applyFill="1" applyBorder="1" applyAlignment="1">
      <alignment horizontal="center"/>
    </xf>
    <xf numFmtId="171" fontId="14" fillId="4" borderId="9" xfId="3" applyNumberFormat="1" applyFont="1" applyFill="1" applyBorder="1" applyAlignment="1" applyProtection="1">
      <alignment horizontal="center"/>
    </xf>
    <xf numFmtId="171" fontId="42" fillId="3" borderId="9" xfId="0" applyNumberFormat="1" applyFont="1" applyFill="1" applyBorder="1" applyAlignment="1">
      <alignment horizontal="center"/>
    </xf>
    <xf numFmtId="171" fontId="42" fillId="3" borderId="10" xfId="0" applyNumberFormat="1" applyFont="1" applyFill="1" applyBorder="1" applyAlignment="1">
      <alignment horizontal="center"/>
    </xf>
    <xf numFmtId="0" fontId="42" fillId="0" borderId="9" xfId="0" applyFont="1" applyBorder="1"/>
    <xf numFmtId="171" fontId="42" fillId="0" borderId="9" xfId="0" applyNumberFormat="1" applyFont="1" applyBorder="1" applyAlignment="1">
      <alignment horizontal="center"/>
    </xf>
    <xf numFmtId="1" fontId="42" fillId="0" borderId="9" xfId="0" applyNumberFormat="1" applyFont="1" applyBorder="1" applyAlignment="1">
      <alignment horizontal="center"/>
    </xf>
    <xf numFmtId="0" fontId="42" fillId="4" borderId="10" xfId="0" applyFont="1" applyFill="1" applyBorder="1"/>
    <xf numFmtId="171" fontId="42" fillId="4" borderId="10" xfId="0" applyNumberFormat="1" applyFont="1" applyFill="1" applyBorder="1" applyAlignment="1">
      <alignment horizontal="center"/>
    </xf>
    <xf numFmtId="1" fontId="42" fillId="4" borderId="10" xfId="0" applyNumberFormat="1" applyFont="1" applyFill="1" applyBorder="1" applyAlignment="1">
      <alignment horizontal="center"/>
    </xf>
    <xf numFmtId="171" fontId="14" fillId="4" borderId="10" xfId="3" applyNumberFormat="1" applyFont="1" applyFill="1" applyBorder="1" applyAlignment="1" applyProtection="1">
      <alignment horizontal="center"/>
    </xf>
    <xf numFmtId="171" fontId="14" fillId="0" borderId="4" xfId="3" applyNumberFormat="1" applyFont="1" applyFill="1" applyBorder="1" applyAlignment="1" applyProtection="1">
      <alignment horizontal="center"/>
    </xf>
    <xf numFmtId="0" fontId="0" fillId="0" borderId="0" xfId="0" applyAlignment="1">
      <alignment horizontal="right"/>
    </xf>
    <xf numFmtId="0" fontId="0" fillId="3" borderId="0" xfId="0" applyFill="1"/>
    <xf numFmtId="1" fontId="42" fillId="3" borderId="0" xfId="0" applyNumberFormat="1" applyFont="1" applyFill="1" applyAlignment="1">
      <alignment horizontal="center"/>
    </xf>
    <xf numFmtId="171" fontId="12" fillId="0" borderId="0" xfId="3" applyNumberFormat="1" applyFont="1" applyBorder="1" applyAlignment="1" applyProtection="1">
      <alignment horizontal="center"/>
    </xf>
    <xf numFmtId="0" fontId="30" fillId="0" borderId="0" xfId="0" applyFont="1" applyAlignment="1">
      <alignment horizontal="right"/>
    </xf>
    <xf numFmtId="0" fontId="30" fillId="3" borderId="0" xfId="0" applyFont="1" applyFill="1"/>
    <xf numFmtId="0" fontId="30" fillId="0" borderId="0" xfId="0" applyFont="1"/>
    <xf numFmtId="172" fontId="42" fillId="0" borderId="0" xfId="0" applyNumberFormat="1" applyFont="1"/>
    <xf numFmtId="0" fontId="0" fillId="0" borderId="19" xfId="0" applyBorder="1" applyAlignment="1">
      <alignment horizontal="center"/>
    </xf>
    <xf numFmtId="0" fontId="9" fillId="0" borderId="0" xfId="0" quotePrefix="1" applyFont="1"/>
    <xf numFmtId="0" fontId="22" fillId="0" borderId="0" xfId="0" applyFont="1"/>
    <xf numFmtId="0" fontId="43" fillId="0" borderId="0" xfId="0" applyFont="1"/>
    <xf numFmtId="0" fontId="44" fillId="0" borderId="0" xfId="0" applyFont="1"/>
    <xf numFmtId="0" fontId="44" fillId="0" borderId="0" xfId="0" applyFont="1" applyAlignment="1">
      <alignment horizontal="left"/>
    </xf>
    <xf numFmtId="0" fontId="44" fillId="0" borderId="0" xfId="0" applyFont="1" applyAlignment="1">
      <alignment horizontal="center"/>
    </xf>
    <xf numFmtId="0" fontId="44" fillId="0" borderId="0" xfId="0" applyFont="1" applyAlignment="1">
      <alignment vertical="center" wrapText="1"/>
    </xf>
    <xf numFmtId="173" fontId="44" fillId="0" borderId="0" xfId="0" applyNumberFormat="1" applyFont="1" applyAlignment="1">
      <alignment horizontal="center"/>
    </xf>
    <xf numFmtId="0" fontId="43" fillId="0" borderId="0" xfId="0" applyFont="1" applyAlignment="1">
      <alignment vertical="center" wrapText="1"/>
    </xf>
    <xf numFmtId="1" fontId="23" fillId="0" borderId="0" xfId="3" applyNumberFormat="1" applyFont="1" applyFill="1" applyBorder="1" applyAlignment="1" applyProtection="1">
      <alignment horizontal="center"/>
    </xf>
    <xf numFmtId="0" fontId="24" fillId="0" borderId="0" xfId="0" applyFont="1" applyAlignment="1">
      <alignment vertical="center"/>
    </xf>
    <xf numFmtId="2" fontId="0" fillId="0" borderId="0" xfId="0" applyNumberFormat="1" applyAlignment="1">
      <alignment horizontal="center"/>
    </xf>
    <xf numFmtId="2" fontId="43" fillId="0" borderId="0" xfId="0" applyNumberFormat="1" applyFont="1" applyAlignment="1">
      <alignment horizontal="center"/>
    </xf>
    <xf numFmtId="2" fontId="39" fillId="0" borderId="0" xfId="3" applyNumberFormat="1" applyFont="1" applyFill="1" applyBorder="1" applyAlignment="1" applyProtection="1">
      <alignment horizontal="center" vertical="center"/>
    </xf>
    <xf numFmtId="2" fontId="39" fillId="0" borderId="0" xfId="3" applyNumberFormat="1" applyFont="1" applyFill="1" applyBorder="1" applyAlignment="1" applyProtection="1">
      <alignment vertical="center"/>
    </xf>
    <xf numFmtId="172" fontId="0" fillId="0" borderId="0" xfId="0" applyNumberFormat="1"/>
    <xf numFmtId="0" fontId="0" fillId="0" borderId="11" xfId="0" applyBorder="1" applyAlignment="1">
      <alignment horizontal="center" vertical="center"/>
    </xf>
    <xf numFmtId="0" fontId="13" fillId="0" borderId="11" xfId="0" applyFont="1" applyBorder="1" applyAlignment="1">
      <alignment horizontal="center" vertical="center"/>
    </xf>
    <xf numFmtId="0" fontId="13" fillId="0" borderId="8" xfId="0" applyFont="1" applyBorder="1" applyAlignment="1">
      <alignment horizontal="center" vertical="center"/>
    </xf>
    <xf numFmtId="0" fontId="0" fillId="0" borderId="7" xfId="0" applyBorder="1" applyAlignment="1">
      <alignment horizontal="center" vertical="center"/>
    </xf>
    <xf numFmtId="0" fontId="13" fillId="0" borderId="7" xfId="0" applyFont="1" applyBorder="1" applyAlignment="1">
      <alignment horizontal="center" vertical="center"/>
    </xf>
    <xf numFmtId="2" fontId="43" fillId="0" borderId="0" xfId="0" applyNumberFormat="1" applyFont="1" applyAlignment="1">
      <alignment vertical="center"/>
    </xf>
    <xf numFmtId="171" fontId="13" fillId="0" borderId="8" xfId="3" applyNumberFormat="1" applyFont="1" applyBorder="1" applyAlignment="1" applyProtection="1">
      <alignment horizontal="center"/>
    </xf>
    <xf numFmtId="171" fontId="15" fillId="0" borderId="8" xfId="3" applyNumberFormat="1" applyFont="1" applyBorder="1" applyAlignment="1" applyProtection="1">
      <alignment horizontal="center"/>
    </xf>
    <xf numFmtId="171" fontId="0" fillId="0" borderId="0" xfId="0" applyNumberFormat="1"/>
    <xf numFmtId="0" fontId="41" fillId="0" borderId="0" xfId="0" applyFont="1"/>
    <xf numFmtId="0" fontId="42" fillId="3" borderId="0" xfId="0" applyFont="1" applyFill="1"/>
    <xf numFmtId="0" fontId="42" fillId="0" borderId="0" xfId="0" applyFont="1"/>
    <xf numFmtId="168" fontId="14" fillId="0" borderId="0" xfId="3" applyNumberFormat="1" applyFont="1" applyProtection="1"/>
    <xf numFmtId="0" fontId="0" fillId="0" borderId="1" xfId="0" applyBorder="1" applyAlignment="1">
      <alignment horizontal="center"/>
    </xf>
    <xf numFmtId="0" fontId="0" fillId="0" borderId="8" xfId="0" applyBorder="1" applyAlignment="1">
      <alignment horizontal="center"/>
    </xf>
    <xf numFmtId="0" fontId="0" fillId="0" borderId="5" xfId="0" applyBorder="1" applyAlignment="1">
      <alignment horizontal="center"/>
    </xf>
    <xf numFmtId="1" fontId="0" fillId="0" borderId="8" xfId="0" applyNumberFormat="1" applyBorder="1" applyAlignment="1">
      <alignment horizontal="center"/>
    </xf>
    <xf numFmtId="171" fontId="0" fillId="0" borderId="0" xfId="0" applyNumberFormat="1" applyAlignment="1">
      <alignment horizontal="center"/>
    </xf>
    <xf numFmtId="1" fontId="0" fillId="0" borderId="0" xfId="0" applyNumberFormat="1" applyAlignment="1">
      <alignment horizontal="center"/>
    </xf>
    <xf numFmtId="0" fontId="13" fillId="0" borderId="0" xfId="0" applyFont="1" applyAlignment="1">
      <alignment horizontal="center" vertical="center"/>
    </xf>
    <xf numFmtId="0" fontId="0" fillId="0" borderId="19" xfId="0" applyBorder="1" applyAlignment="1">
      <alignment horizontal="center" vertical="center"/>
    </xf>
    <xf numFmtId="2" fontId="42" fillId="4" borderId="4" xfId="0" applyNumberFormat="1" applyFont="1" applyFill="1" applyBorder="1" applyAlignment="1">
      <alignment horizontal="center"/>
    </xf>
    <xf numFmtId="171" fontId="13" fillId="0" borderId="0" xfId="3" applyNumberFormat="1" applyFont="1" applyBorder="1" applyAlignment="1" applyProtection="1">
      <alignment horizontal="center"/>
    </xf>
    <xf numFmtId="0" fontId="2" fillId="0" borderId="23" xfId="0" applyFont="1" applyBorder="1"/>
    <xf numFmtId="0" fontId="2" fillId="0" borderId="24" xfId="0" applyFont="1" applyBorder="1"/>
    <xf numFmtId="0" fontId="2" fillId="0" borderId="24" xfId="0" applyFont="1" applyBorder="1" applyAlignment="1">
      <alignment horizontal="right"/>
    </xf>
    <xf numFmtId="0" fontId="2" fillId="0" borderId="25" xfId="0" applyFont="1" applyBorder="1"/>
    <xf numFmtId="0" fontId="34" fillId="0" borderId="26" xfId="0" applyFont="1" applyBorder="1"/>
    <xf numFmtId="0" fontId="34" fillId="2" borderId="23" xfId="0" applyFont="1" applyFill="1" applyBorder="1" applyAlignment="1" applyProtection="1">
      <alignment horizontal="right"/>
      <protection locked="0"/>
    </xf>
    <xf numFmtId="0" fontId="34" fillId="0" borderId="23" xfId="0" applyFont="1" applyBorder="1"/>
    <xf numFmtId="0" fontId="33" fillId="0" borderId="23" xfId="0" applyFont="1" applyBorder="1"/>
    <xf numFmtId="167" fontId="34" fillId="2" borderId="23" xfId="0" applyNumberFormat="1" applyFont="1" applyFill="1" applyBorder="1" applyProtection="1">
      <protection locked="0"/>
    </xf>
    <xf numFmtId="0" fontId="34" fillId="2" borderId="27" xfId="0" applyFont="1" applyFill="1" applyBorder="1" applyAlignment="1" applyProtection="1">
      <alignment horizontal="left"/>
      <protection locked="0"/>
    </xf>
    <xf numFmtId="0" fontId="2" fillId="0" borderId="28" xfId="0" applyFont="1" applyBorder="1" applyAlignment="1">
      <alignment horizontal="left"/>
    </xf>
    <xf numFmtId="0" fontId="28" fillId="0" borderId="29" xfId="0" applyFont="1" applyBorder="1"/>
    <xf numFmtId="0" fontId="28" fillId="0" borderId="25" xfId="0" applyFont="1" applyBorder="1"/>
    <xf numFmtId="167" fontId="28" fillId="0" borderId="25" xfId="0" applyNumberFormat="1" applyFont="1" applyBorder="1" applyAlignment="1">
      <alignment horizontal="right"/>
    </xf>
    <xf numFmtId="170" fontId="28" fillId="0" borderId="25" xfId="0" applyNumberFormat="1" applyFont="1" applyBorder="1" applyAlignment="1">
      <alignment horizontal="left"/>
    </xf>
    <xf numFmtId="167" fontId="28" fillId="0" borderId="25" xfId="0" applyNumberFormat="1" applyFont="1" applyBorder="1"/>
    <xf numFmtId="0" fontId="2" fillId="0" borderId="30" xfId="0" applyFont="1" applyBorder="1"/>
    <xf numFmtId="0" fontId="2" fillId="0" borderId="31" xfId="0" applyFont="1" applyBorder="1"/>
    <xf numFmtId="0" fontId="2" fillId="0" borderId="10" xfId="0" applyFont="1" applyBorder="1" applyAlignment="1">
      <alignment horizontal="center" vertical="center"/>
    </xf>
    <xf numFmtId="0" fontId="2" fillId="0" borderId="10" xfId="0" applyFont="1" applyBorder="1" applyAlignment="1">
      <alignment horizontal="center" vertical="center" wrapText="1"/>
    </xf>
    <xf numFmtId="0" fontId="2" fillId="0" borderId="32" xfId="0" applyFont="1" applyBorder="1" applyAlignment="1">
      <alignment vertical="center"/>
    </xf>
    <xf numFmtId="0" fontId="2" fillId="0" borderId="33" xfId="0" applyFont="1" applyBorder="1"/>
    <xf numFmtId="0" fontId="2" fillId="0" borderId="35" xfId="0" applyFont="1" applyBorder="1"/>
    <xf numFmtId="0" fontId="2" fillId="0" borderId="36" xfId="0" applyFont="1" applyBorder="1"/>
    <xf numFmtId="0" fontId="7" fillId="0" borderId="0" xfId="0" applyFont="1" applyAlignment="1">
      <alignment horizontal="right" vertical="center"/>
    </xf>
    <xf numFmtId="0" fontId="7" fillId="0" borderId="2" xfId="0" applyFont="1" applyBorder="1" applyAlignment="1">
      <alignment horizontal="right" vertical="center"/>
    </xf>
    <xf numFmtId="14" fontId="2" fillId="0" borderId="0" xfId="0" applyNumberFormat="1" applyFont="1" applyAlignment="1">
      <alignment vertical="center"/>
    </xf>
    <xf numFmtId="0" fontId="36" fillId="0" borderId="0" xfId="0" applyFont="1"/>
    <xf numFmtId="174" fontId="2" fillId="0" borderId="0" xfId="0" applyNumberFormat="1" applyFont="1" applyAlignment="1">
      <alignment horizontal="left"/>
    </xf>
    <xf numFmtId="0" fontId="2" fillId="0" borderId="28" xfId="0" applyFont="1" applyBorder="1"/>
    <xf numFmtId="0" fontId="28" fillId="0" borderId="26" xfId="0" applyFont="1" applyBorder="1"/>
    <xf numFmtId="0" fontId="2" fillId="0" borderId="29" xfId="0" applyFont="1" applyBorder="1" applyAlignment="1">
      <alignment horizontal="right"/>
    </xf>
    <xf numFmtId="0" fontId="0" fillId="0" borderId="4" xfId="0" applyBorder="1" applyAlignment="1">
      <alignment horizontal="center"/>
    </xf>
    <xf numFmtId="169" fontId="0" fillId="0" borderId="4" xfId="2" applyNumberFormat="1" applyFont="1" applyBorder="1"/>
    <xf numFmtId="179" fontId="11" fillId="0" borderId="0" xfId="0" applyNumberFormat="1" applyFont="1"/>
    <xf numFmtId="0" fontId="11" fillId="0" borderId="4" xfId="0" applyFont="1" applyBorder="1" applyAlignment="1">
      <alignment horizontal="center"/>
    </xf>
    <xf numFmtId="0" fontId="11" fillId="0" borderId="0" xfId="0" applyFont="1"/>
    <xf numFmtId="0" fontId="9" fillId="0" borderId="4" xfId="0" applyFont="1" applyBorder="1" applyAlignment="1">
      <alignment horizontal="center"/>
    </xf>
    <xf numFmtId="0" fontId="0" fillId="0" borderId="4" xfId="0" applyBorder="1" applyAlignment="1">
      <alignment horizontal="center" vertical="center"/>
    </xf>
    <xf numFmtId="0" fontId="2" fillId="2" borderId="2" xfId="0" applyFont="1" applyFill="1" applyBorder="1" applyAlignment="1" applyProtection="1">
      <alignment horizontal="left" vertical="top" wrapText="1"/>
      <protection locked="0"/>
    </xf>
    <xf numFmtId="0" fontId="37" fillId="0" borderId="0" xfId="0" applyFont="1"/>
    <xf numFmtId="167" fontId="2" fillId="0" borderId="0" xfId="0" applyNumberFormat="1" applyFont="1" applyAlignment="1">
      <alignment horizontal="right"/>
    </xf>
    <xf numFmtId="174" fontId="2" fillId="0" borderId="0" xfId="0" applyNumberFormat="1" applyFont="1" applyAlignment="1">
      <alignment horizontal="right"/>
    </xf>
    <xf numFmtId="180" fontId="2" fillId="0" borderId="0" xfId="0" applyNumberFormat="1" applyFont="1" applyAlignment="1">
      <alignment horizontal="right"/>
    </xf>
    <xf numFmtId="181" fontId="2" fillId="2" borderId="0" xfId="0" applyNumberFormat="1" applyFont="1" applyFill="1" applyAlignment="1" applyProtection="1">
      <alignment horizontal="right"/>
      <protection locked="0"/>
    </xf>
    <xf numFmtId="171" fontId="2" fillId="0" borderId="0" xfId="0" applyNumberFormat="1" applyFont="1" applyAlignment="1">
      <alignment horizontal="right"/>
    </xf>
    <xf numFmtId="170" fontId="2" fillId="0" borderId="0" xfId="2" applyNumberFormat="1" applyFont="1" applyAlignment="1">
      <alignment horizontal="right"/>
    </xf>
    <xf numFmtId="170" fontId="2" fillId="0" borderId="0" xfId="0" applyNumberFormat="1" applyFont="1" applyAlignment="1">
      <alignment horizontal="left"/>
    </xf>
    <xf numFmtId="2" fontId="2" fillId="0" borderId="4" xfId="0" applyNumberFormat="1" applyFont="1" applyBorder="1" applyAlignment="1">
      <alignment horizontal="center"/>
    </xf>
    <xf numFmtId="0" fontId="2" fillId="0" borderId="2" xfId="0" applyFont="1" applyBorder="1" applyProtection="1">
      <protection locked="0"/>
    </xf>
    <xf numFmtId="182" fontId="7" fillId="0" borderId="0" xfId="0" applyNumberFormat="1" applyFont="1" applyAlignment="1">
      <alignment horizontal="left"/>
    </xf>
    <xf numFmtId="0" fontId="9" fillId="0" borderId="0" xfId="0" applyFont="1" applyAlignment="1">
      <alignment horizontal="right"/>
    </xf>
    <xf numFmtId="1" fontId="0" fillId="0" borderId="0" xfId="0" applyNumberFormat="1"/>
    <xf numFmtId="0" fontId="9" fillId="0" borderId="0" xfId="0" applyFont="1" applyAlignment="1">
      <alignment horizontal="center"/>
    </xf>
    <xf numFmtId="183" fontId="2" fillId="0" borderId="0" xfId="0" applyNumberFormat="1" applyFont="1"/>
    <xf numFmtId="2" fontId="42" fillId="4" borderId="9" xfId="0" applyNumberFormat="1" applyFont="1" applyFill="1" applyBorder="1" applyAlignment="1">
      <alignment horizontal="center"/>
    </xf>
    <xf numFmtId="2" fontId="42" fillId="0" borderId="9" xfId="0" applyNumberFormat="1" applyFont="1" applyBorder="1" applyAlignment="1">
      <alignment horizontal="center"/>
    </xf>
    <xf numFmtId="2" fontId="42" fillId="4" borderId="10" xfId="0" applyNumberFormat="1" applyFont="1" applyFill="1" applyBorder="1" applyAlignment="1">
      <alignment horizontal="center"/>
    </xf>
    <xf numFmtId="171" fontId="2" fillId="2" borderId="7" xfId="0" applyNumberFormat="1" applyFont="1" applyFill="1" applyBorder="1" applyAlignment="1" applyProtection="1">
      <alignment horizontal="center"/>
      <protection locked="0"/>
    </xf>
    <xf numFmtId="171" fontId="2" fillId="0" borderId="4" xfId="0" applyNumberFormat="1" applyFont="1" applyBorder="1" applyAlignment="1">
      <alignment horizontal="center"/>
    </xf>
    <xf numFmtId="0" fontId="2" fillId="0" borderId="15" xfId="0" applyFont="1" applyBorder="1" applyAlignment="1">
      <alignment horizontal="left"/>
    </xf>
    <xf numFmtId="0" fontId="2" fillId="0" borderId="14" xfId="0" applyFont="1" applyBorder="1" applyAlignment="1">
      <alignment horizontal="left"/>
    </xf>
    <xf numFmtId="0" fontId="2" fillId="0" borderId="13" xfId="0" applyFont="1" applyBorder="1" applyAlignment="1">
      <alignment horizontal="left"/>
    </xf>
    <xf numFmtId="0" fontId="2" fillId="3" borderId="0" xfId="0" applyFont="1" applyFill="1"/>
    <xf numFmtId="0" fontId="2" fillId="0" borderId="15" xfId="0" applyFont="1" applyBorder="1"/>
    <xf numFmtId="0" fontId="2" fillId="0" borderId="13" xfId="0" applyFont="1" applyBorder="1"/>
    <xf numFmtId="0" fontId="28" fillId="0" borderId="15" xfId="0" applyFont="1" applyBorder="1"/>
    <xf numFmtId="0" fontId="2" fillId="0" borderId="14" xfId="0" applyFont="1" applyBorder="1"/>
    <xf numFmtId="0" fontId="28" fillId="0" borderId="4" xfId="0" applyFont="1" applyBorder="1" applyAlignment="1">
      <alignment horizontal="center" vertical="center"/>
    </xf>
    <xf numFmtId="0" fontId="2" fillId="0" borderId="15" xfId="0" applyFont="1" applyBorder="1" applyAlignment="1">
      <alignment horizontal="right"/>
    </xf>
    <xf numFmtId="0" fontId="6" fillId="0" borderId="0" xfId="0" applyFont="1"/>
    <xf numFmtId="0" fontId="9" fillId="0" borderId="11" xfId="0" applyFont="1" applyBorder="1"/>
    <xf numFmtId="0" fontId="2" fillId="0" borderId="11" xfId="0" applyFont="1" applyBorder="1"/>
    <xf numFmtId="173" fontId="0" fillId="0" borderId="7" xfId="0" applyNumberFormat="1" applyBorder="1" applyAlignment="1">
      <alignment horizontal="center"/>
    </xf>
    <xf numFmtId="0" fontId="2" fillId="0" borderId="0" xfId="0" applyFont="1" applyAlignment="1">
      <alignment vertical="top"/>
    </xf>
    <xf numFmtId="178" fontId="2" fillId="0" borderId="4" xfId="0" applyNumberFormat="1" applyFont="1" applyBorder="1" applyAlignment="1">
      <alignment horizontal="left"/>
    </xf>
    <xf numFmtId="0" fontId="2" fillId="0" borderId="4" xfId="0" applyFont="1" applyBorder="1" applyAlignment="1">
      <alignment horizontal="center" wrapText="1"/>
    </xf>
    <xf numFmtId="0" fontId="2" fillId="0" borderId="4" xfId="0" applyFont="1" applyBorder="1" applyAlignment="1">
      <alignment horizontal="right"/>
    </xf>
    <xf numFmtId="0" fontId="28" fillId="0" borderId="27" xfId="0" applyFont="1" applyBorder="1"/>
    <xf numFmtId="175" fontId="2" fillId="0" borderId="0" xfId="0" applyNumberFormat="1" applyFont="1" applyAlignment="1">
      <alignment horizontal="left"/>
    </xf>
    <xf numFmtId="176" fontId="2" fillId="0" borderId="25" xfId="0" applyNumberFormat="1" applyFont="1" applyBorder="1" applyAlignment="1">
      <alignment horizontal="left"/>
    </xf>
    <xf numFmtId="0" fontId="28" fillId="0" borderId="23" xfId="0" applyFont="1" applyBorder="1"/>
    <xf numFmtId="171" fontId="42" fillId="0" borderId="0" xfId="0" applyNumberFormat="1" applyFont="1" applyAlignment="1">
      <alignment horizontal="center"/>
    </xf>
    <xf numFmtId="1" fontId="42" fillId="0" borderId="0" xfId="0" applyNumberFormat="1" applyFont="1" applyAlignment="1">
      <alignment horizontal="center"/>
    </xf>
    <xf numFmtId="2" fontId="42" fillId="0" borderId="0" xfId="0" applyNumberFormat="1" applyFont="1" applyAlignment="1">
      <alignment horizontal="center"/>
    </xf>
    <xf numFmtId="171" fontId="14" fillId="0" borderId="0" xfId="3" applyNumberFormat="1" applyFont="1" applyFill="1" applyBorder="1" applyAlignment="1" applyProtection="1">
      <alignment horizontal="center"/>
    </xf>
    <xf numFmtId="0" fontId="1" fillId="0" borderId="0" xfId="0" applyFont="1"/>
    <xf numFmtId="184" fontId="0" fillId="0" borderId="0" xfId="0" applyNumberFormat="1"/>
    <xf numFmtId="171" fontId="12" fillId="0" borderId="0" xfId="3" applyNumberFormat="1" applyFont="1" applyFill="1" applyBorder="1" applyAlignment="1" applyProtection="1">
      <alignment horizontal="center"/>
    </xf>
    <xf numFmtId="0" fontId="0" fillId="0" borderId="18" xfId="0" applyBorder="1" applyAlignment="1">
      <alignment horizontal="center"/>
    </xf>
    <xf numFmtId="0" fontId="9" fillId="0" borderId="0" xfId="0" applyFont="1"/>
    <xf numFmtId="1" fontId="14" fillId="0" borderId="0" xfId="3" applyNumberFormat="1" applyFont="1" applyFill="1" applyBorder="1" applyAlignment="1" applyProtection="1">
      <alignment horizontal="center"/>
    </xf>
    <xf numFmtId="0" fontId="0" fillId="0" borderId="17" xfId="0" applyBorder="1" applyAlignment="1">
      <alignment horizontal="center"/>
    </xf>
    <xf numFmtId="0" fontId="1" fillId="0" borderId="11" xfId="0" applyFont="1" applyBorder="1" applyAlignment="1">
      <alignment horizontal="center"/>
    </xf>
    <xf numFmtId="0" fontId="4" fillId="0" borderId="0" xfId="0" applyFont="1" applyAlignment="1">
      <alignment horizontal="center"/>
    </xf>
    <xf numFmtId="164" fontId="0" fillId="0" borderId="0" xfId="2" applyFont="1" applyProtection="1"/>
    <xf numFmtId="164" fontId="14" fillId="0" borderId="4" xfId="2" applyFont="1" applyFill="1" applyBorder="1" applyAlignment="1" applyProtection="1">
      <alignment horizontal="center"/>
    </xf>
    <xf numFmtId="0" fontId="47" fillId="0" borderId="0" xfId="0" applyFont="1"/>
    <xf numFmtId="0" fontId="50" fillId="0" borderId="0" xfId="0" applyFont="1"/>
    <xf numFmtId="0" fontId="1" fillId="2" borderId="0" xfId="0" applyFont="1" applyFill="1" applyAlignment="1">
      <alignment vertical="center"/>
    </xf>
    <xf numFmtId="0" fontId="48" fillId="5" borderId="0" xfId="5" applyAlignment="1" applyProtection="1">
      <alignment vertical="center"/>
    </xf>
    <xf numFmtId="0" fontId="49" fillId="6" borderId="0" xfId="6" applyAlignment="1" applyProtection="1">
      <alignment vertical="center"/>
    </xf>
    <xf numFmtId="0" fontId="2" fillId="0" borderId="13" xfId="0" applyFont="1" applyBorder="1" applyAlignment="1">
      <alignment horizontal="center"/>
    </xf>
    <xf numFmtId="1" fontId="42" fillId="0" borderId="8" xfId="0" applyNumberFormat="1" applyFont="1" applyBorder="1" applyAlignment="1">
      <alignment horizontal="left"/>
    </xf>
    <xf numFmtId="2" fontId="14" fillId="4" borderId="9" xfId="3" applyNumberFormat="1" applyFont="1" applyFill="1" applyBorder="1" applyAlignment="1" applyProtection="1">
      <alignment horizontal="center"/>
    </xf>
    <xf numFmtId="2" fontId="14" fillId="4" borderId="10" xfId="3" applyNumberFormat="1" applyFont="1" applyFill="1" applyBorder="1" applyAlignment="1" applyProtection="1">
      <alignment horizontal="center"/>
    </xf>
    <xf numFmtId="2" fontId="14" fillId="4" borderId="4" xfId="3" applyNumberFormat="1" applyFont="1" applyFill="1" applyBorder="1" applyAlignment="1" applyProtection="1">
      <alignment horizontal="center"/>
    </xf>
    <xf numFmtId="0" fontId="1" fillId="0" borderId="0" xfId="0" applyFont="1" applyAlignment="1">
      <alignment horizontal="center"/>
    </xf>
    <xf numFmtId="0" fontId="1" fillId="0" borderId="0" xfId="0" applyFont="1" applyAlignment="1">
      <alignment horizontal="right"/>
    </xf>
    <xf numFmtId="2" fontId="14" fillId="0" borderId="9" xfId="3" applyNumberFormat="1" applyFont="1" applyFill="1" applyBorder="1" applyAlignment="1" applyProtection="1">
      <alignment horizontal="center"/>
    </xf>
    <xf numFmtId="0" fontId="34" fillId="0" borderId="0" xfId="0" applyFont="1"/>
    <xf numFmtId="1" fontId="2" fillId="0" borderId="0" xfId="0" applyNumberFormat="1" applyFont="1" applyAlignment="1">
      <alignment horizontal="left"/>
    </xf>
    <xf numFmtId="186" fontId="2" fillId="0" borderId="0" xfId="0" applyNumberFormat="1" applyFont="1" applyAlignment="1">
      <alignment horizontal="left"/>
    </xf>
    <xf numFmtId="0" fontId="2" fillId="0" borderId="0" xfId="0" applyFont="1" applyAlignment="1">
      <alignment wrapText="1"/>
    </xf>
    <xf numFmtId="0" fontId="53" fillId="0" borderId="0" xfId="0" applyFont="1" applyAlignment="1">
      <alignment horizontal="right"/>
    </xf>
    <xf numFmtId="164" fontId="0" fillId="0" borderId="0" xfId="2" applyFont="1"/>
    <xf numFmtId="164" fontId="0" fillId="0" borderId="0" xfId="0" applyNumberFormat="1"/>
    <xf numFmtId="0" fontId="1" fillId="0" borderId="4" xfId="0" applyFont="1" applyBorder="1" applyAlignment="1">
      <alignment horizontal="center" wrapText="1"/>
    </xf>
    <xf numFmtId="0" fontId="1" fillId="0" borderId="4" xfId="0" applyFont="1" applyBorder="1" applyAlignment="1">
      <alignment horizontal="center"/>
    </xf>
    <xf numFmtId="164" fontId="0" fillId="0" borderId="4" xfId="2" applyFont="1" applyBorder="1"/>
    <xf numFmtId="0" fontId="54" fillId="0" borderId="0" xfId="0" applyFont="1" applyAlignment="1">
      <alignment horizontal="right"/>
    </xf>
    <xf numFmtId="2" fontId="1" fillId="0" borderId="6" xfId="2" applyNumberFormat="1" applyFont="1" applyBorder="1" applyAlignment="1">
      <alignment horizontal="left"/>
    </xf>
    <xf numFmtId="0" fontId="2" fillId="0" borderId="6" xfId="0" applyFont="1" applyBorder="1"/>
    <xf numFmtId="166" fontId="2" fillId="0" borderId="34" xfId="0" applyNumberFormat="1" applyFont="1" applyBorder="1" applyAlignment="1">
      <alignment horizontal="center"/>
    </xf>
    <xf numFmtId="166" fontId="2" fillId="0" borderId="9" xfId="0" applyNumberFormat="1" applyFont="1" applyBorder="1" applyAlignment="1">
      <alignment horizontal="center"/>
    </xf>
    <xf numFmtId="166" fontId="2" fillId="0" borderId="38" xfId="0" applyNumberFormat="1" applyFont="1" applyBorder="1" applyAlignment="1">
      <alignment horizontal="center"/>
    </xf>
    <xf numFmtId="0" fontId="2" fillId="0" borderId="10" xfId="0" applyFont="1" applyBorder="1" applyAlignment="1">
      <alignment horizontal="center"/>
    </xf>
    <xf numFmtId="0" fontId="2" fillId="0" borderId="32" xfId="0" applyFont="1" applyBorder="1" applyAlignment="1">
      <alignment horizontal="center"/>
    </xf>
    <xf numFmtId="0" fontId="2" fillId="0" borderId="19" xfId="0" applyFont="1" applyBorder="1" applyAlignment="1">
      <alignment horizontal="right"/>
    </xf>
    <xf numFmtId="0" fontId="2" fillId="0" borderId="0" xfId="0" applyFont="1" applyAlignment="1">
      <alignment horizontal="left" vertical="top" wrapText="1"/>
    </xf>
    <xf numFmtId="1" fontId="2" fillId="0" borderId="0" xfId="0" applyNumberFormat="1" applyFont="1"/>
    <xf numFmtId="0" fontId="2" fillId="0" borderId="0" xfId="0" applyFont="1" applyAlignment="1">
      <alignment horizontal="left" vertical="top"/>
    </xf>
    <xf numFmtId="164" fontId="2" fillId="0" borderId="0" xfId="2" applyFont="1" applyAlignment="1">
      <alignment horizontal="left"/>
    </xf>
    <xf numFmtId="0" fontId="2" fillId="0" borderId="0" xfId="0" applyFont="1" applyAlignment="1">
      <alignment horizontal="right" vertical="top" wrapText="1"/>
    </xf>
    <xf numFmtId="0" fontId="37" fillId="0" borderId="0" xfId="0" applyFont="1" applyAlignment="1">
      <alignment horizontal="left" vertical="top" wrapText="1"/>
    </xf>
    <xf numFmtId="2" fontId="57" fillId="0" borderId="6" xfId="2" applyNumberFormat="1" applyFont="1" applyBorder="1" applyAlignment="1">
      <alignment horizontal="right"/>
    </xf>
    <xf numFmtId="0" fontId="37" fillId="0" borderId="6" xfId="0" applyFont="1" applyBorder="1"/>
    <xf numFmtId="0" fontId="58" fillId="0" borderId="0" xfId="0" applyFont="1" applyAlignment="1">
      <alignment horizontal="right"/>
    </xf>
    <xf numFmtId="165" fontId="37" fillId="0" borderId="6" xfId="0" applyNumberFormat="1" applyFont="1" applyBorder="1"/>
    <xf numFmtId="0" fontId="61" fillId="0" borderId="6" xfId="0" applyFont="1" applyBorder="1"/>
    <xf numFmtId="1" fontId="2" fillId="0" borderId="4" xfId="0" applyNumberFormat="1" applyFont="1" applyBorder="1" applyAlignment="1">
      <alignment horizontal="center"/>
    </xf>
    <xf numFmtId="0" fontId="37" fillId="0" borderId="0" xfId="0" applyFont="1" applyAlignment="1">
      <alignment horizontal="center"/>
    </xf>
    <xf numFmtId="0" fontId="1" fillId="0" borderId="10" xfId="0" applyFont="1" applyBorder="1" applyAlignment="1">
      <alignment horizontal="center"/>
    </xf>
    <xf numFmtId="2" fontId="2" fillId="0" borderId="9" xfId="0" applyNumberFormat="1" applyFont="1" applyBorder="1" applyAlignment="1">
      <alignment horizontal="center"/>
    </xf>
    <xf numFmtId="0" fontId="2" fillId="0" borderId="0" xfId="0" applyFont="1" applyAlignment="1">
      <alignment vertical="center" wrapText="1"/>
    </xf>
    <xf numFmtId="0" fontId="2" fillId="0" borderId="0" xfId="0" applyFont="1" applyAlignment="1">
      <alignment horizontal="left" vertical="center" wrapText="1"/>
    </xf>
    <xf numFmtId="0" fontId="50" fillId="0" borderId="0" xfId="0" applyFont="1" applyAlignment="1">
      <alignment horizontal="left" vertical="top" wrapText="1"/>
    </xf>
    <xf numFmtId="0" fontId="38" fillId="0" borderId="0" xfId="0" applyFont="1"/>
    <xf numFmtId="166" fontId="2" fillId="0" borderId="7" xfId="0" applyNumberFormat="1" applyFont="1" applyBorder="1" applyAlignment="1" applyProtection="1">
      <alignment horizontal="center"/>
      <protection locked="0"/>
    </xf>
    <xf numFmtId="166" fontId="2" fillId="0" borderId="39" xfId="0" applyNumberFormat="1" applyFont="1" applyBorder="1" applyAlignment="1" applyProtection="1">
      <alignment horizontal="center"/>
      <protection locked="0"/>
    </xf>
    <xf numFmtId="166" fontId="2" fillId="0" borderId="40" xfId="0" applyNumberFormat="1" applyFont="1" applyBorder="1" applyAlignment="1" applyProtection="1">
      <alignment horizontal="center"/>
      <protection locked="0"/>
    </xf>
    <xf numFmtId="166" fontId="2" fillId="0" borderId="37" xfId="0" applyNumberFormat="1" applyFont="1" applyBorder="1" applyAlignment="1">
      <alignment horizontal="center"/>
    </xf>
    <xf numFmtId="0" fontId="2" fillId="0" borderId="31" xfId="0" applyFont="1" applyBorder="1" applyAlignment="1">
      <alignment horizontal="left" vertical="top" wrapText="1"/>
    </xf>
    <xf numFmtId="166" fontId="2" fillId="0" borderId="10" xfId="0" applyNumberFormat="1" applyFont="1" applyBorder="1" applyAlignment="1">
      <alignment horizontal="center" wrapText="1"/>
    </xf>
    <xf numFmtId="0" fontId="2" fillId="0" borderId="32" xfId="0" applyFont="1" applyBorder="1" applyAlignment="1">
      <alignment horizontal="center" vertical="center"/>
    </xf>
    <xf numFmtId="2" fontId="2" fillId="0" borderId="34" xfId="0" applyNumberFormat="1" applyFont="1" applyBorder="1" applyAlignment="1">
      <alignment horizontal="center"/>
    </xf>
    <xf numFmtId="2" fontId="2" fillId="0" borderId="38" xfId="0" applyNumberFormat="1" applyFont="1" applyBorder="1" applyAlignment="1">
      <alignment horizontal="center"/>
    </xf>
    <xf numFmtId="0" fontId="2" fillId="0" borderId="42" xfId="0"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xf>
    <xf numFmtId="164" fontId="2" fillId="0" borderId="0" xfId="2" applyFont="1" applyFill="1" applyBorder="1"/>
    <xf numFmtId="164" fontId="2" fillId="0" borderId="0" xfId="2" applyFont="1" applyFill="1" applyBorder="1" applyAlignment="1"/>
    <xf numFmtId="165" fontId="28" fillId="0" borderId="0" xfId="0" applyNumberFormat="1" applyFont="1"/>
    <xf numFmtId="0" fontId="61" fillId="0" borderId="0" xfId="0" applyFont="1"/>
    <xf numFmtId="2" fontId="0" fillId="0" borderId="0" xfId="2" applyNumberFormat="1" applyFont="1" applyBorder="1" applyAlignment="1" applyProtection="1">
      <alignment horizontal="center"/>
    </xf>
    <xf numFmtId="2" fontId="2" fillId="0" borderId="2" xfId="0" applyNumberFormat="1" applyFont="1" applyBorder="1" applyAlignment="1">
      <alignment horizontal="center"/>
    </xf>
    <xf numFmtId="166" fontId="2" fillId="0" borderId="2" xfId="0" applyNumberFormat="1" applyFont="1" applyBorder="1" applyAlignment="1">
      <alignment horizontal="center"/>
    </xf>
    <xf numFmtId="0" fontId="2" fillId="0" borderId="44" xfId="0" applyFont="1" applyBorder="1"/>
    <xf numFmtId="0" fontId="2" fillId="0" borderId="44" xfId="0" applyFont="1" applyBorder="1" applyAlignment="1">
      <alignment horizontal="center" vertical="center"/>
    </xf>
    <xf numFmtId="0" fontId="2" fillId="0" borderId="44" xfId="0" applyFont="1" applyBorder="1" applyAlignment="1">
      <alignment horizontal="center" vertical="center" wrapText="1"/>
    </xf>
    <xf numFmtId="0" fontId="2" fillId="0" borderId="44" xfId="0" applyFont="1" applyBorder="1" applyAlignment="1">
      <alignment vertical="center"/>
    </xf>
    <xf numFmtId="0" fontId="2" fillId="0" borderId="48" xfId="0" applyFont="1" applyBorder="1"/>
    <xf numFmtId="2" fontId="2" fillId="0" borderId="49" xfId="0" applyNumberFormat="1" applyFont="1" applyBorder="1" applyAlignment="1">
      <alignment horizontal="center"/>
    </xf>
    <xf numFmtId="0" fontId="2" fillId="0" borderId="49" xfId="0" applyFont="1" applyBorder="1"/>
    <xf numFmtId="0" fontId="2" fillId="0" borderId="47" xfId="0" applyFont="1" applyBorder="1"/>
    <xf numFmtId="2" fontId="2" fillId="0" borderId="47" xfId="0" applyNumberFormat="1" applyFont="1" applyBorder="1" applyAlignment="1">
      <alignment horizontal="center"/>
    </xf>
    <xf numFmtId="0" fontId="2" fillId="0" borderId="45" xfId="0" applyFont="1" applyBorder="1" applyAlignment="1">
      <alignment horizontal="center" vertical="center" wrapText="1"/>
    </xf>
    <xf numFmtId="0" fontId="2" fillId="0" borderId="41" xfId="0" applyFont="1" applyBorder="1"/>
    <xf numFmtId="0" fontId="2" fillId="0" borderId="43" xfId="0" applyFont="1" applyBorder="1"/>
    <xf numFmtId="166" fontId="2" fillId="0" borderId="52" xfId="0" applyNumberFormat="1" applyFont="1" applyBorder="1" applyAlignment="1">
      <alignment horizontal="center"/>
    </xf>
    <xf numFmtId="165" fontId="28" fillId="0" borderId="49" xfId="0" applyNumberFormat="1" applyFont="1" applyBorder="1"/>
    <xf numFmtId="165" fontId="28" fillId="0" borderId="47" xfId="0" applyNumberFormat="1" applyFont="1" applyBorder="1"/>
    <xf numFmtId="171" fontId="2" fillId="0" borderId="39" xfId="0" applyNumberFormat="1" applyFont="1" applyBorder="1" applyAlignment="1">
      <alignment horizontal="center"/>
    </xf>
    <xf numFmtId="166" fontId="2" fillId="0" borderId="0" xfId="0" applyNumberFormat="1" applyFont="1" applyAlignment="1" applyProtection="1">
      <alignment horizontal="center"/>
      <protection locked="0"/>
    </xf>
    <xf numFmtId="166" fontId="2" fillId="0" borderId="9" xfId="0" applyNumberFormat="1" applyFont="1" applyBorder="1" applyAlignment="1" applyProtection="1">
      <alignment horizontal="center"/>
      <protection locked="0"/>
    </xf>
    <xf numFmtId="171" fontId="2" fillId="0" borderId="38" xfId="0" applyNumberFormat="1" applyFont="1" applyBorder="1" applyAlignment="1">
      <alignment horizontal="center"/>
    </xf>
    <xf numFmtId="0" fontId="2" fillId="0" borderId="0" xfId="0" applyFont="1" applyProtection="1">
      <protection locked="0"/>
    </xf>
    <xf numFmtId="0" fontId="40" fillId="0" borderId="8" xfId="1" applyFill="1" applyBorder="1" applyProtection="1"/>
    <xf numFmtId="171" fontId="2" fillId="0" borderId="0" xfId="0" applyNumberFormat="1" applyFont="1"/>
    <xf numFmtId="0" fontId="2" fillId="0" borderId="0" xfId="0" applyFont="1" applyAlignment="1">
      <alignment vertical="top" textRotation="134" wrapText="1"/>
    </xf>
    <xf numFmtId="0" fontId="2" fillId="0" borderId="0" xfId="0" applyFont="1" applyAlignment="1">
      <alignment vertical="top" textRotation="134"/>
    </xf>
    <xf numFmtId="0" fontId="50" fillId="0" borderId="0" xfId="0" applyFont="1" applyAlignment="1">
      <alignment horizontal="left" wrapText="1"/>
    </xf>
    <xf numFmtId="0" fontId="64" fillId="0" borderId="15" xfId="0" applyFont="1" applyBorder="1"/>
    <xf numFmtId="2" fontId="2" fillId="0" borderId="15" xfId="0" applyNumberFormat="1" applyFont="1" applyBorder="1" applyAlignment="1">
      <alignment horizontal="center"/>
    </xf>
    <xf numFmtId="0" fontId="64" fillId="0" borderId="0" xfId="0" applyFont="1" applyAlignment="1">
      <alignment horizontal="right"/>
    </xf>
    <xf numFmtId="0" fontId="50" fillId="0" borderId="0" xfId="0" applyFont="1" applyAlignment="1">
      <alignment horizontal="left"/>
    </xf>
    <xf numFmtId="0" fontId="63" fillId="0" borderId="0" xfId="0" applyFont="1"/>
    <xf numFmtId="187" fontId="2" fillId="0" borderId="0" xfId="0" applyNumberFormat="1" applyFont="1"/>
    <xf numFmtId="164" fontId="2" fillId="0" borderId="4" xfId="0" applyNumberFormat="1" applyFont="1" applyBorder="1" applyAlignment="1">
      <alignment horizontal="center"/>
    </xf>
    <xf numFmtId="164" fontId="0" fillId="0" borderId="0" xfId="0" applyNumberFormat="1" applyAlignment="1">
      <alignment horizontal="center"/>
    </xf>
    <xf numFmtId="171" fontId="12" fillId="0" borderId="0" xfId="3" applyNumberFormat="1" applyFont="1" applyBorder="1" applyAlignment="1" applyProtection="1">
      <alignment horizontal="left"/>
    </xf>
    <xf numFmtId="0" fontId="42" fillId="0" borderId="10" xfId="0" applyFont="1" applyBorder="1"/>
    <xf numFmtId="1" fontId="42" fillId="0" borderId="10" xfId="0" applyNumberFormat="1" applyFont="1" applyBorder="1" applyAlignment="1">
      <alignment horizontal="center"/>
    </xf>
    <xf numFmtId="171" fontId="42" fillId="0" borderId="10" xfId="0" applyNumberFormat="1" applyFont="1" applyBorder="1" applyAlignment="1">
      <alignment horizontal="center"/>
    </xf>
    <xf numFmtId="2" fontId="42" fillId="0" borderId="10" xfId="0" applyNumberFormat="1" applyFont="1" applyBorder="1" applyAlignment="1">
      <alignment horizontal="center"/>
    </xf>
    <xf numFmtId="171" fontId="15" fillId="0" borderId="0" xfId="3" applyNumberFormat="1" applyFont="1" applyBorder="1" applyAlignment="1" applyProtection="1">
      <alignment horizontal="center"/>
    </xf>
    <xf numFmtId="0" fontId="0" fillId="0" borderId="8" xfId="0" applyBorder="1"/>
    <xf numFmtId="2" fontId="14" fillId="0" borderId="10" xfId="3" applyNumberFormat="1" applyFont="1" applyFill="1" applyBorder="1" applyAlignment="1" applyProtection="1">
      <alignment horizontal="center"/>
    </xf>
    <xf numFmtId="171" fontId="14" fillId="0" borderId="10" xfId="3" applyNumberFormat="1" applyFont="1" applyFill="1" applyBorder="1" applyAlignment="1" applyProtection="1">
      <alignment horizontal="center"/>
    </xf>
    <xf numFmtId="171" fontId="14" fillId="0" borderId="9" xfId="3" applyNumberFormat="1" applyFont="1" applyFill="1" applyBorder="1" applyAlignment="1" applyProtection="1">
      <alignment horizontal="center"/>
    </xf>
    <xf numFmtId="1" fontId="14" fillId="4" borderId="4" xfId="3" applyNumberFormat="1" applyFont="1" applyFill="1" applyBorder="1" applyAlignment="1" applyProtection="1">
      <alignment horizontal="center"/>
    </xf>
    <xf numFmtId="1" fontId="14" fillId="4" borderId="9" xfId="3" applyNumberFormat="1" applyFont="1" applyFill="1" applyBorder="1" applyAlignment="1" applyProtection="1">
      <alignment horizontal="center"/>
    </xf>
    <xf numFmtId="1" fontId="14" fillId="0" borderId="10" xfId="3" applyNumberFormat="1" applyFont="1" applyFill="1" applyBorder="1" applyAlignment="1" applyProtection="1">
      <alignment horizontal="center"/>
    </xf>
    <xf numFmtId="1" fontId="14" fillId="0" borderId="9" xfId="3" applyNumberFormat="1" applyFont="1" applyFill="1" applyBorder="1" applyAlignment="1" applyProtection="1">
      <alignment horizontal="center"/>
    </xf>
    <xf numFmtId="1" fontId="14" fillId="4" borderId="10" xfId="3" applyNumberFormat="1" applyFont="1" applyFill="1" applyBorder="1" applyAlignment="1" applyProtection="1">
      <alignment horizontal="center"/>
    </xf>
    <xf numFmtId="0" fontId="2" fillId="0" borderId="4" xfId="0" applyFont="1" applyBorder="1" applyAlignment="1">
      <alignment horizontal="left"/>
    </xf>
    <xf numFmtId="0" fontId="28" fillId="0" borderId="24" xfId="0" applyFont="1" applyBorder="1"/>
    <xf numFmtId="0" fontId="28" fillId="0" borderId="28" xfId="0" applyFont="1" applyBorder="1"/>
    <xf numFmtId="0" fontId="28" fillId="2" borderId="23" xfId="0" applyFont="1" applyFill="1" applyBorder="1" applyAlignment="1" applyProtection="1">
      <alignment horizontal="left"/>
      <protection locked="0"/>
    </xf>
    <xf numFmtId="0" fontId="11" fillId="0" borderId="11" xfId="0" applyFont="1" applyBorder="1"/>
    <xf numFmtId="166" fontId="2" fillId="0" borderId="20" xfId="0" applyNumberFormat="1" applyFont="1" applyBorder="1" applyAlignment="1">
      <alignment horizontal="center"/>
    </xf>
    <xf numFmtId="166" fontId="2" fillId="0" borderId="21" xfId="0" applyNumberFormat="1" applyFont="1" applyBorder="1" applyAlignment="1">
      <alignment horizontal="center"/>
    </xf>
    <xf numFmtId="166" fontId="2" fillId="0" borderId="22" xfId="0" applyNumberFormat="1" applyFont="1" applyBorder="1" applyAlignment="1">
      <alignment horizontal="center"/>
    </xf>
    <xf numFmtId="171" fontId="64" fillId="0" borderId="0" xfId="0" applyNumberFormat="1" applyFont="1" applyAlignment="1">
      <alignment horizontal="right"/>
    </xf>
    <xf numFmtId="166" fontId="2" fillId="0" borderId="48" xfId="0" applyNumberFormat="1" applyFont="1" applyBorder="1" applyAlignment="1" applyProtection="1">
      <alignment horizontal="center"/>
      <protection locked="0"/>
    </xf>
    <xf numFmtId="166" fontId="2" fillId="0" borderId="56" xfId="0" applyNumberFormat="1" applyFont="1" applyBorder="1" applyAlignment="1" applyProtection="1">
      <alignment horizontal="center"/>
      <protection locked="0"/>
    </xf>
    <xf numFmtId="166" fontId="0" fillId="0" borderId="0" xfId="0" applyNumberFormat="1"/>
    <xf numFmtId="164" fontId="2" fillId="0" borderId="0" xfId="2" applyFont="1" applyAlignment="1">
      <alignment horizontal="right"/>
    </xf>
    <xf numFmtId="189" fontId="2" fillId="0" borderId="0" xfId="2" applyNumberFormat="1" applyFont="1" applyFill="1"/>
    <xf numFmtId="1" fontId="14" fillId="0" borderId="4" xfId="3" applyNumberFormat="1" applyFont="1" applyFill="1" applyBorder="1" applyAlignment="1" applyProtection="1">
      <alignment horizontal="center"/>
    </xf>
    <xf numFmtId="0" fontId="68" fillId="0" borderId="4" xfId="0" applyFont="1" applyBorder="1" applyAlignment="1">
      <alignment horizontal="center"/>
    </xf>
    <xf numFmtId="0" fontId="42" fillId="4" borderId="4" xfId="0" applyFont="1" applyFill="1" applyBorder="1" applyAlignment="1">
      <alignment horizontal="center"/>
    </xf>
    <xf numFmtId="0" fontId="42" fillId="0" borderId="10" xfId="0" applyFont="1" applyBorder="1" applyAlignment="1">
      <alignment horizontal="center"/>
    </xf>
    <xf numFmtId="0" fontId="42" fillId="4" borderId="10" xfId="0" applyFont="1" applyFill="1" applyBorder="1" applyAlignment="1">
      <alignment horizontal="center"/>
    </xf>
    <xf numFmtId="190" fontId="42" fillId="2" borderId="3" xfId="0" applyNumberFormat="1" applyFont="1" applyFill="1" applyBorder="1" applyAlignment="1" applyProtection="1">
      <alignment horizontal="center"/>
      <protection locked="0"/>
    </xf>
    <xf numFmtId="190" fontId="42" fillId="2" borderId="55" xfId="0" applyNumberFormat="1" applyFont="1" applyFill="1" applyBorder="1" applyAlignment="1" applyProtection="1">
      <alignment horizontal="center"/>
      <protection locked="0"/>
    </xf>
    <xf numFmtId="191" fontId="42" fillId="2" borderId="3" xfId="0" applyNumberFormat="1" applyFont="1" applyFill="1" applyBorder="1" applyAlignment="1" applyProtection="1">
      <alignment horizontal="center"/>
      <protection locked="0"/>
    </xf>
    <xf numFmtId="191" fontId="42" fillId="2" borderId="55" xfId="0" applyNumberFormat="1" applyFont="1" applyFill="1" applyBorder="1" applyAlignment="1" applyProtection="1">
      <alignment horizontal="center"/>
      <protection locked="0"/>
    </xf>
    <xf numFmtId="191" fontId="42" fillId="2" borderId="13" xfId="0" applyNumberFormat="1" applyFont="1" applyFill="1" applyBorder="1" applyAlignment="1" applyProtection="1">
      <alignment horizontal="center"/>
      <protection locked="0"/>
    </xf>
    <xf numFmtId="1" fontId="42" fillId="4" borderId="0" xfId="0" applyNumberFormat="1" applyFont="1" applyFill="1" applyAlignment="1">
      <alignment horizontal="center"/>
    </xf>
    <xf numFmtId="171" fontId="14" fillId="0" borderId="1" xfId="3" applyNumberFormat="1" applyFont="1" applyFill="1" applyBorder="1" applyAlignment="1" applyProtection="1">
      <alignment horizontal="center"/>
    </xf>
    <xf numFmtId="192" fontId="0" fillId="0" borderId="0" xfId="0" applyNumberFormat="1"/>
    <xf numFmtId="169" fontId="0" fillId="0" borderId="0" xfId="2" applyNumberFormat="1" applyFont="1"/>
    <xf numFmtId="0" fontId="42" fillId="4" borderId="9" xfId="0" applyFont="1" applyFill="1" applyBorder="1" applyAlignment="1">
      <alignment horizontal="center"/>
    </xf>
    <xf numFmtId="0" fontId="42" fillId="0" borderId="9" xfId="0" applyFont="1" applyBorder="1" applyAlignment="1">
      <alignment horizontal="center"/>
    </xf>
    <xf numFmtId="1" fontId="14" fillId="4" borderId="7" xfId="3" applyNumberFormat="1" applyFont="1" applyFill="1" applyBorder="1" applyAlignment="1" applyProtection="1">
      <alignment horizontal="center"/>
    </xf>
    <xf numFmtId="171" fontId="14" fillId="4" borderId="7" xfId="3" applyNumberFormat="1" applyFont="1" applyFill="1" applyBorder="1" applyAlignment="1" applyProtection="1">
      <alignment horizontal="center"/>
    </xf>
    <xf numFmtId="171" fontId="12" fillId="0" borderId="15" xfId="3" applyNumberFormat="1" applyFont="1" applyFill="1" applyBorder="1" applyAlignment="1" applyProtection="1"/>
    <xf numFmtId="171" fontId="12" fillId="0" borderId="14" xfId="3" applyNumberFormat="1" applyFont="1" applyFill="1" applyBorder="1" applyAlignment="1" applyProtection="1"/>
    <xf numFmtId="171" fontId="12" fillId="0" borderId="13" xfId="3" applyNumberFormat="1" applyFont="1" applyFill="1" applyBorder="1" applyAlignment="1" applyProtection="1"/>
    <xf numFmtId="171" fontId="12" fillId="0" borderId="4" xfId="3" applyNumberFormat="1" applyFont="1" applyFill="1" applyBorder="1" applyAlignment="1" applyProtection="1"/>
    <xf numFmtId="9" fontId="0" fillId="4" borderId="4" xfId="7" applyFont="1" applyFill="1" applyBorder="1"/>
    <xf numFmtId="164" fontId="0" fillId="4" borderId="4" xfId="2" applyFont="1" applyFill="1" applyBorder="1"/>
    <xf numFmtId="2" fontId="0" fillId="4" borderId="4" xfId="0" applyNumberFormat="1" applyFill="1" applyBorder="1" applyAlignment="1">
      <alignment horizontal="center"/>
    </xf>
    <xf numFmtId="9" fontId="0" fillId="4" borderId="7" xfId="7" applyFont="1" applyFill="1" applyBorder="1"/>
    <xf numFmtId="164" fontId="0" fillId="4" borderId="7" xfId="2" applyFont="1" applyFill="1" applyBorder="1"/>
    <xf numFmtId="2" fontId="0" fillId="4" borderId="7" xfId="0" applyNumberFormat="1" applyFill="1" applyBorder="1" applyAlignment="1">
      <alignment horizontal="center"/>
    </xf>
    <xf numFmtId="9" fontId="0" fillId="4" borderId="10" xfId="7" applyFont="1" applyFill="1" applyBorder="1"/>
    <xf numFmtId="164" fontId="0" fillId="4" borderId="10" xfId="2" applyFont="1" applyFill="1" applyBorder="1"/>
    <xf numFmtId="2" fontId="0" fillId="4" borderId="10" xfId="0" applyNumberFormat="1" applyFill="1" applyBorder="1" applyAlignment="1">
      <alignment horizontal="center"/>
    </xf>
    <xf numFmtId="9" fontId="0" fillId="4" borderId="9" xfId="7" applyFont="1" applyFill="1" applyBorder="1"/>
    <xf numFmtId="164" fontId="0" fillId="4" borderId="9" xfId="2" applyFont="1" applyFill="1" applyBorder="1"/>
    <xf numFmtId="2" fontId="0" fillId="4" borderId="9" xfId="0" applyNumberFormat="1" applyFill="1" applyBorder="1" applyAlignment="1">
      <alignment horizontal="center"/>
    </xf>
    <xf numFmtId="164" fontId="14" fillId="0" borderId="7" xfId="2" applyFont="1" applyFill="1" applyBorder="1" applyAlignment="1" applyProtection="1">
      <alignment horizontal="center"/>
    </xf>
    <xf numFmtId="0" fontId="42" fillId="0" borderId="25" xfId="0" applyFont="1" applyBorder="1"/>
    <xf numFmtId="0" fontId="1" fillId="0" borderId="25" xfId="0" applyFont="1" applyBorder="1" applyAlignment="1">
      <alignment horizontal="center"/>
    </xf>
    <xf numFmtId="0" fontId="0" fillId="0" borderId="25" xfId="0" applyBorder="1"/>
    <xf numFmtId="0" fontId="54" fillId="0" borderId="25" xfId="0" applyFont="1" applyBorder="1" applyAlignment="1">
      <alignment horizontal="center"/>
    </xf>
    <xf numFmtId="0" fontId="0" fillId="0" borderId="12" xfId="0" applyBorder="1"/>
    <xf numFmtId="1" fontId="42" fillId="0" borderId="12" xfId="0" applyNumberFormat="1" applyFont="1" applyBorder="1" applyAlignment="1">
      <alignment horizontal="center"/>
    </xf>
    <xf numFmtId="1" fontId="14" fillId="0" borderId="25" xfId="3" applyNumberFormat="1" applyFont="1" applyFill="1" applyBorder="1" applyAlignment="1" applyProtection="1">
      <alignment horizontal="center"/>
    </xf>
    <xf numFmtId="0" fontId="1" fillId="0" borderId="58" xfId="0" applyFont="1" applyBorder="1" applyAlignment="1">
      <alignment horizontal="center"/>
    </xf>
    <xf numFmtId="0" fontId="0" fillId="0" borderId="58" xfId="0" applyBorder="1" applyAlignment="1">
      <alignment horizontal="center"/>
    </xf>
    <xf numFmtId="0" fontId="0" fillId="0" borderId="25" xfId="0" applyBorder="1" applyAlignment="1">
      <alignment horizontal="center"/>
    </xf>
    <xf numFmtId="0" fontId="9" fillId="0" borderId="8" xfId="0" quotePrefix="1" applyFont="1" applyBorder="1"/>
    <xf numFmtId="0" fontId="54" fillId="0" borderId="11" xfId="0" applyFont="1" applyBorder="1" applyAlignment="1">
      <alignment horizontal="center" vertical="center"/>
    </xf>
    <xf numFmtId="9" fontId="0" fillId="4" borderId="10" xfId="7" applyFont="1" applyFill="1" applyBorder="1" applyAlignment="1">
      <alignment horizontal="center"/>
    </xf>
    <xf numFmtId="9" fontId="0" fillId="4" borderId="9" xfId="7" applyFont="1" applyFill="1" applyBorder="1" applyAlignment="1">
      <alignment horizontal="center"/>
    </xf>
    <xf numFmtId="9" fontId="0" fillId="4" borderId="7" xfId="7" applyFont="1" applyFill="1" applyBorder="1" applyAlignment="1">
      <alignment horizontal="center"/>
    </xf>
    <xf numFmtId="9" fontId="0" fillId="4" borderId="4" xfId="7" applyFont="1" applyFill="1" applyBorder="1" applyAlignment="1">
      <alignment horizontal="center"/>
    </xf>
    <xf numFmtId="0" fontId="42" fillId="0" borderId="4" xfId="0" applyFont="1" applyBorder="1"/>
    <xf numFmtId="0" fontId="1" fillId="0" borderId="11" xfId="0" applyFont="1" applyBorder="1" applyAlignment="1">
      <alignment horizontal="center" vertical="center"/>
    </xf>
    <xf numFmtId="0" fontId="70" fillId="0" borderId="25" xfId="0" applyFont="1" applyBorder="1" applyAlignment="1">
      <alignment horizontal="center"/>
    </xf>
    <xf numFmtId="1" fontId="24" fillId="0" borderId="0" xfId="3" applyNumberFormat="1" applyFont="1" applyFill="1" applyBorder="1" applyAlignment="1" applyProtection="1">
      <alignment horizontal="center"/>
    </xf>
    <xf numFmtId="0" fontId="43" fillId="0" borderId="11" xfId="0" applyFont="1" applyBorder="1" applyAlignment="1">
      <alignment vertical="center" wrapText="1"/>
    </xf>
    <xf numFmtId="0" fontId="43" fillId="0" borderId="11" xfId="0" applyFont="1" applyBorder="1"/>
    <xf numFmtId="1" fontId="24" fillId="0" borderId="11" xfId="3" applyNumberFormat="1" applyFont="1" applyFill="1" applyBorder="1" applyAlignment="1" applyProtection="1">
      <alignment horizontal="center"/>
    </xf>
    <xf numFmtId="0" fontId="43" fillId="0" borderId="7" xfId="0" applyFont="1" applyBorder="1" applyAlignment="1">
      <alignment vertical="center" wrapText="1"/>
    </xf>
    <xf numFmtId="1" fontId="24" fillId="0" borderId="7" xfId="3" applyNumberFormat="1" applyFont="1" applyFill="1" applyBorder="1" applyAlignment="1" applyProtection="1">
      <alignment horizontal="center"/>
    </xf>
    <xf numFmtId="0" fontId="43" fillId="0" borderId="4" xfId="0" applyFont="1" applyBorder="1"/>
    <xf numFmtId="1" fontId="24" fillId="0" borderId="4" xfId="3" applyNumberFormat="1" applyFont="1" applyFill="1" applyBorder="1" applyAlignment="1" applyProtection="1">
      <alignment horizontal="center"/>
    </xf>
    <xf numFmtId="0" fontId="24" fillId="0" borderId="4" xfId="0" applyFont="1" applyBorder="1" applyAlignment="1">
      <alignment vertical="center"/>
    </xf>
    <xf numFmtId="0" fontId="24" fillId="0" borderId="4" xfId="0" applyFont="1" applyBorder="1"/>
    <xf numFmtId="0" fontId="24" fillId="0" borderId="4" xfId="0" applyFont="1" applyBorder="1" applyAlignment="1">
      <alignment horizontal="center" vertical="center"/>
    </xf>
    <xf numFmtId="0" fontId="43" fillId="0" borderId="7" xfId="0" applyFont="1" applyBorder="1"/>
    <xf numFmtId="0" fontId="43" fillId="0" borderId="7" xfId="0" applyFont="1" applyBorder="1" applyAlignment="1">
      <alignment horizontal="center"/>
    </xf>
    <xf numFmtId="9" fontId="0" fillId="0" borderId="0" xfId="7" applyFont="1" applyAlignment="1">
      <alignment horizontal="center"/>
    </xf>
    <xf numFmtId="2" fontId="14" fillId="4" borderId="7" xfId="3" applyNumberFormat="1" applyFont="1" applyFill="1" applyBorder="1" applyAlignment="1" applyProtection="1">
      <alignment horizontal="center"/>
    </xf>
    <xf numFmtId="0" fontId="42" fillId="0" borderId="11" xfId="0" applyFont="1" applyBorder="1"/>
    <xf numFmtId="1" fontId="14" fillId="0" borderId="11" xfId="3" applyNumberFormat="1" applyFont="1" applyFill="1" applyBorder="1" applyAlignment="1" applyProtection="1">
      <alignment horizontal="center"/>
    </xf>
    <xf numFmtId="0" fontId="42" fillId="0" borderId="58" xfId="0" applyFont="1" applyBorder="1"/>
    <xf numFmtId="1" fontId="14" fillId="0" borderId="58" xfId="3" applyNumberFormat="1" applyFont="1" applyFill="1" applyBorder="1" applyAlignment="1" applyProtection="1">
      <alignment horizontal="center"/>
    </xf>
    <xf numFmtId="0" fontId="0" fillId="0" borderId="58" xfId="0" applyBorder="1"/>
    <xf numFmtId="171" fontId="14" fillId="0" borderId="58" xfId="3" applyNumberFormat="1" applyFont="1" applyFill="1" applyBorder="1" applyAlignment="1" applyProtection="1">
      <alignment horizontal="center"/>
    </xf>
    <xf numFmtId="171" fontId="14" fillId="0" borderId="7" xfId="3" applyNumberFormat="1" applyFont="1" applyFill="1" applyBorder="1" applyAlignment="1" applyProtection="1">
      <alignment horizontal="center"/>
    </xf>
    <xf numFmtId="2" fontId="14" fillId="0" borderId="11" xfId="3" applyNumberFormat="1" applyFont="1" applyFill="1" applyBorder="1" applyAlignment="1" applyProtection="1">
      <alignment horizontal="center"/>
    </xf>
    <xf numFmtId="165" fontId="28" fillId="0" borderId="59" xfId="0" applyNumberFormat="1" applyFont="1" applyBorder="1"/>
    <xf numFmtId="165" fontId="28" fillId="0" borderId="60" xfId="0" applyNumberFormat="1" applyFont="1" applyBorder="1"/>
    <xf numFmtId="0" fontId="28" fillId="2" borderId="0" xfId="0" applyFont="1" applyFill="1" applyAlignment="1" applyProtection="1">
      <alignment horizontal="center"/>
      <protection locked="0"/>
    </xf>
    <xf numFmtId="0" fontId="28" fillId="0" borderId="0" xfId="0" applyFont="1" applyAlignment="1">
      <alignment horizontal="right"/>
    </xf>
    <xf numFmtId="193" fontId="28" fillId="2" borderId="0" xfId="0" applyNumberFormat="1" applyFont="1" applyFill="1" applyAlignment="1" applyProtection="1">
      <alignment horizontal="center"/>
      <protection locked="0"/>
    </xf>
    <xf numFmtId="193" fontId="28" fillId="2" borderId="28" xfId="0" applyNumberFormat="1" applyFont="1" applyFill="1" applyBorder="1" applyAlignment="1" applyProtection="1">
      <alignment horizontal="center"/>
      <protection locked="0"/>
    </xf>
    <xf numFmtId="0" fontId="71" fillId="0" borderId="0" xfId="0" applyFont="1"/>
    <xf numFmtId="193" fontId="28" fillId="0" borderId="0" xfId="0" applyNumberFormat="1" applyFont="1" applyAlignment="1">
      <alignment horizontal="center"/>
    </xf>
    <xf numFmtId="190" fontId="42" fillId="2" borderId="7" xfId="0" applyNumberFormat="1" applyFont="1" applyFill="1" applyBorder="1" applyAlignment="1" applyProtection="1">
      <alignment horizontal="center"/>
      <protection locked="0"/>
    </xf>
    <xf numFmtId="190" fontId="42" fillId="2" borderId="9" xfId="0" applyNumberFormat="1" applyFont="1" applyFill="1" applyBorder="1" applyAlignment="1" applyProtection="1">
      <alignment horizontal="center"/>
      <protection locked="0"/>
    </xf>
    <xf numFmtId="194" fontId="42" fillId="0" borderId="0" xfId="0" applyNumberFormat="1" applyFont="1"/>
    <xf numFmtId="185" fontId="2" fillId="2" borderId="0" xfId="0" applyNumberFormat="1" applyFont="1" applyFill="1" applyAlignment="1" applyProtection="1">
      <alignment horizontal="left"/>
      <protection locked="0"/>
    </xf>
    <xf numFmtId="0" fontId="74" fillId="0" borderId="0" xfId="0" applyFont="1"/>
    <xf numFmtId="2" fontId="2" fillId="2" borderId="7" xfId="0" applyNumberFormat="1" applyFont="1" applyFill="1" applyBorder="1" applyAlignment="1" applyProtection="1">
      <alignment horizontal="center"/>
      <protection locked="0"/>
    </xf>
    <xf numFmtId="2" fontId="0" fillId="0" borderId="0" xfId="0" applyNumberFormat="1"/>
    <xf numFmtId="0" fontId="2" fillId="0" borderId="44" xfId="0" applyFont="1" applyBorder="1" applyAlignment="1">
      <alignment horizontal="center" vertical="center"/>
    </xf>
    <xf numFmtId="0" fontId="8" fillId="0" borderId="0" xfId="0" applyFont="1" applyAlignment="1">
      <alignment horizontal="center"/>
    </xf>
    <xf numFmtId="0" fontId="9" fillId="2" borderId="2" xfId="0" applyFont="1" applyFill="1" applyBorder="1" applyAlignment="1" applyProtection="1">
      <alignment horizontal="center"/>
      <protection locked="0"/>
    </xf>
    <xf numFmtId="0" fontId="0" fillId="2" borderId="2" xfId="0" applyFill="1" applyBorder="1" applyAlignment="1" applyProtection="1">
      <alignment horizontal="center"/>
      <protection locked="0"/>
    </xf>
    <xf numFmtId="0" fontId="1" fillId="2" borderId="4" xfId="0" applyFont="1" applyFill="1" applyBorder="1" applyAlignment="1" applyProtection="1">
      <alignment horizontal="left"/>
      <protection locked="0"/>
    </xf>
    <xf numFmtId="14" fontId="1" fillId="2" borderId="4" xfId="0" applyNumberFormat="1" applyFont="1" applyFill="1" applyBorder="1" applyAlignment="1" applyProtection="1">
      <alignment horizontal="left"/>
      <protection locked="0"/>
    </xf>
    <xf numFmtId="0" fontId="2" fillId="0" borderId="12" xfId="0" applyFont="1" applyBorder="1" applyAlignment="1">
      <alignment horizontal="center" wrapText="1"/>
    </xf>
    <xf numFmtId="0" fontId="2" fillId="0" borderId="0" xfId="0" applyFont="1" applyAlignment="1">
      <alignment horizontal="center" wrapText="1"/>
    </xf>
    <xf numFmtId="165" fontId="28" fillId="0" borderId="49" xfId="0" applyNumberFormat="1" applyFont="1" applyBorder="1" applyAlignment="1">
      <alignment horizontal="center"/>
    </xf>
    <xf numFmtId="0" fontId="2" fillId="0" borderId="0" xfId="0" applyFont="1" applyAlignment="1">
      <alignment horizontal="left" vertical="top" wrapText="1"/>
    </xf>
    <xf numFmtId="0" fontId="50" fillId="0" borderId="0" xfId="0" applyFont="1" applyAlignment="1">
      <alignment horizontal="left" wrapText="1"/>
    </xf>
    <xf numFmtId="0" fontId="1" fillId="2" borderId="15" xfId="0" applyFont="1" applyFill="1" applyBorder="1" applyAlignment="1" applyProtection="1">
      <alignment horizontal="left"/>
      <protection locked="0"/>
    </xf>
    <xf numFmtId="0" fontId="1" fillId="2" borderId="14" xfId="0" applyFont="1" applyFill="1" applyBorder="1" applyAlignment="1" applyProtection="1">
      <alignment horizontal="left"/>
      <protection locked="0"/>
    </xf>
    <xf numFmtId="0" fontId="1" fillId="2" borderId="13" xfId="0" applyFont="1" applyFill="1" applyBorder="1" applyAlignment="1" applyProtection="1">
      <alignment horizontal="left"/>
      <protection locked="0"/>
    </xf>
    <xf numFmtId="166" fontId="2" fillId="0" borderId="20" xfId="0" applyNumberFormat="1" applyFont="1" applyBorder="1" applyAlignment="1">
      <alignment horizontal="center"/>
    </xf>
    <xf numFmtId="166" fontId="2" fillId="0" borderId="21" xfId="0" applyNumberFormat="1" applyFont="1" applyBorder="1" applyAlignment="1">
      <alignment horizontal="center"/>
    </xf>
    <xf numFmtId="166" fontId="2" fillId="0" borderId="22" xfId="0" applyNumberFormat="1" applyFont="1" applyBorder="1" applyAlignment="1">
      <alignment horizontal="center"/>
    </xf>
    <xf numFmtId="0" fontId="8" fillId="0" borderId="0" xfId="0" applyFont="1" applyAlignment="1">
      <alignment horizontal="left" wrapText="1"/>
    </xf>
    <xf numFmtId="0" fontId="2" fillId="0" borderId="2" xfId="0" applyFont="1" applyBorder="1" applyAlignment="1">
      <alignment horizontal="center"/>
    </xf>
    <xf numFmtId="0" fontId="63" fillId="0" borderId="0" xfId="0" applyFont="1" applyAlignment="1">
      <alignment horizontal="left" vertical="top" wrapText="1"/>
    </xf>
    <xf numFmtId="165" fontId="28" fillId="0" borderId="47" xfId="0" applyNumberFormat="1" applyFont="1" applyBorder="1" applyAlignment="1">
      <alignment horizontal="center"/>
    </xf>
    <xf numFmtId="0" fontId="28" fillId="2" borderId="0" xfId="0" applyFont="1" applyFill="1" applyAlignment="1" applyProtection="1">
      <alignment horizontal="left"/>
      <protection locked="0"/>
    </xf>
    <xf numFmtId="166" fontId="2" fillId="0" borderId="54" xfId="0" applyNumberFormat="1" applyFont="1" applyBorder="1" applyAlignment="1">
      <alignment horizontal="center"/>
    </xf>
    <xf numFmtId="0" fontId="2" fillId="0" borderId="0" xfId="0" applyFont="1" applyAlignment="1">
      <alignment horizontal="left" vertical="center" wrapText="1"/>
    </xf>
    <xf numFmtId="0" fontId="8" fillId="0" borderId="0" xfId="0" applyFont="1" applyAlignment="1">
      <alignment horizontal="left" vertical="top" wrapText="1"/>
    </xf>
    <xf numFmtId="0" fontId="2" fillId="2" borderId="12" xfId="0" applyFont="1" applyFill="1" applyBorder="1" applyAlignment="1" applyProtection="1">
      <alignment horizontal="left" vertical="top" wrapText="1"/>
      <protection locked="0"/>
    </xf>
    <xf numFmtId="0" fontId="2" fillId="2" borderId="0" xfId="0" applyFont="1" applyFill="1" applyAlignment="1" applyProtection="1">
      <alignment horizontal="left" vertical="top" wrapText="1"/>
      <protection locked="0"/>
    </xf>
    <xf numFmtId="166" fontId="2" fillId="0" borderId="20" xfId="0" applyNumberFormat="1" applyFont="1" applyBorder="1" applyAlignment="1">
      <alignment horizontal="center" vertical="center"/>
    </xf>
    <xf numFmtId="166" fontId="2" fillId="0" borderId="21" xfId="0" applyNumberFormat="1" applyFont="1" applyBorder="1" applyAlignment="1">
      <alignment horizontal="center" vertical="center"/>
    </xf>
    <xf numFmtId="166" fontId="2" fillId="0" borderId="22" xfId="0" applyNumberFormat="1" applyFont="1" applyBorder="1" applyAlignment="1">
      <alignment horizontal="center" vertical="center"/>
    </xf>
    <xf numFmtId="0" fontId="2" fillId="0" borderId="0" xfId="0" applyFont="1" applyAlignment="1">
      <alignment horizontal="left" wrapText="1"/>
    </xf>
    <xf numFmtId="0" fontId="2" fillId="0" borderId="0" xfId="0" applyFont="1" applyAlignment="1">
      <alignment horizontal="left"/>
    </xf>
    <xf numFmtId="166" fontId="2" fillId="0" borderId="0" xfId="0" applyNumberFormat="1" applyFont="1" applyAlignment="1">
      <alignment horizontal="right" textRotation="90"/>
    </xf>
    <xf numFmtId="0" fontId="2" fillId="0" borderId="15" xfId="0" applyFont="1" applyBorder="1" applyAlignment="1">
      <alignment horizontal="center"/>
    </xf>
    <xf numFmtId="0" fontId="2" fillId="0" borderId="13" xfId="0" applyFont="1" applyBorder="1" applyAlignment="1">
      <alignment horizontal="center"/>
    </xf>
    <xf numFmtId="0" fontId="2" fillId="0" borderId="14" xfId="0" applyFont="1" applyBorder="1" applyAlignment="1">
      <alignment horizontal="center"/>
    </xf>
    <xf numFmtId="0" fontId="9" fillId="0" borderId="15" xfId="0" applyFont="1" applyBorder="1" applyAlignment="1">
      <alignment horizontal="center"/>
    </xf>
    <xf numFmtId="0" fontId="9" fillId="0" borderId="14" xfId="0" applyFont="1" applyBorder="1" applyAlignment="1">
      <alignment horizontal="center"/>
    </xf>
    <xf numFmtId="0" fontId="9" fillId="0" borderId="13" xfId="0" applyFont="1" applyBorder="1" applyAlignment="1">
      <alignment horizontal="center"/>
    </xf>
    <xf numFmtId="0" fontId="1" fillId="0" borderId="15" xfId="0" applyFont="1" applyBorder="1" applyAlignment="1">
      <alignment horizontal="center"/>
    </xf>
    <xf numFmtId="0" fontId="2" fillId="0" borderId="4" xfId="0" applyFont="1" applyBorder="1" applyAlignment="1">
      <alignment horizontal="center" wrapText="1"/>
    </xf>
    <xf numFmtId="0" fontId="2" fillId="0" borderId="14" xfId="0" applyFont="1" applyBorder="1" applyAlignment="1" applyProtection="1">
      <alignment horizontal="center"/>
      <protection locked="0"/>
    </xf>
    <xf numFmtId="0" fontId="28" fillId="0" borderId="0" xfId="0" applyFont="1" applyAlignment="1">
      <alignment horizontal="center"/>
    </xf>
    <xf numFmtId="2" fontId="0" fillId="0" borderId="47" xfId="2" applyNumberFormat="1" applyFont="1" applyBorder="1" applyAlignment="1" applyProtection="1">
      <alignment horizontal="center"/>
    </xf>
    <xf numFmtId="2" fontId="0" fillId="0" borderId="46" xfId="2" applyNumberFormat="1" applyFont="1" applyBorder="1" applyAlignment="1" applyProtection="1">
      <alignment horizontal="center"/>
    </xf>
    <xf numFmtId="2" fontId="2" fillId="0" borderId="53" xfId="0" applyNumberFormat="1" applyFont="1" applyBorder="1" applyAlignment="1">
      <alignment horizontal="center"/>
    </xf>
    <xf numFmtId="2" fontId="2" fillId="0" borderId="51" xfId="0" applyNumberFormat="1" applyFont="1" applyBorder="1" applyAlignment="1">
      <alignment horizontal="center"/>
    </xf>
    <xf numFmtId="0" fontId="2" fillId="0" borderId="53"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51" xfId="0" applyFont="1" applyBorder="1" applyAlignment="1">
      <alignment horizontal="center" vertical="center" wrapText="1"/>
    </xf>
    <xf numFmtId="0" fontId="24" fillId="0" borderId="11" xfId="0" applyFont="1" applyBorder="1" applyAlignment="1">
      <alignment horizontal="center" vertical="center"/>
    </xf>
    <xf numFmtId="0" fontId="24" fillId="0" borderId="7" xfId="0" applyFont="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xf>
    <xf numFmtId="0" fontId="24" fillId="0" borderId="15" xfId="0" applyFont="1" applyBorder="1" applyAlignment="1">
      <alignment horizontal="center" vertical="center"/>
    </xf>
    <xf numFmtId="0" fontId="24" fillId="0" borderId="14" xfId="0" applyFont="1" applyBorder="1" applyAlignment="1">
      <alignment horizontal="center" vertical="center"/>
    </xf>
    <xf numFmtId="0" fontId="24" fillId="0" borderId="13" xfId="0" applyFont="1" applyBorder="1" applyAlignment="1">
      <alignment horizontal="center" vertical="center"/>
    </xf>
    <xf numFmtId="0" fontId="24" fillId="0" borderId="11" xfId="0" applyFont="1" applyBorder="1" applyAlignment="1">
      <alignment horizontal="left" vertical="center"/>
    </xf>
    <xf numFmtId="0" fontId="24" fillId="0" borderId="7" xfId="0" applyFont="1" applyBorder="1" applyAlignment="1">
      <alignment horizontal="left" vertical="center"/>
    </xf>
    <xf numFmtId="0" fontId="42" fillId="4" borderId="10" xfId="0" applyFont="1" applyFill="1" applyBorder="1" applyAlignment="1">
      <alignment horizontal="left" vertical="center"/>
    </xf>
    <xf numFmtId="0" fontId="42" fillId="4" borderId="9" xfId="0" applyFont="1" applyFill="1" applyBorder="1" applyAlignment="1">
      <alignment horizontal="left" vertical="center"/>
    </xf>
    <xf numFmtId="0" fontId="42" fillId="4" borderId="7" xfId="0" applyFont="1" applyFill="1" applyBorder="1" applyAlignment="1">
      <alignment horizontal="left" vertical="center"/>
    </xf>
    <xf numFmtId="0" fontId="42" fillId="4" borderId="4" xfId="0" applyFont="1" applyFill="1" applyBorder="1" applyAlignment="1">
      <alignment horizontal="left" vertical="center"/>
    </xf>
    <xf numFmtId="1" fontId="0" fillId="4" borderId="10" xfId="0" applyNumberFormat="1" applyFill="1" applyBorder="1" applyAlignment="1">
      <alignment horizontal="center" vertical="center"/>
    </xf>
    <xf numFmtId="1" fontId="0" fillId="4" borderId="9" xfId="0" applyNumberFormat="1" applyFill="1" applyBorder="1" applyAlignment="1">
      <alignment horizontal="center" vertical="center"/>
    </xf>
    <xf numFmtId="1" fontId="0" fillId="4" borderId="7" xfId="0" applyNumberFormat="1" applyFill="1" applyBorder="1" applyAlignment="1">
      <alignment horizontal="center" vertical="center"/>
    </xf>
    <xf numFmtId="1" fontId="0" fillId="4" borderId="4" xfId="0" applyNumberFormat="1" applyFill="1" applyBorder="1" applyAlignment="1">
      <alignment horizontal="center" vertical="center"/>
    </xf>
    <xf numFmtId="2" fontId="14" fillId="4" borderId="10" xfId="3" applyNumberFormat="1" applyFont="1" applyFill="1" applyBorder="1" applyAlignment="1" applyProtection="1">
      <alignment horizontal="center" vertical="center"/>
    </xf>
    <xf numFmtId="2" fontId="14" fillId="4" borderId="9" xfId="3" applyNumberFormat="1" applyFont="1" applyFill="1" applyBorder="1" applyAlignment="1" applyProtection="1">
      <alignment horizontal="center" vertical="center"/>
    </xf>
    <xf numFmtId="2" fontId="14" fillId="4" borderId="7" xfId="3" applyNumberFormat="1" applyFont="1" applyFill="1" applyBorder="1" applyAlignment="1" applyProtection="1">
      <alignment horizontal="center" vertical="center"/>
    </xf>
    <xf numFmtId="2" fontId="14" fillId="4" borderId="4" xfId="3" applyNumberFormat="1" applyFont="1" applyFill="1" applyBorder="1" applyAlignment="1" applyProtection="1">
      <alignment horizontal="center" vertical="center"/>
    </xf>
    <xf numFmtId="171" fontId="14" fillId="4" borderId="57" xfId="3" applyNumberFormat="1" applyFont="1" applyFill="1" applyBorder="1" applyAlignment="1" applyProtection="1">
      <alignment horizontal="center" vertical="center"/>
    </xf>
    <xf numFmtId="171" fontId="14" fillId="4" borderId="7" xfId="3" applyNumberFormat="1" applyFont="1" applyFill="1" applyBorder="1" applyAlignment="1" applyProtection="1">
      <alignment horizontal="center" vertical="center"/>
    </xf>
    <xf numFmtId="0" fontId="0" fillId="0" borderId="0" xfId="0" applyAlignment="1">
      <alignment horizontal="center"/>
    </xf>
    <xf numFmtId="0" fontId="42" fillId="4" borderId="57" xfId="0" applyFont="1" applyFill="1" applyBorder="1" applyAlignment="1">
      <alignment horizontal="left" vertical="center"/>
    </xf>
    <xf numFmtId="0" fontId="42" fillId="4" borderId="40" xfId="0" applyFont="1" applyFill="1" applyBorder="1" applyAlignment="1">
      <alignment horizontal="left" vertical="center"/>
    </xf>
    <xf numFmtId="0" fontId="42" fillId="4" borderId="19" xfId="0" applyFont="1" applyFill="1" applyBorder="1" applyAlignment="1">
      <alignment horizontal="left" vertical="center"/>
    </xf>
    <xf numFmtId="1" fontId="0" fillId="4" borderId="57" xfId="0" applyNumberFormat="1" applyFill="1" applyBorder="1" applyAlignment="1">
      <alignment horizontal="center" vertical="center"/>
    </xf>
    <xf numFmtId="1" fontId="0" fillId="4" borderId="40" xfId="0" applyNumberFormat="1" applyFill="1" applyBorder="1" applyAlignment="1">
      <alignment horizontal="center" vertical="center"/>
    </xf>
    <xf numFmtId="171" fontId="14" fillId="4" borderId="40" xfId="3" applyNumberFormat="1" applyFont="1" applyFill="1" applyBorder="1" applyAlignment="1" applyProtection="1">
      <alignment horizontal="center" vertical="center"/>
    </xf>
    <xf numFmtId="0" fontId="43" fillId="0" borderId="15" xfId="0" applyFont="1" applyBorder="1" applyAlignment="1">
      <alignment horizontal="center"/>
    </xf>
    <xf numFmtId="0" fontId="43" fillId="0" borderId="13" xfId="0" applyFont="1" applyBorder="1" applyAlignment="1">
      <alignment horizontal="center"/>
    </xf>
    <xf numFmtId="2" fontId="42" fillId="4" borderId="57" xfId="0" applyNumberFormat="1" applyFont="1" applyFill="1" applyBorder="1" applyAlignment="1">
      <alignment horizontal="center" vertical="center"/>
    </xf>
    <xf numFmtId="2" fontId="42" fillId="4" borderId="40" xfId="0" applyNumberFormat="1" applyFont="1" applyFill="1" applyBorder="1" applyAlignment="1">
      <alignment horizontal="center" vertical="center"/>
    </xf>
    <xf numFmtId="2" fontId="42" fillId="4" borderId="7" xfId="0" applyNumberFormat="1" applyFont="1" applyFill="1" applyBorder="1" applyAlignment="1">
      <alignment horizontal="center" vertical="center"/>
    </xf>
    <xf numFmtId="0" fontId="42" fillId="4" borderId="10" xfId="0" applyFont="1" applyFill="1" applyBorder="1" applyAlignment="1">
      <alignment horizontal="center" vertical="center"/>
    </xf>
    <xf numFmtId="0" fontId="42" fillId="4" borderId="4" xfId="0" applyFont="1" applyFill="1" applyBorder="1" applyAlignment="1">
      <alignment horizontal="center" vertical="center"/>
    </xf>
    <xf numFmtId="0" fontId="2" fillId="0" borderId="1" xfId="0" applyFont="1" applyBorder="1" applyAlignment="1">
      <alignment horizontal="left" vertical="top" wrapText="1"/>
    </xf>
    <xf numFmtId="0" fontId="2" fillId="0" borderId="12" xfId="0" applyFont="1" applyBorder="1" applyAlignment="1">
      <alignment horizontal="left" vertical="top" wrapText="1"/>
    </xf>
    <xf numFmtId="0" fontId="2" fillId="0" borderId="17" xfId="0" applyFont="1" applyBorder="1" applyAlignment="1">
      <alignment horizontal="left" vertical="top" wrapText="1"/>
    </xf>
    <xf numFmtId="0" fontId="2" fillId="0" borderId="5"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0" xfId="0" applyFont="1" applyAlignment="1">
      <alignment horizontal="right" vertical="top" wrapText="1"/>
    </xf>
    <xf numFmtId="0" fontId="50" fillId="0" borderId="0" xfId="0" applyFont="1" applyAlignment="1">
      <alignment horizontal="left" vertical="top" wrapText="1"/>
    </xf>
    <xf numFmtId="0" fontId="2" fillId="0" borderId="0" xfId="0" applyFont="1" applyAlignment="1">
      <alignment horizontal="right" vertical="center"/>
    </xf>
    <xf numFmtId="188" fontId="28" fillId="0" borderId="0" xfId="7" applyNumberFormat="1" applyFont="1" applyAlignment="1">
      <alignment horizontal="left" vertical="center" wrapText="1"/>
    </xf>
  </cellXfs>
  <cellStyles count="8">
    <cellStyle name="Gut" xfId="5" builtinId="26"/>
    <cellStyle name="Komma" xfId="2" builtinId="3"/>
    <cellStyle name="Komma 2" xfId="3" xr:uid="{00000000-0005-0000-0000-000003000000}"/>
    <cellStyle name="Komma 3" xfId="4" xr:uid="{00000000-0005-0000-0000-000004000000}"/>
    <cellStyle name="Link" xfId="1" builtinId="8"/>
    <cellStyle name="Prozent" xfId="7" builtinId="5"/>
    <cellStyle name="Schlecht" xfId="6" builtinId="27"/>
    <cellStyle name="Standard" xfId="0" builtinId="0"/>
  </cellStyles>
  <dxfs count="78">
    <dxf>
      <font>
        <color rgb="FF006100"/>
      </font>
      <fill>
        <patternFill>
          <bgColor rgb="FFC6EFCE"/>
        </patternFill>
      </fill>
    </dxf>
    <dxf>
      <font>
        <color rgb="FF9C0006"/>
      </font>
      <fill>
        <patternFill>
          <bgColor rgb="FFFFC7CE"/>
        </patternFill>
      </fill>
    </dxf>
    <dxf>
      <font>
        <color theme="6" tint="-0.499984740745262"/>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6" tint="0.79998168889431442"/>
        </patternFill>
      </fill>
    </dxf>
    <dxf>
      <fill>
        <patternFill patternType="none">
          <bgColor auto="1"/>
        </patternFill>
      </fill>
    </dxf>
    <dxf>
      <font>
        <color rgb="FF9C0006"/>
      </font>
      <fill>
        <patternFill>
          <bgColor rgb="FFFFC7CE"/>
        </patternFill>
      </fill>
    </dxf>
    <dxf>
      <font>
        <color auto="1"/>
      </font>
      <fill>
        <patternFill patternType="none">
          <bgColor auto="1"/>
        </patternFill>
      </fill>
    </dxf>
    <dxf>
      <font>
        <color rgb="FF9C0006"/>
      </font>
      <fill>
        <patternFill>
          <bgColor rgb="FFFFC7CE"/>
        </patternFill>
      </fill>
    </dxf>
  </dxfs>
  <tableStyles count="0" defaultTableStyle="TableStyleMedium9" defaultPivotStyle="PivotStyleLight16"/>
  <colors>
    <mruColors>
      <color rgb="FF00FF00"/>
      <color rgb="FFC6EFCE"/>
      <color rgb="FFFFFFFF"/>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image" Target="../media/image6.png"/><Relationship Id="rId7" Type="http://schemas.openxmlformats.org/officeDocument/2006/relationships/image" Target="../media/image10.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png"/><Relationship Id="rId5" Type="http://schemas.openxmlformats.org/officeDocument/2006/relationships/image" Target="../media/image8.png"/><Relationship Id="rId10" Type="http://schemas.openxmlformats.org/officeDocument/2006/relationships/image" Target="../media/image13.png"/><Relationship Id="rId4" Type="http://schemas.openxmlformats.org/officeDocument/2006/relationships/image" Target="../media/image7.png"/><Relationship Id="rId9" Type="http://schemas.openxmlformats.org/officeDocument/2006/relationships/image" Target="../media/image1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18.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4.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17.emf"/><Relationship Id="rId2" Type="http://schemas.openxmlformats.org/officeDocument/2006/relationships/image" Target="../media/image16.emf"/><Relationship Id="rId1" Type="http://schemas.openxmlformats.org/officeDocument/2006/relationships/image" Target="../media/image15.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5.emf"/></Relationships>
</file>

<file path=xl/drawings/drawing1.xml><?xml version="1.0" encoding="utf-8"?>
<xdr:wsDr xmlns:xdr="http://schemas.openxmlformats.org/drawingml/2006/spreadsheetDrawing" xmlns:a="http://schemas.openxmlformats.org/drawingml/2006/main">
  <xdr:twoCellAnchor>
    <xdr:from>
      <xdr:col>2</xdr:col>
      <xdr:colOff>1143000</xdr:colOff>
      <xdr:row>77</xdr:row>
      <xdr:rowOff>190500</xdr:rowOff>
    </xdr:from>
    <xdr:to>
      <xdr:col>4</xdr:col>
      <xdr:colOff>369094</xdr:colOff>
      <xdr:row>78</xdr:row>
      <xdr:rowOff>0</xdr:rowOff>
    </xdr:to>
    <xdr:sp macro="" textlink="">
      <xdr:nvSpPr>
        <xdr:cNvPr id="13903" name="Line 12">
          <a:extLst>
            <a:ext uri="{FF2B5EF4-FFF2-40B4-BE49-F238E27FC236}">
              <a16:creationId xmlns:a16="http://schemas.microsoft.com/office/drawing/2014/main" id="{00000000-0008-0000-0000-00004F360000}"/>
            </a:ext>
          </a:extLst>
        </xdr:cNvPr>
        <xdr:cNvSpPr>
          <a:spLocks noChangeShapeType="1"/>
        </xdr:cNvSpPr>
      </xdr:nvSpPr>
      <xdr:spPr bwMode="auto">
        <a:xfrm flipV="1">
          <a:off x="4476750" y="17859375"/>
          <a:ext cx="1607344" cy="1190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989135</xdr:colOff>
      <xdr:row>85</xdr:row>
      <xdr:rowOff>73269</xdr:rowOff>
    </xdr:from>
    <xdr:to>
      <xdr:col>1</xdr:col>
      <xdr:colOff>1887454</xdr:colOff>
      <xdr:row>85</xdr:row>
      <xdr:rowOff>78957</xdr:rowOff>
    </xdr:to>
    <xdr:sp macro="" textlink="">
      <xdr:nvSpPr>
        <xdr:cNvPr id="13904" name="Line 13">
          <a:extLst>
            <a:ext uri="{FF2B5EF4-FFF2-40B4-BE49-F238E27FC236}">
              <a16:creationId xmlns:a16="http://schemas.microsoft.com/office/drawing/2014/main" id="{00000000-0008-0000-0000-000050360000}"/>
            </a:ext>
          </a:extLst>
        </xdr:cNvPr>
        <xdr:cNvSpPr>
          <a:spLocks noChangeShapeType="1"/>
        </xdr:cNvSpPr>
      </xdr:nvSpPr>
      <xdr:spPr bwMode="auto">
        <a:xfrm>
          <a:off x="989135" y="19159904"/>
          <a:ext cx="2327069" cy="568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678656</xdr:colOff>
      <xdr:row>77</xdr:row>
      <xdr:rowOff>178594</xdr:rowOff>
    </xdr:from>
    <xdr:to>
      <xdr:col>1</xdr:col>
      <xdr:colOff>685800</xdr:colOff>
      <xdr:row>85</xdr:row>
      <xdr:rowOff>47625</xdr:rowOff>
    </xdr:to>
    <xdr:sp macro="" textlink="">
      <xdr:nvSpPr>
        <xdr:cNvPr id="13905" name="Line 14">
          <a:extLst>
            <a:ext uri="{FF2B5EF4-FFF2-40B4-BE49-F238E27FC236}">
              <a16:creationId xmlns:a16="http://schemas.microsoft.com/office/drawing/2014/main" id="{00000000-0008-0000-0000-000051360000}"/>
            </a:ext>
          </a:extLst>
        </xdr:cNvPr>
        <xdr:cNvSpPr>
          <a:spLocks noChangeShapeType="1"/>
        </xdr:cNvSpPr>
      </xdr:nvSpPr>
      <xdr:spPr bwMode="auto">
        <a:xfrm flipH="1">
          <a:off x="2107406" y="17847469"/>
          <a:ext cx="7144" cy="1488281"/>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468924</xdr:colOff>
      <xdr:row>80</xdr:row>
      <xdr:rowOff>58616</xdr:rowOff>
    </xdr:from>
    <xdr:to>
      <xdr:col>4</xdr:col>
      <xdr:colOff>86671</xdr:colOff>
      <xdr:row>80</xdr:row>
      <xdr:rowOff>60400</xdr:rowOff>
    </xdr:to>
    <xdr:sp macro="" textlink="">
      <xdr:nvSpPr>
        <xdr:cNvPr id="13906" name="Line 16">
          <a:extLst>
            <a:ext uri="{FF2B5EF4-FFF2-40B4-BE49-F238E27FC236}">
              <a16:creationId xmlns:a16="http://schemas.microsoft.com/office/drawing/2014/main" id="{00000000-0008-0000-0000-000052360000}"/>
            </a:ext>
          </a:extLst>
        </xdr:cNvPr>
        <xdr:cNvSpPr>
          <a:spLocks noChangeShapeType="1"/>
        </xdr:cNvSpPr>
      </xdr:nvSpPr>
      <xdr:spPr bwMode="auto">
        <a:xfrm>
          <a:off x="4996962" y="18156116"/>
          <a:ext cx="812036" cy="178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1167847</xdr:colOff>
      <xdr:row>86</xdr:row>
      <xdr:rowOff>157369</xdr:rowOff>
    </xdr:from>
    <xdr:to>
      <xdr:col>4</xdr:col>
      <xdr:colOff>78581</xdr:colOff>
      <xdr:row>86</xdr:row>
      <xdr:rowOff>161924</xdr:rowOff>
    </xdr:to>
    <xdr:sp macro="" textlink="">
      <xdr:nvSpPr>
        <xdr:cNvPr id="13907" name="Line 17">
          <a:extLst>
            <a:ext uri="{FF2B5EF4-FFF2-40B4-BE49-F238E27FC236}">
              <a16:creationId xmlns:a16="http://schemas.microsoft.com/office/drawing/2014/main" id="{00000000-0008-0000-0000-000053360000}"/>
            </a:ext>
          </a:extLst>
        </xdr:cNvPr>
        <xdr:cNvSpPr>
          <a:spLocks noChangeShapeType="1"/>
        </xdr:cNvSpPr>
      </xdr:nvSpPr>
      <xdr:spPr bwMode="auto">
        <a:xfrm>
          <a:off x="4563717" y="19687760"/>
          <a:ext cx="1296125" cy="455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1187116</xdr:colOff>
      <xdr:row>88</xdr:row>
      <xdr:rowOff>5015</xdr:rowOff>
    </xdr:from>
    <xdr:to>
      <xdr:col>4</xdr:col>
      <xdr:colOff>369094</xdr:colOff>
      <xdr:row>88</xdr:row>
      <xdr:rowOff>11906</xdr:rowOff>
    </xdr:to>
    <xdr:sp macro="" textlink="">
      <xdr:nvSpPr>
        <xdr:cNvPr id="13908" name="Line 19">
          <a:extLst>
            <a:ext uri="{FF2B5EF4-FFF2-40B4-BE49-F238E27FC236}">
              <a16:creationId xmlns:a16="http://schemas.microsoft.com/office/drawing/2014/main" id="{00000000-0008-0000-0000-000054360000}"/>
            </a:ext>
          </a:extLst>
        </xdr:cNvPr>
        <xdr:cNvSpPr>
          <a:spLocks noChangeShapeType="1"/>
        </xdr:cNvSpPr>
      </xdr:nvSpPr>
      <xdr:spPr bwMode="auto">
        <a:xfrm>
          <a:off x="4520866" y="19900359"/>
          <a:ext cx="1563228" cy="689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271462</xdr:colOff>
      <xdr:row>78</xdr:row>
      <xdr:rowOff>11906</xdr:rowOff>
    </xdr:from>
    <xdr:to>
      <xdr:col>4</xdr:col>
      <xdr:colOff>273843</xdr:colOff>
      <xdr:row>87</xdr:row>
      <xdr:rowOff>173829</xdr:rowOff>
    </xdr:to>
    <xdr:sp macro="" textlink="">
      <xdr:nvSpPr>
        <xdr:cNvPr id="13909" name="Line 20">
          <a:extLst>
            <a:ext uri="{FF2B5EF4-FFF2-40B4-BE49-F238E27FC236}">
              <a16:creationId xmlns:a16="http://schemas.microsoft.com/office/drawing/2014/main" id="{00000000-0008-0000-0000-000055360000}"/>
            </a:ext>
          </a:extLst>
        </xdr:cNvPr>
        <xdr:cNvSpPr>
          <a:spLocks noChangeShapeType="1"/>
        </xdr:cNvSpPr>
      </xdr:nvSpPr>
      <xdr:spPr bwMode="auto">
        <a:xfrm flipH="1">
          <a:off x="5986462" y="17883187"/>
          <a:ext cx="2381" cy="1983580"/>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0</xdr:colOff>
      <xdr:row>80</xdr:row>
      <xdr:rowOff>71437</xdr:rowOff>
    </xdr:from>
    <xdr:to>
      <xdr:col>4</xdr:col>
      <xdr:colOff>11906</xdr:colOff>
      <xdr:row>86</xdr:row>
      <xdr:rowOff>140494</xdr:rowOff>
    </xdr:to>
    <xdr:sp macro="" textlink="">
      <xdr:nvSpPr>
        <xdr:cNvPr id="13910" name="Line 23">
          <a:extLst>
            <a:ext uri="{FF2B5EF4-FFF2-40B4-BE49-F238E27FC236}">
              <a16:creationId xmlns:a16="http://schemas.microsoft.com/office/drawing/2014/main" id="{00000000-0008-0000-0000-000056360000}"/>
            </a:ext>
          </a:extLst>
        </xdr:cNvPr>
        <xdr:cNvSpPr>
          <a:spLocks noChangeShapeType="1"/>
        </xdr:cNvSpPr>
      </xdr:nvSpPr>
      <xdr:spPr bwMode="auto">
        <a:xfrm flipH="1">
          <a:off x="5715000" y="18347531"/>
          <a:ext cx="11906" cy="1283494"/>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0</xdr:colOff>
      <xdr:row>86</xdr:row>
      <xdr:rowOff>178594</xdr:rowOff>
    </xdr:from>
    <xdr:to>
      <xdr:col>4</xdr:col>
      <xdr:colOff>11906</xdr:colOff>
      <xdr:row>88</xdr:row>
      <xdr:rowOff>9524</xdr:rowOff>
    </xdr:to>
    <xdr:sp macro="" textlink="">
      <xdr:nvSpPr>
        <xdr:cNvPr id="13911" name="Line 25">
          <a:extLst>
            <a:ext uri="{FF2B5EF4-FFF2-40B4-BE49-F238E27FC236}">
              <a16:creationId xmlns:a16="http://schemas.microsoft.com/office/drawing/2014/main" id="{00000000-0008-0000-0000-000057360000}"/>
            </a:ext>
          </a:extLst>
        </xdr:cNvPr>
        <xdr:cNvSpPr>
          <a:spLocks noChangeShapeType="1"/>
        </xdr:cNvSpPr>
      </xdr:nvSpPr>
      <xdr:spPr bwMode="auto">
        <a:xfrm flipH="1">
          <a:off x="5715000" y="19669125"/>
          <a:ext cx="11906" cy="235743"/>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0</xdr:colOff>
      <xdr:row>78</xdr:row>
      <xdr:rowOff>0</xdr:rowOff>
    </xdr:from>
    <xdr:to>
      <xdr:col>4</xdr:col>
      <xdr:colOff>0</xdr:colOff>
      <xdr:row>80</xdr:row>
      <xdr:rowOff>71437</xdr:rowOff>
    </xdr:to>
    <xdr:sp macro="" textlink="">
      <xdr:nvSpPr>
        <xdr:cNvPr id="13912" name="Line 26">
          <a:extLst>
            <a:ext uri="{FF2B5EF4-FFF2-40B4-BE49-F238E27FC236}">
              <a16:creationId xmlns:a16="http://schemas.microsoft.com/office/drawing/2014/main" id="{00000000-0008-0000-0000-000058360000}"/>
            </a:ext>
          </a:extLst>
        </xdr:cNvPr>
        <xdr:cNvSpPr>
          <a:spLocks noChangeShapeType="1"/>
        </xdr:cNvSpPr>
      </xdr:nvSpPr>
      <xdr:spPr bwMode="auto">
        <a:xfrm>
          <a:off x="5715000" y="17871281"/>
          <a:ext cx="0" cy="476250"/>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35719</xdr:colOff>
      <xdr:row>88</xdr:row>
      <xdr:rowOff>150019</xdr:rowOff>
    </xdr:from>
    <xdr:to>
      <xdr:col>2</xdr:col>
      <xdr:colOff>35719</xdr:colOff>
      <xdr:row>91</xdr:row>
      <xdr:rowOff>102394</xdr:rowOff>
    </xdr:to>
    <xdr:sp macro="" textlink="">
      <xdr:nvSpPr>
        <xdr:cNvPr id="13913" name="Line 27">
          <a:extLst>
            <a:ext uri="{FF2B5EF4-FFF2-40B4-BE49-F238E27FC236}">
              <a16:creationId xmlns:a16="http://schemas.microsoft.com/office/drawing/2014/main" id="{00000000-0008-0000-0000-000059360000}"/>
            </a:ext>
          </a:extLst>
        </xdr:cNvPr>
        <xdr:cNvSpPr>
          <a:spLocks noChangeShapeType="1"/>
        </xdr:cNvSpPr>
      </xdr:nvSpPr>
      <xdr:spPr bwMode="auto">
        <a:xfrm>
          <a:off x="3369469" y="20045363"/>
          <a:ext cx="0" cy="64293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1038225</xdr:colOff>
      <xdr:row>88</xdr:row>
      <xdr:rowOff>104775</xdr:rowOff>
    </xdr:from>
    <xdr:to>
      <xdr:col>2</xdr:col>
      <xdr:colOff>1038225</xdr:colOff>
      <xdr:row>91</xdr:row>
      <xdr:rowOff>114300</xdr:rowOff>
    </xdr:to>
    <xdr:sp macro="" textlink="">
      <xdr:nvSpPr>
        <xdr:cNvPr id="13914" name="Line 28">
          <a:extLst>
            <a:ext uri="{FF2B5EF4-FFF2-40B4-BE49-F238E27FC236}">
              <a16:creationId xmlns:a16="http://schemas.microsoft.com/office/drawing/2014/main" id="{00000000-0008-0000-0000-00005A360000}"/>
            </a:ext>
          </a:extLst>
        </xdr:cNvPr>
        <xdr:cNvSpPr>
          <a:spLocks noChangeShapeType="1"/>
        </xdr:cNvSpPr>
      </xdr:nvSpPr>
      <xdr:spPr bwMode="auto">
        <a:xfrm>
          <a:off x="3886200" y="18116550"/>
          <a:ext cx="0" cy="609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666749</xdr:colOff>
      <xdr:row>85</xdr:row>
      <xdr:rowOff>71437</xdr:rowOff>
    </xdr:from>
    <xdr:to>
      <xdr:col>1</xdr:col>
      <xdr:colOff>678655</xdr:colOff>
      <xdr:row>88</xdr:row>
      <xdr:rowOff>0</xdr:rowOff>
    </xdr:to>
    <xdr:sp macro="" textlink="">
      <xdr:nvSpPr>
        <xdr:cNvPr id="13915" name="Line 30">
          <a:extLst>
            <a:ext uri="{FF2B5EF4-FFF2-40B4-BE49-F238E27FC236}">
              <a16:creationId xmlns:a16="http://schemas.microsoft.com/office/drawing/2014/main" id="{00000000-0008-0000-0000-00005B360000}"/>
            </a:ext>
          </a:extLst>
        </xdr:cNvPr>
        <xdr:cNvSpPr>
          <a:spLocks noChangeShapeType="1"/>
        </xdr:cNvSpPr>
      </xdr:nvSpPr>
      <xdr:spPr bwMode="auto">
        <a:xfrm flipH="1">
          <a:off x="2095499" y="19359562"/>
          <a:ext cx="11906" cy="535782"/>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23812</xdr:colOff>
      <xdr:row>91</xdr:row>
      <xdr:rowOff>47620</xdr:rowOff>
    </xdr:from>
    <xdr:to>
      <xdr:col>2</xdr:col>
      <xdr:colOff>1038224</xdr:colOff>
      <xdr:row>91</xdr:row>
      <xdr:rowOff>47624</xdr:rowOff>
    </xdr:to>
    <xdr:sp macro="" textlink="">
      <xdr:nvSpPr>
        <xdr:cNvPr id="13916" name="Line 31">
          <a:extLst>
            <a:ext uri="{FF2B5EF4-FFF2-40B4-BE49-F238E27FC236}">
              <a16:creationId xmlns:a16="http://schemas.microsoft.com/office/drawing/2014/main" id="{00000000-0008-0000-0000-00005C360000}"/>
            </a:ext>
          </a:extLst>
        </xdr:cNvPr>
        <xdr:cNvSpPr>
          <a:spLocks noChangeShapeType="1"/>
        </xdr:cNvSpPr>
      </xdr:nvSpPr>
      <xdr:spPr bwMode="auto">
        <a:xfrm flipV="1">
          <a:off x="3357562" y="20633526"/>
          <a:ext cx="1014412" cy="4"/>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247650</xdr:colOff>
      <xdr:row>88</xdr:row>
      <xdr:rowOff>133350</xdr:rowOff>
    </xdr:from>
    <xdr:to>
      <xdr:col>2</xdr:col>
      <xdr:colOff>247650</xdr:colOff>
      <xdr:row>90</xdr:row>
      <xdr:rowOff>76200</xdr:rowOff>
    </xdr:to>
    <xdr:sp macro="" textlink="">
      <xdr:nvSpPr>
        <xdr:cNvPr id="13917" name="Line 32">
          <a:extLst>
            <a:ext uri="{FF2B5EF4-FFF2-40B4-BE49-F238E27FC236}">
              <a16:creationId xmlns:a16="http://schemas.microsoft.com/office/drawing/2014/main" id="{00000000-0008-0000-0000-00005D360000}"/>
            </a:ext>
          </a:extLst>
        </xdr:cNvPr>
        <xdr:cNvSpPr>
          <a:spLocks noChangeShapeType="1"/>
        </xdr:cNvSpPr>
      </xdr:nvSpPr>
      <xdr:spPr bwMode="auto">
        <a:xfrm>
          <a:off x="3095625" y="181451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835269</xdr:colOff>
      <xdr:row>88</xdr:row>
      <xdr:rowOff>168520</xdr:rowOff>
    </xdr:from>
    <xdr:to>
      <xdr:col>2</xdr:col>
      <xdr:colOff>845343</xdr:colOff>
      <xdr:row>90</xdr:row>
      <xdr:rowOff>95250</xdr:rowOff>
    </xdr:to>
    <xdr:sp macro="" textlink="">
      <xdr:nvSpPr>
        <xdr:cNvPr id="13918" name="Line 33">
          <a:extLst>
            <a:ext uri="{FF2B5EF4-FFF2-40B4-BE49-F238E27FC236}">
              <a16:creationId xmlns:a16="http://schemas.microsoft.com/office/drawing/2014/main" id="{00000000-0008-0000-0000-00005E360000}"/>
            </a:ext>
          </a:extLst>
        </xdr:cNvPr>
        <xdr:cNvSpPr>
          <a:spLocks noChangeShapeType="1"/>
        </xdr:cNvSpPr>
      </xdr:nvSpPr>
      <xdr:spPr bwMode="auto">
        <a:xfrm>
          <a:off x="4169019" y="19848635"/>
          <a:ext cx="10074" cy="373673"/>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257175</xdr:colOff>
      <xdr:row>90</xdr:row>
      <xdr:rowOff>0</xdr:rowOff>
    </xdr:from>
    <xdr:to>
      <xdr:col>2</xdr:col>
      <xdr:colOff>819150</xdr:colOff>
      <xdr:row>90</xdr:row>
      <xdr:rowOff>0</xdr:rowOff>
    </xdr:to>
    <xdr:sp macro="" textlink="">
      <xdr:nvSpPr>
        <xdr:cNvPr id="13919" name="Line 34">
          <a:extLst>
            <a:ext uri="{FF2B5EF4-FFF2-40B4-BE49-F238E27FC236}">
              <a16:creationId xmlns:a16="http://schemas.microsoft.com/office/drawing/2014/main" id="{00000000-0008-0000-0000-00005F360000}"/>
            </a:ext>
          </a:extLst>
        </xdr:cNvPr>
        <xdr:cNvSpPr>
          <a:spLocks noChangeShapeType="1"/>
        </xdr:cNvSpPr>
      </xdr:nvSpPr>
      <xdr:spPr bwMode="auto">
        <a:xfrm flipV="1">
          <a:off x="3105150" y="18411825"/>
          <a:ext cx="561975" cy="0"/>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781050</xdr:colOff>
      <xdr:row>89</xdr:row>
      <xdr:rowOff>190500</xdr:rowOff>
    </xdr:from>
    <xdr:to>
      <xdr:col>2</xdr:col>
      <xdr:colOff>1028700</xdr:colOff>
      <xdr:row>89</xdr:row>
      <xdr:rowOff>200025</xdr:rowOff>
    </xdr:to>
    <xdr:sp macro="" textlink="">
      <xdr:nvSpPr>
        <xdr:cNvPr id="13920" name="Line 35">
          <a:extLst>
            <a:ext uri="{FF2B5EF4-FFF2-40B4-BE49-F238E27FC236}">
              <a16:creationId xmlns:a16="http://schemas.microsoft.com/office/drawing/2014/main" id="{00000000-0008-0000-0000-000060360000}"/>
            </a:ext>
          </a:extLst>
        </xdr:cNvPr>
        <xdr:cNvSpPr>
          <a:spLocks noChangeShapeType="1"/>
        </xdr:cNvSpPr>
      </xdr:nvSpPr>
      <xdr:spPr bwMode="auto">
        <a:xfrm>
          <a:off x="3629025" y="18402300"/>
          <a:ext cx="24765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1894972</xdr:colOff>
      <xdr:row>90</xdr:row>
      <xdr:rowOff>14654</xdr:rowOff>
    </xdr:from>
    <xdr:to>
      <xdr:col>2</xdr:col>
      <xdr:colOff>263768</xdr:colOff>
      <xdr:row>90</xdr:row>
      <xdr:rowOff>20052</xdr:rowOff>
    </xdr:to>
    <xdr:sp macro="" textlink="">
      <xdr:nvSpPr>
        <xdr:cNvPr id="13921" name="Line 36">
          <a:extLst>
            <a:ext uri="{FF2B5EF4-FFF2-40B4-BE49-F238E27FC236}">
              <a16:creationId xmlns:a16="http://schemas.microsoft.com/office/drawing/2014/main" id="{00000000-0008-0000-0000-000061360000}"/>
            </a:ext>
          </a:extLst>
        </xdr:cNvPr>
        <xdr:cNvSpPr>
          <a:spLocks noChangeShapeType="1"/>
        </xdr:cNvSpPr>
      </xdr:nvSpPr>
      <xdr:spPr bwMode="auto">
        <a:xfrm flipH="1">
          <a:off x="3323722" y="20141712"/>
          <a:ext cx="273796" cy="539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1038225</xdr:colOff>
      <xdr:row>90</xdr:row>
      <xdr:rowOff>9525</xdr:rowOff>
    </xdr:from>
    <xdr:to>
      <xdr:col>3</xdr:col>
      <xdr:colOff>209550</xdr:colOff>
      <xdr:row>90</xdr:row>
      <xdr:rowOff>9525</xdr:rowOff>
    </xdr:to>
    <xdr:sp macro="" textlink="">
      <xdr:nvSpPr>
        <xdr:cNvPr id="13922" name="Line 37">
          <a:extLst>
            <a:ext uri="{FF2B5EF4-FFF2-40B4-BE49-F238E27FC236}">
              <a16:creationId xmlns:a16="http://schemas.microsoft.com/office/drawing/2014/main" id="{00000000-0008-0000-0000-000062360000}"/>
            </a:ext>
          </a:extLst>
        </xdr:cNvPr>
        <xdr:cNvSpPr>
          <a:spLocks noChangeShapeType="1"/>
        </xdr:cNvSpPr>
      </xdr:nvSpPr>
      <xdr:spPr bwMode="auto">
        <a:xfrm flipH="1">
          <a:off x="3886200" y="18421350"/>
          <a:ext cx="3619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1480038</xdr:colOff>
      <xdr:row>90</xdr:row>
      <xdr:rowOff>17347</xdr:rowOff>
    </xdr:from>
    <xdr:to>
      <xdr:col>2</xdr:col>
      <xdr:colOff>7327</xdr:colOff>
      <xdr:row>90</xdr:row>
      <xdr:rowOff>21979</xdr:rowOff>
    </xdr:to>
    <xdr:sp macro="" textlink="">
      <xdr:nvSpPr>
        <xdr:cNvPr id="13923" name="Line 38">
          <a:extLst>
            <a:ext uri="{FF2B5EF4-FFF2-40B4-BE49-F238E27FC236}">
              <a16:creationId xmlns:a16="http://schemas.microsoft.com/office/drawing/2014/main" id="{00000000-0008-0000-0000-000063360000}"/>
            </a:ext>
          </a:extLst>
        </xdr:cNvPr>
        <xdr:cNvSpPr>
          <a:spLocks noChangeShapeType="1"/>
        </xdr:cNvSpPr>
      </xdr:nvSpPr>
      <xdr:spPr bwMode="auto">
        <a:xfrm flipV="1">
          <a:off x="2908788" y="20144405"/>
          <a:ext cx="432289" cy="463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1091712</xdr:colOff>
      <xdr:row>77</xdr:row>
      <xdr:rowOff>185101</xdr:rowOff>
    </xdr:from>
    <xdr:to>
      <xdr:col>2</xdr:col>
      <xdr:colOff>0</xdr:colOff>
      <xdr:row>77</xdr:row>
      <xdr:rowOff>190500</xdr:rowOff>
    </xdr:to>
    <xdr:sp macro="" textlink="">
      <xdr:nvSpPr>
        <xdr:cNvPr id="13924" name="Line 13">
          <a:extLst>
            <a:ext uri="{FF2B5EF4-FFF2-40B4-BE49-F238E27FC236}">
              <a16:creationId xmlns:a16="http://schemas.microsoft.com/office/drawing/2014/main" id="{00000000-0008-0000-0000-000064360000}"/>
            </a:ext>
          </a:extLst>
        </xdr:cNvPr>
        <xdr:cNvSpPr>
          <a:spLocks noChangeShapeType="1"/>
        </xdr:cNvSpPr>
      </xdr:nvSpPr>
      <xdr:spPr bwMode="auto">
        <a:xfrm flipV="1">
          <a:off x="1091712" y="17689120"/>
          <a:ext cx="2242038" cy="5399"/>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996462</xdr:colOff>
      <xdr:row>88</xdr:row>
      <xdr:rowOff>5640</xdr:rowOff>
    </xdr:from>
    <xdr:to>
      <xdr:col>1</xdr:col>
      <xdr:colOff>1844842</xdr:colOff>
      <xdr:row>88</xdr:row>
      <xdr:rowOff>14654</xdr:rowOff>
    </xdr:to>
    <xdr:sp macro="" textlink="">
      <xdr:nvSpPr>
        <xdr:cNvPr id="13925" name="Line 13">
          <a:extLst>
            <a:ext uri="{FF2B5EF4-FFF2-40B4-BE49-F238E27FC236}">
              <a16:creationId xmlns:a16="http://schemas.microsoft.com/office/drawing/2014/main" id="{00000000-0008-0000-0000-000065360000}"/>
            </a:ext>
          </a:extLst>
        </xdr:cNvPr>
        <xdr:cNvSpPr>
          <a:spLocks noChangeShapeType="1"/>
        </xdr:cNvSpPr>
      </xdr:nvSpPr>
      <xdr:spPr bwMode="auto">
        <a:xfrm flipV="1">
          <a:off x="996462" y="19685755"/>
          <a:ext cx="2277130" cy="901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0</xdr:col>
          <xdr:colOff>371475</xdr:colOff>
          <xdr:row>143</xdr:row>
          <xdr:rowOff>114300</xdr:rowOff>
        </xdr:from>
        <xdr:to>
          <xdr:col>1</xdr:col>
          <xdr:colOff>1343025</xdr:colOff>
          <xdr:row>145</xdr:row>
          <xdr:rowOff>152400</xdr:rowOff>
        </xdr:to>
        <xdr:sp macro="" textlink="">
          <xdr:nvSpPr>
            <xdr:cNvPr id="7087" name="Object 5039" hidden="1">
              <a:extLst>
                <a:ext uri="{63B3BB69-23CF-44E3-9099-C40C66FF867C}">
                  <a14:compatExt spid="_x0000_s7087"/>
                </a:ext>
                <a:ext uri="{FF2B5EF4-FFF2-40B4-BE49-F238E27FC236}">
                  <a16:creationId xmlns:a16="http://schemas.microsoft.com/office/drawing/2014/main" id="{00000000-0008-0000-0000-0000AF1B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7</xdr:col>
      <xdr:colOff>28579</xdr:colOff>
      <xdr:row>17</xdr:row>
      <xdr:rowOff>11226</xdr:rowOff>
    </xdr:from>
    <xdr:to>
      <xdr:col>8</xdr:col>
      <xdr:colOff>1084386</xdr:colOff>
      <xdr:row>22</xdr:row>
      <xdr:rowOff>190498</xdr:rowOff>
    </xdr:to>
    <xdr:pic>
      <xdr:nvPicPr>
        <xdr:cNvPr id="13926" name="Grafik 1">
          <a:extLst>
            <a:ext uri="{FF2B5EF4-FFF2-40B4-BE49-F238E27FC236}">
              <a16:creationId xmlns:a16="http://schemas.microsoft.com/office/drawing/2014/main" id="{00000000-0008-0000-0000-00006636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444" y="4033707"/>
          <a:ext cx="1949692" cy="16593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133350</xdr:colOff>
          <xdr:row>149</xdr:row>
          <xdr:rowOff>133350</xdr:rowOff>
        </xdr:from>
        <xdr:to>
          <xdr:col>1</xdr:col>
          <xdr:colOff>1838325</xdr:colOff>
          <xdr:row>153</xdr:row>
          <xdr:rowOff>9525</xdr:rowOff>
        </xdr:to>
        <xdr:sp macro="" textlink="">
          <xdr:nvSpPr>
            <xdr:cNvPr id="8778" name="Object 5706" hidden="1">
              <a:extLst>
                <a:ext uri="{63B3BB69-23CF-44E3-9099-C40C66FF867C}">
                  <a14:compatExt spid="_x0000_s8778"/>
                </a:ext>
                <a:ext uri="{FF2B5EF4-FFF2-40B4-BE49-F238E27FC236}">
                  <a16:creationId xmlns:a16="http://schemas.microsoft.com/office/drawing/2014/main" id="{00000000-0008-0000-0000-00004A22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164</xdr:row>
          <xdr:rowOff>200025</xdr:rowOff>
        </xdr:from>
        <xdr:to>
          <xdr:col>4</xdr:col>
          <xdr:colOff>647700</xdr:colOff>
          <xdr:row>166</xdr:row>
          <xdr:rowOff>114300</xdr:rowOff>
        </xdr:to>
        <xdr:sp macro="" textlink="">
          <xdr:nvSpPr>
            <xdr:cNvPr id="13781" name="Object 7637" hidden="1">
              <a:extLst>
                <a:ext uri="{63B3BB69-23CF-44E3-9099-C40C66FF867C}">
                  <a14:compatExt spid="_x0000_s13781"/>
                </a:ext>
                <a:ext uri="{FF2B5EF4-FFF2-40B4-BE49-F238E27FC236}">
                  <a16:creationId xmlns:a16="http://schemas.microsoft.com/office/drawing/2014/main" id="{00000000-0008-0000-0000-0000D535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762242</xdr:colOff>
      <xdr:row>81</xdr:row>
      <xdr:rowOff>94573</xdr:rowOff>
    </xdr:from>
    <xdr:to>
      <xdr:col>2</xdr:col>
      <xdr:colOff>10268</xdr:colOff>
      <xdr:row>81</xdr:row>
      <xdr:rowOff>94574</xdr:rowOff>
    </xdr:to>
    <xdr:sp macro="" textlink="">
      <xdr:nvSpPr>
        <xdr:cNvPr id="49" name="Line 16">
          <a:extLst>
            <a:ext uri="{FF2B5EF4-FFF2-40B4-BE49-F238E27FC236}">
              <a16:creationId xmlns:a16="http://schemas.microsoft.com/office/drawing/2014/main" id="{00000000-0008-0000-0000-000031000000}"/>
            </a:ext>
          </a:extLst>
        </xdr:cNvPr>
        <xdr:cNvSpPr>
          <a:spLocks noChangeShapeType="1"/>
        </xdr:cNvSpPr>
      </xdr:nvSpPr>
      <xdr:spPr bwMode="auto">
        <a:xfrm>
          <a:off x="2190992" y="18316631"/>
          <a:ext cx="1153026" cy="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1033095</xdr:colOff>
      <xdr:row>77</xdr:row>
      <xdr:rowOff>175845</xdr:rowOff>
    </xdr:from>
    <xdr:to>
      <xdr:col>1</xdr:col>
      <xdr:colOff>1040423</xdr:colOff>
      <xdr:row>81</xdr:row>
      <xdr:rowOff>87922</xdr:rowOff>
    </xdr:to>
    <xdr:sp macro="" textlink="">
      <xdr:nvSpPr>
        <xdr:cNvPr id="50" name="Line 26">
          <a:extLst>
            <a:ext uri="{FF2B5EF4-FFF2-40B4-BE49-F238E27FC236}">
              <a16:creationId xmlns:a16="http://schemas.microsoft.com/office/drawing/2014/main" id="{00000000-0008-0000-0000-000032000000}"/>
            </a:ext>
          </a:extLst>
        </xdr:cNvPr>
        <xdr:cNvSpPr>
          <a:spLocks noChangeShapeType="1"/>
        </xdr:cNvSpPr>
      </xdr:nvSpPr>
      <xdr:spPr bwMode="auto">
        <a:xfrm flipH="1">
          <a:off x="2461845" y="17606595"/>
          <a:ext cx="7328" cy="703385"/>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oneCellAnchor>
    <xdr:from>
      <xdr:col>4</xdr:col>
      <xdr:colOff>335882</xdr:colOff>
      <xdr:row>12</xdr:row>
      <xdr:rowOff>35718</xdr:rowOff>
    </xdr:from>
    <xdr:ext cx="1644080" cy="879556"/>
    <xdr:pic>
      <xdr:nvPicPr>
        <xdr:cNvPr id="52" name="Grafik 2">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5222" t="4187" r="4362"/>
        <a:stretch>
          <a:fillRect/>
        </a:stretch>
      </xdr:blipFill>
      <xdr:spPr bwMode="auto">
        <a:xfrm>
          <a:off x="6050882" y="2928937"/>
          <a:ext cx="1644080" cy="879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1143002</xdr:colOff>
      <xdr:row>77</xdr:row>
      <xdr:rowOff>142876</xdr:rowOff>
    </xdr:from>
    <xdr:to>
      <xdr:col>3</xdr:col>
      <xdr:colOff>595313</xdr:colOff>
      <xdr:row>77</xdr:row>
      <xdr:rowOff>142876</xdr:rowOff>
    </xdr:to>
    <xdr:cxnSp macro="">
      <xdr:nvCxnSpPr>
        <xdr:cNvPr id="66" name="Gerade Verbindung mit Pfeil 65">
          <a:extLst>
            <a:ext uri="{FF2B5EF4-FFF2-40B4-BE49-F238E27FC236}">
              <a16:creationId xmlns:a16="http://schemas.microsoft.com/office/drawing/2014/main" id="{00000000-0008-0000-0000-000042000000}"/>
            </a:ext>
          </a:extLst>
        </xdr:cNvPr>
        <xdr:cNvCxnSpPr/>
      </xdr:nvCxnSpPr>
      <xdr:spPr>
        <a:xfrm>
          <a:off x="4476752" y="17811751"/>
          <a:ext cx="642936" cy="0"/>
        </a:xfrm>
        <a:prstGeom prst="straightConnector1">
          <a:avLst/>
        </a:prstGeom>
        <a:ln w="12700">
          <a:solidFill>
            <a:schemeClr val="tx1"/>
          </a:solidFill>
          <a:headEnd type="none"/>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631031</xdr:colOff>
      <xdr:row>75</xdr:row>
      <xdr:rowOff>178594</xdr:rowOff>
    </xdr:from>
    <xdr:to>
      <xdr:col>2</xdr:col>
      <xdr:colOff>640556</xdr:colOff>
      <xdr:row>77</xdr:row>
      <xdr:rowOff>176214</xdr:rowOff>
    </xdr:to>
    <xdr:cxnSp macro="">
      <xdr:nvCxnSpPr>
        <xdr:cNvPr id="69" name="Gerade Verbindung mit Pfeil 68">
          <a:extLst>
            <a:ext uri="{FF2B5EF4-FFF2-40B4-BE49-F238E27FC236}">
              <a16:creationId xmlns:a16="http://schemas.microsoft.com/office/drawing/2014/main" id="{00000000-0008-0000-0000-000045000000}"/>
            </a:ext>
          </a:extLst>
        </xdr:cNvPr>
        <xdr:cNvCxnSpPr/>
      </xdr:nvCxnSpPr>
      <xdr:spPr>
        <a:xfrm flipH="1" flipV="1">
          <a:off x="3964781" y="15942469"/>
          <a:ext cx="9525" cy="664370"/>
        </a:xfrm>
        <a:prstGeom prst="straightConnector1">
          <a:avLst/>
        </a:prstGeom>
        <a:ln w="12700">
          <a:solidFill>
            <a:schemeClr val="tx1"/>
          </a:solidFill>
          <a:headEnd type="none"/>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359568</xdr:colOff>
      <xdr:row>77</xdr:row>
      <xdr:rowOff>161925</xdr:rowOff>
    </xdr:from>
    <xdr:to>
      <xdr:col>3</xdr:col>
      <xdr:colOff>369094</xdr:colOff>
      <xdr:row>83</xdr:row>
      <xdr:rowOff>190499</xdr:rowOff>
    </xdr:to>
    <xdr:sp macro="" textlink="">
      <xdr:nvSpPr>
        <xdr:cNvPr id="76" name="Line 23">
          <a:extLst>
            <a:ext uri="{FF2B5EF4-FFF2-40B4-BE49-F238E27FC236}">
              <a16:creationId xmlns:a16="http://schemas.microsoft.com/office/drawing/2014/main" id="{00000000-0008-0000-0000-00004C000000}"/>
            </a:ext>
          </a:extLst>
        </xdr:cNvPr>
        <xdr:cNvSpPr>
          <a:spLocks noChangeShapeType="1"/>
        </xdr:cNvSpPr>
      </xdr:nvSpPr>
      <xdr:spPr bwMode="auto">
        <a:xfrm>
          <a:off x="4883943" y="17830800"/>
          <a:ext cx="9526" cy="1243012"/>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11906</xdr:colOff>
      <xdr:row>83</xdr:row>
      <xdr:rowOff>190498</xdr:rowOff>
    </xdr:from>
    <xdr:to>
      <xdr:col>3</xdr:col>
      <xdr:colOff>559593</xdr:colOff>
      <xdr:row>83</xdr:row>
      <xdr:rowOff>202405</xdr:rowOff>
    </xdr:to>
    <xdr:sp macro="" textlink="">
      <xdr:nvSpPr>
        <xdr:cNvPr id="77" name="Line 17">
          <a:extLst>
            <a:ext uri="{FF2B5EF4-FFF2-40B4-BE49-F238E27FC236}">
              <a16:creationId xmlns:a16="http://schemas.microsoft.com/office/drawing/2014/main" id="{00000000-0008-0000-0000-00004D000000}"/>
            </a:ext>
          </a:extLst>
        </xdr:cNvPr>
        <xdr:cNvSpPr>
          <a:spLocks noChangeShapeType="1"/>
        </xdr:cNvSpPr>
      </xdr:nvSpPr>
      <xdr:spPr bwMode="auto">
        <a:xfrm flipV="1">
          <a:off x="4536281" y="19073811"/>
          <a:ext cx="547687" cy="1190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3</xdr:col>
      <xdr:colOff>163115</xdr:colOff>
      <xdr:row>133</xdr:row>
      <xdr:rowOff>228600</xdr:rowOff>
    </xdr:from>
    <xdr:ext cx="3913586" cy="285751"/>
    <mc:AlternateContent xmlns:mc="http://schemas.openxmlformats.org/markup-compatibility/2006" xmlns:a14="http://schemas.microsoft.com/office/drawing/2010/main">
      <mc:Choice Requires="a14">
        <xdr:sp macro="" textlink="">
          <xdr:nvSpPr>
            <xdr:cNvPr id="6" name="Textfeld 5">
              <a:extLst>
                <a:ext uri="{FF2B5EF4-FFF2-40B4-BE49-F238E27FC236}">
                  <a16:creationId xmlns:a16="http://schemas.microsoft.com/office/drawing/2014/main" id="{00000000-0008-0000-0000-000006000000}"/>
                </a:ext>
              </a:extLst>
            </xdr:cNvPr>
            <xdr:cNvSpPr txBox="1"/>
          </xdr:nvSpPr>
          <xdr:spPr>
            <a:xfrm>
              <a:off x="4744640" y="30927675"/>
              <a:ext cx="3913586" cy="285751"/>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sSub>
                      <m:sSubPr>
                        <m:ctrlPr>
                          <a:rPr lang="de-DE" sz="1600" b="0" i="1">
                            <a:latin typeface="Cambria Math" panose="02040503050406030204" pitchFamily="18" charset="0"/>
                          </a:rPr>
                        </m:ctrlPr>
                      </m:sSubPr>
                      <m:e>
                        <m:r>
                          <a:rPr lang="de-DE" sz="1600" b="0" i="1">
                            <a:latin typeface="Cambria Math" panose="02040503050406030204" pitchFamily="18" charset="0"/>
                          </a:rPr>
                          <m:t>𝐹</m:t>
                        </m:r>
                      </m:e>
                      <m:sub>
                        <m:r>
                          <a:rPr lang="de-DE" sz="1600" b="0" i="1">
                            <a:solidFill>
                              <a:schemeClr val="tx1"/>
                            </a:solidFill>
                            <a:effectLst/>
                            <a:latin typeface="Cambria Math" panose="02040503050406030204" pitchFamily="18" charset="0"/>
                            <a:ea typeface="+mn-ea"/>
                            <a:cs typeface="+mn-cs"/>
                          </a:rPr>
                          <m:t>𝑡</m:t>
                        </m:r>
                        <m:r>
                          <a:rPr lang="de-DE" sz="1600" b="0" i="1">
                            <a:solidFill>
                              <a:schemeClr val="tx1"/>
                            </a:solidFill>
                            <a:effectLst/>
                            <a:latin typeface="Cambria Math" panose="02040503050406030204" pitchFamily="18" charset="0"/>
                            <a:ea typeface="+mn-ea"/>
                            <a:cs typeface="+mn-cs"/>
                          </a:rPr>
                          <m:t>,90,</m:t>
                        </m:r>
                        <m:r>
                          <a:rPr lang="de-DE" sz="1600" b="0" i="1">
                            <a:solidFill>
                              <a:schemeClr val="tx1"/>
                            </a:solidFill>
                            <a:effectLst/>
                            <a:latin typeface="Cambria Math" panose="02040503050406030204" pitchFamily="18" charset="0"/>
                            <a:ea typeface="+mn-ea"/>
                            <a:cs typeface="+mn-cs"/>
                          </a:rPr>
                          <m:t>𝑑</m:t>
                        </m:r>
                      </m:sub>
                    </m:sSub>
                    <m:r>
                      <a:rPr lang="de-DE" sz="1600" b="0" i="1">
                        <a:latin typeface="Cambria Math" panose="02040503050406030204" pitchFamily="18" charset="0"/>
                        <a:ea typeface="Cambria Math" panose="02040503050406030204" pitchFamily="18" charset="0"/>
                      </a:rPr>
                      <m:t>=1,3∙</m:t>
                    </m:r>
                    <m:func>
                      <m:funcPr>
                        <m:ctrlPr>
                          <a:rPr lang="de-DE" sz="1600" b="0" i="1">
                            <a:latin typeface="Cambria Math" panose="02040503050406030204" pitchFamily="18" charset="0"/>
                            <a:ea typeface="Cambria Math" panose="02040503050406030204" pitchFamily="18" charset="0"/>
                          </a:rPr>
                        </m:ctrlPr>
                      </m:funcPr>
                      <m:fName>
                        <m:r>
                          <m:rPr>
                            <m:sty m:val="p"/>
                          </m:rPr>
                          <a:rPr lang="de-DE" sz="1600" b="0" i="0">
                            <a:latin typeface="Cambria Math" panose="02040503050406030204" pitchFamily="18" charset="0"/>
                            <a:ea typeface="Cambria Math" panose="02040503050406030204" pitchFamily="18" charset="0"/>
                          </a:rPr>
                          <m:t>max</m:t>
                        </m:r>
                      </m:fName>
                      <m:e>
                        <m:sSub>
                          <m:sSubPr>
                            <m:ctrlPr>
                              <a:rPr lang="de-DE" sz="1600" b="0" i="1">
                                <a:latin typeface="Cambria Math" panose="02040503050406030204" pitchFamily="18" charset="0"/>
                                <a:ea typeface="Cambria Math" panose="02040503050406030204" pitchFamily="18" charset="0"/>
                              </a:rPr>
                            </m:ctrlPr>
                          </m:sSubPr>
                          <m:e>
                            <m:r>
                              <a:rPr lang="de-DE" sz="1600" b="0" i="1">
                                <a:latin typeface="Cambria Math" panose="02040503050406030204" pitchFamily="18" charset="0"/>
                                <a:ea typeface="Cambria Math" panose="02040503050406030204" pitchFamily="18" charset="0"/>
                              </a:rPr>
                              <m:t>𝐹</m:t>
                            </m:r>
                          </m:e>
                          <m:sub>
                            <m:r>
                              <a:rPr lang="de-DE" sz="1600" b="0" i="1">
                                <a:latin typeface="Cambria Math" panose="02040503050406030204" pitchFamily="18" charset="0"/>
                                <a:ea typeface="Cambria Math" panose="02040503050406030204" pitchFamily="18" charset="0"/>
                              </a:rPr>
                              <m:t>2,</m:t>
                            </m:r>
                            <m:r>
                              <a:rPr lang="de-DE" sz="1600" b="0" i="1">
                                <a:latin typeface="Cambria Math" panose="02040503050406030204" pitchFamily="18" charset="0"/>
                                <a:ea typeface="Cambria Math" panose="02040503050406030204" pitchFamily="18" charset="0"/>
                              </a:rPr>
                              <m:t>𝑑</m:t>
                            </m:r>
                          </m:sub>
                        </m:sSub>
                      </m:e>
                    </m:func>
                    <m:r>
                      <a:rPr lang="de-DE" sz="1600" b="0" i="1">
                        <a:latin typeface="Cambria Math" panose="02040503050406030204" pitchFamily="18" charset="0"/>
                        <a:ea typeface="Cambria Math" panose="02040503050406030204" pitchFamily="18" charset="0"/>
                      </a:rPr>
                      <m:t>∙</m:t>
                    </m:r>
                    <m:d>
                      <m:dPr>
                        <m:ctrlPr>
                          <a:rPr lang="de-DE" sz="1600" b="0" i="1">
                            <a:latin typeface="Cambria Math" panose="02040503050406030204" pitchFamily="18" charset="0"/>
                            <a:ea typeface="Cambria Math" panose="02040503050406030204" pitchFamily="18" charset="0"/>
                          </a:rPr>
                        </m:ctrlPr>
                      </m:dPr>
                      <m:e>
                        <m:r>
                          <a:rPr lang="de-DE" sz="1600" b="0" i="1">
                            <a:latin typeface="Cambria Math" panose="02040503050406030204" pitchFamily="18" charset="0"/>
                            <a:ea typeface="Cambria Math" panose="02040503050406030204" pitchFamily="18" charset="0"/>
                          </a:rPr>
                          <m:t>1−3∙</m:t>
                        </m:r>
                        <m:sSup>
                          <m:sSupPr>
                            <m:ctrlPr>
                              <a:rPr lang="de-DE" sz="1600" b="0" i="1">
                                <a:latin typeface="Cambria Math" panose="02040503050406030204" pitchFamily="18" charset="0"/>
                                <a:ea typeface="Cambria Math" panose="02040503050406030204" pitchFamily="18" charset="0"/>
                              </a:rPr>
                            </m:ctrlPr>
                          </m:sSupPr>
                          <m:e>
                            <m:r>
                              <a:rPr lang="de-DE" sz="1600" b="0" i="1">
                                <a:latin typeface="Cambria Math" panose="02040503050406030204" pitchFamily="18" charset="0"/>
                                <a:ea typeface="Cambria Math" panose="02040503050406030204" pitchFamily="18" charset="0"/>
                              </a:rPr>
                              <m:t>𝛼</m:t>
                            </m:r>
                          </m:e>
                          <m:sup>
                            <m:r>
                              <a:rPr lang="de-DE" sz="1600" b="0" i="1">
                                <a:latin typeface="Cambria Math" panose="02040503050406030204" pitchFamily="18" charset="0"/>
                                <a:ea typeface="Cambria Math" panose="02040503050406030204" pitchFamily="18" charset="0"/>
                              </a:rPr>
                              <m:t>2</m:t>
                            </m:r>
                          </m:sup>
                        </m:sSup>
                        <m:r>
                          <a:rPr lang="de-DE" sz="1600" b="0" i="1">
                            <a:latin typeface="Cambria Math" panose="02040503050406030204" pitchFamily="18" charset="0"/>
                            <a:ea typeface="Cambria Math" panose="02040503050406030204" pitchFamily="18" charset="0"/>
                          </a:rPr>
                          <m:t>+2∙</m:t>
                        </m:r>
                        <m:sSup>
                          <m:sSupPr>
                            <m:ctrlPr>
                              <a:rPr lang="de-DE" sz="1600" b="0" i="1">
                                <a:latin typeface="Cambria Math" panose="02040503050406030204" pitchFamily="18" charset="0"/>
                                <a:ea typeface="Cambria Math" panose="02040503050406030204" pitchFamily="18" charset="0"/>
                              </a:rPr>
                            </m:ctrlPr>
                          </m:sSupPr>
                          <m:e>
                            <m:r>
                              <a:rPr lang="de-DE" sz="1600" b="0" i="1">
                                <a:latin typeface="Cambria Math" panose="02040503050406030204" pitchFamily="18" charset="0"/>
                                <a:ea typeface="Cambria Math" panose="02040503050406030204" pitchFamily="18" charset="0"/>
                              </a:rPr>
                              <m:t>𝛼</m:t>
                            </m:r>
                          </m:e>
                          <m:sup>
                            <m:r>
                              <a:rPr lang="de-DE" sz="1600" b="0" i="1">
                                <a:latin typeface="Cambria Math" panose="02040503050406030204" pitchFamily="18" charset="0"/>
                                <a:ea typeface="Cambria Math" panose="02040503050406030204" pitchFamily="18" charset="0"/>
                              </a:rPr>
                              <m:t>3</m:t>
                            </m:r>
                          </m:sup>
                        </m:sSup>
                      </m:e>
                    </m:d>
                  </m:oMath>
                </m:oMathPara>
              </a14:m>
              <a:endParaRPr lang="de-AT" sz="1600"/>
            </a:p>
          </xdr:txBody>
        </xdr:sp>
      </mc:Choice>
      <mc:Fallback xmlns="">
        <xdr:sp macro="" textlink="">
          <xdr:nvSpPr>
            <xdr:cNvPr id="6" name="Textfeld 5">
              <a:extLst>
                <a:ext uri="{FF2B5EF4-FFF2-40B4-BE49-F238E27FC236}">
                  <a16:creationId xmlns:a16="http://schemas.microsoft.com/office/drawing/2014/main" id="{00000000-0008-0000-0000-000006000000}"/>
                </a:ext>
              </a:extLst>
            </xdr:cNvPr>
            <xdr:cNvSpPr txBox="1"/>
          </xdr:nvSpPr>
          <xdr:spPr>
            <a:xfrm>
              <a:off x="4744640" y="30927675"/>
              <a:ext cx="3913586" cy="285751"/>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de-DE" sz="1600" b="0" i="0">
                  <a:latin typeface="Cambria Math" panose="02040503050406030204" pitchFamily="18" charset="0"/>
                </a:rPr>
                <a:t>𝐹_(</a:t>
              </a:r>
              <a:r>
                <a:rPr lang="de-DE" sz="1600" b="0" i="0">
                  <a:solidFill>
                    <a:schemeClr val="tx1"/>
                  </a:solidFill>
                  <a:effectLst/>
                  <a:latin typeface="Cambria Math" panose="02040503050406030204" pitchFamily="18" charset="0"/>
                  <a:ea typeface="+mn-ea"/>
                  <a:cs typeface="+mn-cs"/>
                </a:rPr>
                <a:t>𝑡,90,𝑑)</a:t>
              </a:r>
              <a:r>
                <a:rPr lang="de-DE" sz="1600" b="0" i="0">
                  <a:latin typeface="Cambria Math" panose="02040503050406030204" pitchFamily="18" charset="0"/>
                  <a:ea typeface="Cambria Math" panose="02040503050406030204" pitchFamily="18" charset="0"/>
                </a:rPr>
                <a:t>=1,3∙max⁡〖𝐹_(2,𝑑) 〗∙(1−3∙𝛼^2+2∙𝛼^3 )</a:t>
              </a:r>
              <a:endParaRPr lang="de-AT" sz="1600"/>
            </a:p>
          </xdr:txBody>
        </xdr:sp>
      </mc:Fallback>
    </mc:AlternateContent>
    <xdr:clientData/>
  </xdr:oneCellAnchor>
  <xdr:twoCellAnchor>
    <xdr:from>
      <xdr:col>1</xdr:col>
      <xdr:colOff>809624</xdr:colOff>
      <xdr:row>83</xdr:row>
      <xdr:rowOff>154781</xdr:rowOff>
    </xdr:from>
    <xdr:to>
      <xdr:col>2</xdr:col>
      <xdr:colOff>142873</xdr:colOff>
      <xdr:row>88</xdr:row>
      <xdr:rowOff>154781</xdr:rowOff>
    </xdr:to>
    <xdr:sp macro="" textlink="">
      <xdr:nvSpPr>
        <xdr:cNvPr id="63" name="Line 14">
          <a:extLst>
            <a:ext uri="{FF2B5EF4-FFF2-40B4-BE49-F238E27FC236}">
              <a16:creationId xmlns:a16="http://schemas.microsoft.com/office/drawing/2014/main" id="{00000000-0008-0000-0000-00003F000000}"/>
            </a:ext>
          </a:extLst>
        </xdr:cNvPr>
        <xdr:cNvSpPr>
          <a:spLocks noChangeShapeType="1"/>
        </xdr:cNvSpPr>
      </xdr:nvSpPr>
      <xdr:spPr bwMode="auto">
        <a:xfrm flipH="1">
          <a:off x="2238374" y="17907000"/>
          <a:ext cx="1238249" cy="1012031"/>
        </a:xfrm>
        <a:prstGeom prst="line">
          <a:avLst/>
        </a:prstGeom>
        <a:noFill/>
        <a:ln w="9525">
          <a:solidFill>
            <a:srgbClr val="000000"/>
          </a:solidFill>
          <a:round/>
          <a:headEnd type="triangle" w="med" len="med"/>
          <a:tailEnd type="none" w="med" len="med"/>
        </a:ln>
        <a:extLst>
          <a:ext uri="{909E8E84-426E-40DD-AFC4-6F175D3DCCD1}">
            <a14:hiddenFill xmlns:a14="http://schemas.microsoft.com/office/drawing/2010/main">
              <a:noFill/>
            </a14:hiddenFill>
          </a:ext>
        </a:extLst>
      </xdr:spPr>
    </xdr:sp>
    <xdr:clientData/>
  </xdr:twoCellAnchor>
  <xdr:twoCellAnchor>
    <xdr:from>
      <xdr:col>0</xdr:col>
      <xdr:colOff>117231</xdr:colOff>
      <xdr:row>120</xdr:row>
      <xdr:rowOff>116315</xdr:rowOff>
    </xdr:from>
    <xdr:to>
      <xdr:col>1</xdr:col>
      <xdr:colOff>1323424</xdr:colOff>
      <xdr:row>123</xdr:row>
      <xdr:rowOff>48542</xdr:rowOff>
    </xdr:to>
    <xdr:pic>
      <xdr:nvPicPr>
        <xdr:cNvPr id="65" name="Grafik 64">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7231" y="27086719"/>
          <a:ext cx="2634943" cy="6209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167604</xdr:colOff>
      <xdr:row>105</xdr:row>
      <xdr:rowOff>67775</xdr:rowOff>
    </xdr:from>
    <xdr:to>
      <xdr:col>1</xdr:col>
      <xdr:colOff>1373797</xdr:colOff>
      <xdr:row>108</xdr:row>
      <xdr:rowOff>35721</xdr:rowOff>
    </xdr:to>
    <xdr:pic>
      <xdr:nvPicPr>
        <xdr:cNvPr id="64" name="Grafik 63">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7604" y="23741063"/>
          <a:ext cx="2634943" cy="605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83343</xdr:colOff>
      <xdr:row>40</xdr:row>
      <xdr:rowOff>240462</xdr:rowOff>
    </xdr:from>
    <xdr:to>
      <xdr:col>8</xdr:col>
      <xdr:colOff>402982</xdr:colOff>
      <xdr:row>55</xdr:row>
      <xdr:rowOff>104814</xdr:rowOff>
    </xdr:to>
    <xdr:pic>
      <xdr:nvPicPr>
        <xdr:cNvPr id="7" name="Grafik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4"/>
        <a:stretch>
          <a:fillRect/>
        </a:stretch>
      </xdr:blipFill>
      <xdr:spPr>
        <a:xfrm>
          <a:off x="8120978" y="9677539"/>
          <a:ext cx="2854753" cy="3022256"/>
        </a:xfrm>
        <a:prstGeom prst="rect">
          <a:avLst/>
        </a:prstGeom>
      </xdr:spPr>
    </xdr:pic>
    <xdr:clientData/>
  </xdr:twoCellAnchor>
  <xdr:twoCellAnchor editAs="oneCell">
    <xdr:from>
      <xdr:col>2</xdr:col>
      <xdr:colOff>11905</xdr:colOff>
      <xdr:row>77</xdr:row>
      <xdr:rowOff>142875</xdr:rowOff>
    </xdr:from>
    <xdr:to>
      <xdr:col>2</xdr:col>
      <xdr:colOff>1088095</xdr:colOff>
      <xdr:row>88</xdr:row>
      <xdr:rowOff>49739</xdr:rowOff>
    </xdr:to>
    <xdr:pic>
      <xdr:nvPicPr>
        <xdr:cNvPr id="8" name="Grafik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5"/>
        <a:stretch>
          <a:fillRect/>
        </a:stretch>
      </xdr:blipFill>
      <xdr:spPr>
        <a:xfrm>
          <a:off x="3345655" y="17811750"/>
          <a:ext cx="1076190" cy="2133333"/>
        </a:xfrm>
        <a:prstGeom prst="rect">
          <a:avLst/>
        </a:prstGeom>
      </xdr:spPr>
    </xdr:pic>
    <xdr:clientData/>
  </xdr:twoCellAnchor>
  <xdr:twoCellAnchor>
    <xdr:from>
      <xdr:col>2</xdr:col>
      <xdr:colOff>11906</xdr:colOff>
      <xdr:row>77</xdr:row>
      <xdr:rowOff>11907</xdr:rowOff>
    </xdr:from>
    <xdr:to>
      <xdr:col>2</xdr:col>
      <xdr:colOff>381000</xdr:colOff>
      <xdr:row>80</xdr:row>
      <xdr:rowOff>0</xdr:rowOff>
    </xdr:to>
    <xdr:cxnSp macro="">
      <xdr:nvCxnSpPr>
        <xdr:cNvPr id="3" name="Gerade Verbindung 2">
          <a:extLst>
            <a:ext uri="{FF2B5EF4-FFF2-40B4-BE49-F238E27FC236}">
              <a16:creationId xmlns:a16="http://schemas.microsoft.com/office/drawing/2014/main" id="{00000000-0008-0000-0000-000003000000}"/>
            </a:ext>
          </a:extLst>
        </xdr:cNvPr>
        <xdr:cNvCxnSpPr/>
      </xdr:nvCxnSpPr>
      <xdr:spPr>
        <a:xfrm>
          <a:off x="3345656" y="17680782"/>
          <a:ext cx="369094" cy="59531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511969</xdr:colOff>
      <xdr:row>75</xdr:row>
      <xdr:rowOff>154781</xdr:rowOff>
    </xdr:from>
    <xdr:to>
      <xdr:col>2</xdr:col>
      <xdr:colOff>528638</xdr:colOff>
      <xdr:row>77</xdr:row>
      <xdr:rowOff>180975</xdr:rowOff>
    </xdr:to>
    <xdr:cxnSp macro="">
      <xdr:nvCxnSpPr>
        <xdr:cNvPr id="11" name="Gerade Verbindung mit Pfeil 10">
          <a:extLst>
            <a:ext uri="{FF2B5EF4-FFF2-40B4-BE49-F238E27FC236}">
              <a16:creationId xmlns:a16="http://schemas.microsoft.com/office/drawing/2014/main" id="{00000000-0008-0000-0000-00000B000000}"/>
            </a:ext>
          </a:extLst>
        </xdr:cNvPr>
        <xdr:cNvCxnSpPr>
          <a:cxnSpLocks/>
        </xdr:cNvCxnSpPr>
      </xdr:nvCxnSpPr>
      <xdr:spPr>
        <a:xfrm>
          <a:off x="3845719" y="15918656"/>
          <a:ext cx="16669" cy="561975"/>
        </a:xfrm>
        <a:prstGeom prst="straightConnector1">
          <a:avLst/>
        </a:prstGeom>
        <a:ln w="12700">
          <a:solidFill>
            <a:schemeClr val="tx1"/>
          </a:solidFill>
          <a:headEnd type="none"/>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642937</xdr:colOff>
      <xdr:row>83</xdr:row>
      <xdr:rowOff>130968</xdr:rowOff>
    </xdr:from>
    <xdr:to>
      <xdr:col>3</xdr:col>
      <xdr:colOff>47625</xdr:colOff>
      <xdr:row>84</xdr:row>
      <xdr:rowOff>130968</xdr:rowOff>
    </xdr:to>
    <xdr:cxnSp macro="">
      <xdr:nvCxnSpPr>
        <xdr:cNvPr id="73" name="Gerade Verbindung 2">
          <a:extLst>
            <a:ext uri="{FF2B5EF4-FFF2-40B4-BE49-F238E27FC236}">
              <a16:creationId xmlns:a16="http://schemas.microsoft.com/office/drawing/2014/main" id="{00000000-0008-0000-0000-000049000000}"/>
            </a:ext>
          </a:extLst>
        </xdr:cNvPr>
        <xdr:cNvCxnSpPr/>
      </xdr:nvCxnSpPr>
      <xdr:spPr>
        <a:xfrm>
          <a:off x="3976687" y="19014281"/>
          <a:ext cx="595313" cy="20240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6</xdr:col>
      <xdr:colOff>47624</xdr:colOff>
      <xdr:row>96</xdr:row>
      <xdr:rowOff>119064</xdr:rowOff>
    </xdr:from>
    <xdr:to>
      <xdr:col>8</xdr:col>
      <xdr:colOff>1034929</xdr:colOff>
      <xdr:row>105</xdr:row>
      <xdr:rowOff>122400</xdr:rowOff>
    </xdr:to>
    <xdr:pic>
      <xdr:nvPicPr>
        <xdr:cNvPr id="13" name="Grafik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6"/>
        <a:stretch>
          <a:fillRect/>
        </a:stretch>
      </xdr:blipFill>
      <xdr:spPr>
        <a:xfrm>
          <a:off x="7989093" y="21609845"/>
          <a:ext cx="3524251" cy="2194086"/>
        </a:xfrm>
        <a:prstGeom prst="rect">
          <a:avLst/>
        </a:prstGeom>
      </xdr:spPr>
    </xdr:pic>
    <xdr:clientData/>
  </xdr:twoCellAnchor>
  <xdr:twoCellAnchor editAs="oneCell">
    <xdr:from>
      <xdr:col>6</xdr:col>
      <xdr:colOff>4763</xdr:colOff>
      <xdr:row>110</xdr:row>
      <xdr:rowOff>26194</xdr:rowOff>
    </xdr:from>
    <xdr:to>
      <xdr:col>8</xdr:col>
      <xdr:colOff>992067</xdr:colOff>
      <xdr:row>119</xdr:row>
      <xdr:rowOff>10605</xdr:rowOff>
    </xdr:to>
    <xdr:pic>
      <xdr:nvPicPr>
        <xdr:cNvPr id="14" name="Grafik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7"/>
        <a:stretch>
          <a:fillRect/>
        </a:stretch>
      </xdr:blipFill>
      <xdr:spPr>
        <a:xfrm>
          <a:off x="8091488" y="24695944"/>
          <a:ext cx="3520954" cy="2089436"/>
        </a:xfrm>
        <a:prstGeom prst="rect">
          <a:avLst/>
        </a:prstGeom>
      </xdr:spPr>
    </xdr:pic>
    <xdr:clientData/>
  </xdr:twoCellAnchor>
  <xdr:twoCellAnchor editAs="oneCell">
    <xdr:from>
      <xdr:col>5</xdr:col>
      <xdr:colOff>107156</xdr:colOff>
      <xdr:row>158</xdr:row>
      <xdr:rowOff>166687</xdr:rowOff>
    </xdr:from>
    <xdr:to>
      <xdr:col>8</xdr:col>
      <xdr:colOff>903959</xdr:colOff>
      <xdr:row>170</xdr:row>
      <xdr:rowOff>60499</xdr:rowOff>
    </xdr:to>
    <xdr:pic>
      <xdr:nvPicPr>
        <xdr:cNvPr id="16" name="Grafik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8"/>
        <a:stretch>
          <a:fillRect/>
        </a:stretch>
      </xdr:blipFill>
      <xdr:spPr>
        <a:xfrm>
          <a:off x="7084219" y="33837562"/>
          <a:ext cx="4298156" cy="2536999"/>
        </a:xfrm>
        <a:prstGeom prst="rect">
          <a:avLst/>
        </a:prstGeom>
      </xdr:spPr>
    </xdr:pic>
    <xdr:clientData/>
  </xdr:twoCellAnchor>
  <xdr:twoCellAnchor editAs="oneCell">
    <xdr:from>
      <xdr:col>6</xdr:col>
      <xdr:colOff>988217</xdr:colOff>
      <xdr:row>12</xdr:row>
      <xdr:rowOff>26377</xdr:rowOff>
    </xdr:from>
    <xdr:to>
      <xdr:col>7</xdr:col>
      <xdr:colOff>750095</xdr:colOff>
      <xdr:row>16</xdr:row>
      <xdr:rowOff>6946</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t="11408" r="9929"/>
        <a:stretch/>
      </xdr:blipFill>
      <xdr:spPr>
        <a:xfrm>
          <a:off x="9024936" y="2919596"/>
          <a:ext cx="1404939" cy="944975"/>
        </a:xfrm>
        <a:prstGeom prst="rect">
          <a:avLst/>
        </a:prstGeom>
      </xdr:spPr>
    </xdr:pic>
    <xdr:clientData/>
  </xdr:twoCellAnchor>
  <xdr:twoCellAnchor editAs="oneCell">
    <xdr:from>
      <xdr:col>5</xdr:col>
      <xdr:colOff>535300</xdr:colOff>
      <xdr:row>137</xdr:row>
      <xdr:rowOff>71944</xdr:rowOff>
    </xdr:from>
    <xdr:to>
      <xdr:col>8</xdr:col>
      <xdr:colOff>915925</xdr:colOff>
      <xdr:row>155</xdr:row>
      <xdr:rowOff>174626</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
        <a:stretch>
          <a:fillRect/>
        </a:stretch>
      </xdr:blipFill>
      <xdr:spPr>
        <a:xfrm>
          <a:off x="7663175" y="31234569"/>
          <a:ext cx="3873125" cy="42619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180975</xdr:colOff>
          <xdr:row>10</xdr:row>
          <xdr:rowOff>142875</xdr:rowOff>
        </xdr:from>
        <xdr:to>
          <xdr:col>3</xdr:col>
          <xdr:colOff>742950</xdr:colOff>
          <xdr:row>12</xdr:row>
          <xdr:rowOff>76200</xdr:rowOff>
        </xdr:to>
        <xdr:sp macro="" textlink="">
          <xdr:nvSpPr>
            <xdr:cNvPr id="15374" name="Object 43" hidden="1">
              <a:extLst>
                <a:ext uri="{63B3BB69-23CF-44E3-9099-C40C66FF867C}">
                  <a14:compatExt spid="_x0000_s15374"/>
                </a:ext>
                <a:ext uri="{FF2B5EF4-FFF2-40B4-BE49-F238E27FC236}">
                  <a16:creationId xmlns:a16="http://schemas.microsoft.com/office/drawing/2014/main" id="{00000000-0008-0000-0100-00000E3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oneCellAnchor>
    <xdr:from>
      <xdr:col>8</xdr:col>
      <xdr:colOff>1138487</xdr:colOff>
      <xdr:row>33</xdr:row>
      <xdr:rowOff>114300</xdr:rowOff>
    </xdr:from>
    <xdr:ext cx="2550695" cy="1364580"/>
    <xdr:pic>
      <xdr:nvPicPr>
        <xdr:cNvPr id="7" name="Grafik 2">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5222" t="4187" r="4362"/>
        <a:stretch>
          <a:fillRect/>
        </a:stretch>
      </xdr:blipFill>
      <xdr:spPr bwMode="auto">
        <a:xfrm>
          <a:off x="9853862" y="6943725"/>
          <a:ext cx="2550695" cy="1364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xdr:colOff>
          <xdr:row>33</xdr:row>
          <xdr:rowOff>9525</xdr:rowOff>
        </xdr:from>
        <xdr:to>
          <xdr:col>5</xdr:col>
          <xdr:colOff>676275</xdr:colOff>
          <xdr:row>34</xdr:row>
          <xdr:rowOff>38100</xdr:rowOff>
        </xdr:to>
        <xdr:sp macro="" textlink="">
          <xdr:nvSpPr>
            <xdr:cNvPr id="3075" name="Object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657225</xdr:colOff>
          <xdr:row>71</xdr:row>
          <xdr:rowOff>95250</xdr:rowOff>
        </xdr:from>
        <xdr:to>
          <xdr:col>11</xdr:col>
          <xdr:colOff>514350</xdr:colOff>
          <xdr:row>80</xdr:row>
          <xdr:rowOff>57150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103</xdr:row>
          <xdr:rowOff>123825</xdr:rowOff>
        </xdr:from>
        <xdr:to>
          <xdr:col>5</xdr:col>
          <xdr:colOff>647700</xdr:colOff>
          <xdr:row>105</xdr:row>
          <xdr:rowOff>0</xdr:rowOff>
        </xdr:to>
        <xdr:sp macro="" textlink="">
          <xdr:nvSpPr>
            <xdr:cNvPr id="3078" name="Object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105</xdr:row>
          <xdr:rowOff>28575</xdr:rowOff>
        </xdr:from>
        <xdr:to>
          <xdr:col>5</xdr:col>
          <xdr:colOff>676275</xdr:colOff>
          <xdr:row>106</xdr:row>
          <xdr:rowOff>57150</xdr:rowOff>
        </xdr:to>
        <xdr:sp macro="" textlink="">
          <xdr:nvSpPr>
            <xdr:cNvPr id="3079" name="Object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oneCellAnchor>
    <xdr:from>
      <xdr:col>4</xdr:col>
      <xdr:colOff>9525</xdr:colOff>
      <xdr:row>31</xdr:row>
      <xdr:rowOff>43227</xdr:rowOff>
    </xdr:from>
    <xdr:ext cx="1514476" cy="369140"/>
    <mc:AlternateContent xmlns:mc="http://schemas.openxmlformats.org/markup-compatibility/2006" xmlns:a14="http://schemas.microsoft.com/office/drawing/2010/main">
      <mc:Choice Requires="a14">
        <xdr:sp macro="" textlink="">
          <xdr:nvSpPr>
            <xdr:cNvPr id="9" name="Textfeld 8">
              <a:extLst>
                <a:ext uri="{FF2B5EF4-FFF2-40B4-BE49-F238E27FC236}">
                  <a16:creationId xmlns:a16="http://schemas.microsoft.com/office/drawing/2014/main" id="{00000000-0008-0000-0200-000009000000}"/>
                </a:ext>
              </a:extLst>
            </xdr:cNvPr>
            <xdr:cNvSpPr txBox="1"/>
          </xdr:nvSpPr>
          <xdr:spPr>
            <a:xfrm>
              <a:off x="4448175" y="5910627"/>
              <a:ext cx="1514476" cy="369140"/>
            </a:xfrm>
            <a:prstGeom prst="rect">
              <a:avLst/>
            </a:prstGeom>
            <a:no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a:t>f</a:t>
              </a:r>
              <a:r>
                <a:rPr lang="de-DE" sz="1100" baseline="-25000"/>
                <a:t>h,J,k</a:t>
              </a:r>
              <a:r>
                <a:rPr lang="de-DE" sz="1100"/>
                <a:t>=</a:t>
              </a:r>
              <a14:m>
                <m:oMath xmlns:m="http://schemas.openxmlformats.org/officeDocument/2006/math">
                  <m:f>
                    <m:fPr>
                      <m:ctrlPr>
                        <a:rPr lang="de-DE" sz="1100" i="1">
                          <a:latin typeface="Cambria Math" panose="02040503050406030204" pitchFamily="18" charset="0"/>
                        </a:rPr>
                      </m:ctrlPr>
                    </m:fPr>
                    <m:num>
                      <m:r>
                        <a:rPr lang="de-DE" sz="1100" b="0" i="1">
                          <a:latin typeface="Cambria Math"/>
                        </a:rPr>
                        <m:t>0,082 ∙</m:t>
                      </m:r>
                      <m:sSub>
                        <m:sSubPr>
                          <m:ctrlPr>
                            <a:rPr lang="de-DE" sz="1100" b="0" i="1">
                              <a:latin typeface="Cambria Math" panose="02040503050406030204" pitchFamily="18" charset="0"/>
                              <a:ea typeface="Cambria Math"/>
                            </a:rPr>
                          </m:ctrlPr>
                        </m:sSubPr>
                        <m:e>
                          <m:r>
                            <a:rPr lang="de-DE" sz="1100" b="0" i="1">
                              <a:latin typeface="Cambria Math"/>
                              <a:ea typeface="Cambria Math"/>
                            </a:rPr>
                            <m:t>𝜌</m:t>
                          </m:r>
                        </m:e>
                        <m:sub>
                          <m:r>
                            <a:rPr lang="de-DE" sz="1100" b="0" i="1">
                              <a:latin typeface="Cambria Math"/>
                              <a:ea typeface="Cambria Math"/>
                            </a:rPr>
                            <m:t>𝑘</m:t>
                          </m:r>
                        </m:sub>
                      </m:sSub>
                      <m:r>
                        <a:rPr lang="de-DE" sz="1100" b="0" i="1">
                          <a:latin typeface="Cambria Math"/>
                          <a:ea typeface="Cambria Math"/>
                        </a:rPr>
                        <m:t>∙</m:t>
                      </m:r>
                      <m:sSup>
                        <m:sSupPr>
                          <m:ctrlPr>
                            <a:rPr lang="de-DE" sz="1100" b="0" i="1">
                              <a:latin typeface="Cambria Math" panose="02040503050406030204" pitchFamily="18" charset="0"/>
                              <a:ea typeface="Cambria Math"/>
                            </a:rPr>
                          </m:ctrlPr>
                        </m:sSupPr>
                        <m:e>
                          <m:r>
                            <a:rPr lang="de-DE" sz="1100" b="0" i="1">
                              <a:latin typeface="Cambria Math"/>
                              <a:ea typeface="Cambria Math"/>
                            </a:rPr>
                            <m:t>𝑑</m:t>
                          </m:r>
                        </m:e>
                        <m:sup>
                          <m:r>
                            <a:rPr lang="de-DE" sz="1100" b="0" i="1">
                              <a:latin typeface="Cambria Math"/>
                              <a:ea typeface="Cambria Math"/>
                            </a:rPr>
                            <m:t>−0,3</m:t>
                          </m:r>
                        </m:sup>
                      </m:sSup>
                    </m:num>
                    <m:den>
                      <m:r>
                        <a:rPr lang="de-DE" sz="1100" b="0" i="1">
                          <a:latin typeface="Cambria Math"/>
                        </a:rPr>
                        <m:t>2,5</m:t>
                      </m:r>
                      <m:r>
                        <a:rPr lang="de-DE" sz="1100" b="0" i="1">
                          <a:latin typeface="Cambria Math"/>
                          <a:ea typeface="Cambria Math"/>
                        </a:rPr>
                        <m:t>∙</m:t>
                      </m:r>
                      <m:func>
                        <m:funcPr>
                          <m:ctrlPr>
                            <a:rPr lang="de-DE" sz="1100" b="0" i="1">
                              <a:latin typeface="Cambria Math" panose="02040503050406030204" pitchFamily="18" charset="0"/>
                              <a:ea typeface="Cambria Math"/>
                            </a:rPr>
                          </m:ctrlPr>
                        </m:funcPr>
                        <m:fName>
                          <m:r>
                            <m:rPr>
                              <m:sty m:val="p"/>
                            </m:rPr>
                            <a:rPr lang="de-DE" sz="1100" b="0" i="0">
                              <a:latin typeface="Cambria Math"/>
                              <a:ea typeface="Cambria Math"/>
                            </a:rPr>
                            <m:t>cos</m:t>
                          </m:r>
                          <m:r>
                            <a:rPr lang="de-DE" sz="1100" b="0" i="1">
                              <a:latin typeface="Cambria Math"/>
                              <a:ea typeface="Cambria Math"/>
                            </a:rPr>
                            <m:t>²</m:t>
                          </m:r>
                        </m:fName>
                        <m:e>
                          <m:r>
                            <a:rPr lang="de-DE" sz="1100" b="0" i="1">
                              <a:latin typeface="Cambria Math"/>
                              <a:ea typeface="Cambria Math"/>
                            </a:rPr>
                            <m:t>𝛼</m:t>
                          </m:r>
                          <m:r>
                            <a:rPr lang="de-DE" sz="1100" b="0" i="1">
                              <a:latin typeface="Cambria Math"/>
                              <a:ea typeface="Cambria Math"/>
                            </a:rPr>
                            <m:t>+</m:t>
                          </m:r>
                          <m:func>
                            <m:funcPr>
                              <m:ctrlPr>
                                <a:rPr lang="de-DE" sz="1100" b="0" i="1">
                                  <a:latin typeface="Cambria Math" panose="02040503050406030204" pitchFamily="18" charset="0"/>
                                  <a:ea typeface="Cambria Math"/>
                                </a:rPr>
                              </m:ctrlPr>
                            </m:funcPr>
                            <m:fName>
                              <m:r>
                                <m:rPr>
                                  <m:sty m:val="p"/>
                                </m:rPr>
                                <a:rPr lang="de-DE" sz="1100" b="0" i="0">
                                  <a:latin typeface="Cambria Math"/>
                                  <a:ea typeface="Cambria Math"/>
                                </a:rPr>
                                <m:t>sin</m:t>
                              </m:r>
                              <m:r>
                                <a:rPr lang="de-DE" sz="1100" b="0" i="1">
                                  <a:latin typeface="Cambria Math"/>
                                  <a:ea typeface="Cambria Math"/>
                                </a:rPr>
                                <m:t>²</m:t>
                              </m:r>
                            </m:fName>
                            <m:e>
                              <m:r>
                                <a:rPr lang="de-DE" sz="1100" b="0" i="1">
                                  <a:latin typeface="Cambria Math"/>
                                  <a:ea typeface="Cambria Math"/>
                                </a:rPr>
                                <m:t>𝛼</m:t>
                              </m:r>
                            </m:e>
                          </m:func>
                        </m:e>
                      </m:func>
                    </m:den>
                  </m:f>
                </m:oMath>
              </a14:m>
              <a:endParaRPr lang="de-DE" sz="1100"/>
            </a:p>
          </xdr:txBody>
        </xdr:sp>
      </mc:Choice>
      <mc:Fallback xmlns="">
        <xdr:sp macro="" textlink="">
          <xdr:nvSpPr>
            <xdr:cNvPr id="9" name="Textfeld 8"/>
            <xdr:cNvSpPr txBox="1"/>
          </xdr:nvSpPr>
          <xdr:spPr>
            <a:xfrm>
              <a:off x="4448175" y="5910627"/>
              <a:ext cx="1514476" cy="369140"/>
            </a:xfrm>
            <a:prstGeom prst="rect">
              <a:avLst/>
            </a:prstGeom>
            <a:no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a:t>f</a:t>
              </a:r>
              <a:r>
                <a:rPr lang="de-DE" sz="1100" baseline="-25000"/>
                <a:t>h,J,k</a:t>
              </a:r>
              <a:r>
                <a:rPr lang="de-DE" sz="1100"/>
                <a:t>=</a:t>
              </a:r>
              <a:r>
                <a:rPr lang="de-DE" sz="1100" i="0">
                  <a:latin typeface="Cambria Math"/>
                </a:rPr>
                <a:t>(</a:t>
              </a:r>
              <a:r>
                <a:rPr lang="de-DE" sz="1100" b="0" i="0">
                  <a:latin typeface="Cambria Math"/>
                </a:rPr>
                <a:t>0,082 </a:t>
              </a:r>
              <a:r>
                <a:rPr lang="de-DE" sz="1100" b="0" i="0">
                  <a:latin typeface="Cambria Math"/>
                  <a:ea typeface="Cambria Math"/>
                </a:rPr>
                <a:t>∙𝜌_𝑘∙𝑑^(−0,3))/(</a:t>
              </a:r>
              <a:r>
                <a:rPr lang="de-DE" sz="1100" b="0" i="0">
                  <a:latin typeface="Cambria Math"/>
                </a:rPr>
                <a:t>2,5</a:t>
              </a:r>
              <a:r>
                <a:rPr lang="de-DE" sz="1100" b="0" i="0">
                  <a:latin typeface="Cambria Math"/>
                  <a:ea typeface="Cambria Math"/>
                </a:rPr>
                <a:t>∙cos²⁡〖𝛼+sin²⁡𝛼 〗 )</a:t>
              </a:r>
              <a:endParaRPr lang="de-DE" sz="1100"/>
            </a:p>
          </xdr:txBody>
        </xdr:sp>
      </mc:Fallback>
    </mc:AlternateContent>
    <xdr:clientData/>
  </xdr:oneCellAnchor>
  <xdr:oneCellAnchor>
    <xdr:from>
      <xdr:col>7</xdr:col>
      <xdr:colOff>27841</xdr:colOff>
      <xdr:row>22</xdr:row>
      <xdr:rowOff>28575</xdr:rowOff>
    </xdr:from>
    <xdr:ext cx="2694844" cy="359386"/>
    <mc:AlternateContent xmlns:mc="http://schemas.openxmlformats.org/markup-compatibility/2006" xmlns:a14="http://schemas.microsoft.com/office/drawing/2010/main">
      <mc:Choice Requires="a14">
        <xdr:sp macro="" textlink="">
          <xdr:nvSpPr>
            <xdr:cNvPr id="10" name="Textfeld 9">
              <a:extLst>
                <a:ext uri="{FF2B5EF4-FFF2-40B4-BE49-F238E27FC236}">
                  <a16:creationId xmlns:a16="http://schemas.microsoft.com/office/drawing/2014/main" id="{00000000-0008-0000-0200-00000A000000}"/>
                </a:ext>
              </a:extLst>
            </xdr:cNvPr>
            <xdr:cNvSpPr txBox="1"/>
          </xdr:nvSpPr>
          <xdr:spPr>
            <a:xfrm>
              <a:off x="6981091" y="3943350"/>
              <a:ext cx="2694844" cy="359386"/>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14:m>
                <m:oMath xmlns:m="http://schemas.openxmlformats.org/officeDocument/2006/math">
                  <m:r>
                    <m:rPr>
                      <m:nor/>
                    </m:rPr>
                    <a:rPr lang="de-DE" sz="1100" b="0" i="0">
                      <a:latin typeface="Cambria Math"/>
                    </a:rPr>
                    <m:t>F</m:t>
                  </m:r>
                  <m:r>
                    <m:rPr>
                      <m:nor/>
                    </m:rPr>
                    <a:rPr lang="de-DE" sz="1100" b="0" i="0" baseline="-25000">
                      <a:latin typeface="Cambria Math"/>
                    </a:rPr>
                    <m:t>ax</m:t>
                  </m:r>
                  <m:r>
                    <m:rPr>
                      <m:nor/>
                    </m:rPr>
                    <a:rPr lang="de-DE" sz="1100" b="0" i="0" baseline="-25000">
                      <a:latin typeface="Cambria Math"/>
                    </a:rPr>
                    <m:t>,</m:t>
                  </m:r>
                  <m:r>
                    <m:rPr>
                      <m:nor/>
                    </m:rPr>
                    <a:rPr lang="de-DE" sz="1100" b="0" i="0" baseline="-25000">
                      <a:latin typeface="Cambria Math"/>
                    </a:rPr>
                    <m:t>J</m:t>
                  </m:r>
                  <m:r>
                    <m:rPr>
                      <m:nor/>
                    </m:rPr>
                    <a:rPr lang="de-DE" sz="1100" b="0" i="0" baseline="-25000">
                      <a:latin typeface="Cambria Math"/>
                    </a:rPr>
                    <m:t>,</m:t>
                  </m:r>
                  <m:r>
                    <m:rPr>
                      <m:nor/>
                    </m:rPr>
                    <a:rPr lang="de-DE" sz="1100" b="0" i="0" baseline="-25000">
                      <a:latin typeface="Cambria Math"/>
                    </a:rPr>
                    <m:t>H</m:t>
                  </m:r>
                  <m:r>
                    <m:rPr>
                      <m:nor/>
                    </m:rPr>
                    <a:rPr lang="de-DE" sz="1100" b="0" i="0" baseline="-25000">
                      <a:latin typeface="Cambria Math"/>
                    </a:rPr>
                    <m:t>,</m:t>
                  </m:r>
                  <m:r>
                    <m:rPr>
                      <m:nor/>
                    </m:rPr>
                    <a:rPr lang="de-DE" sz="1100" b="0" i="0" baseline="-25000">
                      <a:latin typeface="Cambria Math"/>
                    </a:rPr>
                    <m:t>Rk</m:t>
                  </m:r>
                  <m:r>
                    <m:rPr>
                      <m:nor/>
                    </m:rPr>
                    <a:rPr lang="de-DE" sz="1100" b="0" i="0">
                      <a:latin typeface="Cambria Math"/>
                    </a:rPr>
                    <m:t> =</m:t>
                  </m:r>
                </m:oMath>
              </a14:m>
              <a:r>
                <a:rPr lang="de-DE" sz="1100"/>
                <a:t> </a:t>
              </a:r>
              <a14:m>
                <m:oMath xmlns:m="http://schemas.openxmlformats.org/officeDocument/2006/math">
                  <m:sSub>
                    <m:sSubPr>
                      <m:ctrlPr>
                        <a:rPr lang="de-DE" sz="1100" i="1">
                          <a:latin typeface="Cambria Math" panose="02040503050406030204" pitchFamily="18" charset="0"/>
                        </a:rPr>
                      </m:ctrlPr>
                    </m:sSubPr>
                    <m:e>
                      <m:r>
                        <a:rPr lang="de-DE" sz="1100" b="0" i="1">
                          <a:latin typeface="Cambria Math"/>
                        </a:rPr>
                        <m:t>𝑘</m:t>
                      </m:r>
                    </m:e>
                    <m:sub>
                      <m:r>
                        <a:rPr lang="de-DE" sz="1100" b="0" i="1">
                          <a:latin typeface="Cambria Math"/>
                        </a:rPr>
                        <m:t>𝑎𝑥</m:t>
                      </m:r>
                      <m:r>
                        <a:rPr lang="de-DE" sz="1100" b="0" i="1">
                          <a:latin typeface="Cambria Math"/>
                        </a:rPr>
                        <m:t> </m:t>
                      </m:r>
                    </m:sub>
                  </m:sSub>
                  <m:r>
                    <a:rPr lang="de-DE" sz="1100" i="1">
                      <a:latin typeface="Cambria Math"/>
                      <a:ea typeface="Cambria Math"/>
                    </a:rPr>
                    <m:t>∙</m:t>
                  </m:r>
                  <m:r>
                    <a:rPr lang="de-DE" sz="1100" b="0" i="1">
                      <a:latin typeface="Cambria Math"/>
                      <a:ea typeface="Cambria Math"/>
                    </a:rPr>
                    <m:t>0,52 ∙</m:t>
                  </m:r>
                  <m:rad>
                    <m:radPr>
                      <m:degHide m:val="on"/>
                      <m:ctrlPr>
                        <a:rPr lang="de-DE" sz="1100" b="0" i="1">
                          <a:latin typeface="Cambria Math" panose="02040503050406030204" pitchFamily="18" charset="0"/>
                          <a:ea typeface="Cambria Math"/>
                        </a:rPr>
                      </m:ctrlPr>
                    </m:radPr>
                    <m:deg/>
                    <m:e>
                      <m:r>
                        <a:rPr lang="de-DE" sz="1100" b="0" i="1">
                          <a:latin typeface="Cambria Math"/>
                          <a:ea typeface="Cambria Math"/>
                        </a:rPr>
                        <m:t>𝑑</m:t>
                      </m:r>
                    </m:e>
                  </m:rad>
                  <m:r>
                    <a:rPr lang="de-DE" sz="1100" b="0" i="1">
                      <a:latin typeface="Cambria Math"/>
                      <a:ea typeface="Cambria Math"/>
                    </a:rPr>
                    <m:t>∙</m:t>
                  </m:r>
                  <m:sSubSup>
                    <m:sSubSupPr>
                      <m:ctrlPr>
                        <a:rPr lang="de-DE" sz="1100" b="0" i="1">
                          <a:latin typeface="Cambria Math" panose="02040503050406030204" pitchFamily="18" charset="0"/>
                          <a:ea typeface="Cambria Math"/>
                        </a:rPr>
                      </m:ctrlPr>
                    </m:sSubSupPr>
                    <m:e>
                      <m:r>
                        <a:rPr lang="de-DE" sz="1100" b="0" i="1">
                          <a:latin typeface="Cambria Math"/>
                          <a:ea typeface="Cambria Math"/>
                        </a:rPr>
                        <m:t>𝑙𝑒𝑓</m:t>
                      </m:r>
                    </m:e>
                    <m:sub/>
                    <m:sup>
                      <m:r>
                        <a:rPr lang="de-DE" sz="1100" b="0" i="1">
                          <a:latin typeface="Cambria Math"/>
                          <a:ea typeface="Cambria Math"/>
                        </a:rPr>
                        <m:t>0,9</m:t>
                      </m:r>
                    </m:sup>
                  </m:sSubSup>
                </m:oMath>
              </a14:m>
              <a:r>
                <a:rPr lang="de-DE" sz="1100"/>
                <a:t> </a:t>
              </a:r>
              <a14:m>
                <m:oMath xmlns:m="http://schemas.openxmlformats.org/officeDocument/2006/math">
                  <m:r>
                    <a:rPr lang="de-DE" sz="1100" i="1">
                      <a:latin typeface="Cambria Math"/>
                      <a:ea typeface="Cambria Math"/>
                    </a:rPr>
                    <m:t>∙</m:t>
                  </m:r>
                  <m:r>
                    <a:rPr lang="de-DE" sz="1100" b="0" i="1">
                      <a:latin typeface="Cambria Math"/>
                      <a:ea typeface="Cambria Math"/>
                    </a:rPr>
                    <m:t> </m:t>
                  </m:r>
                  <m:sSup>
                    <m:sSupPr>
                      <m:ctrlPr>
                        <a:rPr lang="de-DE" sz="1100" b="0" i="1">
                          <a:latin typeface="Cambria Math" panose="02040503050406030204" pitchFamily="18" charset="0"/>
                          <a:ea typeface="Cambria Math"/>
                        </a:rPr>
                      </m:ctrlPr>
                    </m:sSupPr>
                    <m:e>
                      <m:r>
                        <a:rPr lang="de-DE" sz="1100" b="0" i="1">
                          <a:latin typeface="Cambria Math"/>
                          <a:ea typeface="Cambria Math"/>
                        </a:rPr>
                        <m:t>𝜌</m:t>
                      </m:r>
                      <m:r>
                        <a:rPr lang="de-DE" sz="1100" b="0" i="1">
                          <a:latin typeface="Cambria Math"/>
                          <a:ea typeface="Cambria Math"/>
                        </a:rPr>
                        <m:t>𝑘</m:t>
                      </m:r>
                    </m:e>
                    <m:sup>
                      <m:r>
                        <a:rPr lang="de-DE" sz="1100" b="0" i="1">
                          <a:latin typeface="Cambria Math"/>
                          <a:ea typeface="Cambria Math"/>
                        </a:rPr>
                        <m:t>0,8</m:t>
                      </m:r>
                    </m:sup>
                  </m:sSup>
                </m:oMath>
              </a14:m>
              <a:r>
                <a:rPr lang="de-DE" sz="1100"/>
                <a:t> </a:t>
              </a:r>
            </a:p>
          </xdr:txBody>
        </xdr:sp>
      </mc:Choice>
      <mc:Fallback xmlns="">
        <xdr:sp macro="" textlink="">
          <xdr:nvSpPr>
            <xdr:cNvPr id="10" name="Textfeld 9"/>
            <xdr:cNvSpPr txBox="1"/>
          </xdr:nvSpPr>
          <xdr:spPr>
            <a:xfrm>
              <a:off x="6981091" y="3943350"/>
              <a:ext cx="2694844" cy="359386"/>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e-DE" sz="1100" b="0" i="0">
                  <a:latin typeface="Cambria Math"/>
                </a:rPr>
                <a:t>"F</a:t>
              </a:r>
              <a:r>
                <a:rPr lang="de-DE" sz="1100" b="0" i="0" baseline="-25000">
                  <a:latin typeface="Cambria Math"/>
                </a:rPr>
                <a:t>ax,J,H,Rk</a:t>
              </a:r>
              <a:r>
                <a:rPr lang="de-DE" sz="1100" b="0" i="0">
                  <a:latin typeface="Cambria Math"/>
                </a:rPr>
                <a:t> ="</a:t>
              </a:r>
              <a:r>
                <a:rPr lang="de-DE" sz="1100"/>
                <a:t> </a:t>
              </a:r>
              <a:r>
                <a:rPr lang="de-DE" sz="1100" b="0" i="0">
                  <a:latin typeface="Cambria Math"/>
                </a:rPr>
                <a:t>𝑘_(𝑎𝑥 )</a:t>
              </a:r>
              <a:r>
                <a:rPr lang="de-DE" sz="1100" i="0">
                  <a:latin typeface="Cambria Math"/>
                  <a:ea typeface="Cambria Math"/>
                </a:rPr>
                <a:t>∙</a:t>
              </a:r>
              <a:r>
                <a:rPr lang="de-DE" sz="1100" b="0" i="0">
                  <a:latin typeface="Cambria Math"/>
                  <a:ea typeface="Cambria Math"/>
                </a:rPr>
                <a:t>0,52 ∙√𝑑∙〖𝑙𝑒𝑓〗_^0,9</a:t>
              </a:r>
              <a:r>
                <a:rPr lang="de-DE" sz="1100"/>
                <a:t> </a:t>
              </a:r>
              <a:r>
                <a:rPr lang="de-DE" sz="1100" i="0">
                  <a:latin typeface="Cambria Math"/>
                  <a:ea typeface="Cambria Math"/>
                </a:rPr>
                <a:t>∙</a:t>
              </a:r>
              <a:r>
                <a:rPr lang="de-DE" sz="1100" b="0" i="0">
                  <a:latin typeface="Cambria Math"/>
                  <a:ea typeface="Cambria Math"/>
                </a:rPr>
                <a:t> 〖𝜌𝑘〗^0,8</a:t>
              </a:r>
              <a:r>
                <a:rPr lang="de-DE" sz="1100"/>
                <a:t> </a:t>
              </a:r>
            </a:p>
          </xdr:txBody>
        </xdr:sp>
      </mc:Fallback>
    </mc:AlternateContent>
    <xdr:clientData/>
  </xdr:oneCellAnchor>
  <xdr:oneCellAnchor>
    <xdr:from>
      <xdr:col>7</xdr:col>
      <xdr:colOff>8791</xdr:colOff>
      <xdr:row>23</xdr:row>
      <xdr:rowOff>198927</xdr:rowOff>
    </xdr:from>
    <xdr:ext cx="2296259" cy="505010"/>
    <mc:AlternateContent xmlns:mc="http://schemas.openxmlformats.org/markup-compatibility/2006" xmlns:a14="http://schemas.microsoft.com/office/drawing/2010/main">
      <mc:Choice Requires="a14">
        <xdr:sp macro="" textlink="">
          <xdr:nvSpPr>
            <xdr:cNvPr id="11" name="Textfeld 10">
              <a:extLst>
                <a:ext uri="{FF2B5EF4-FFF2-40B4-BE49-F238E27FC236}">
                  <a16:creationId xmlns:a16="http://schemas.microsoft.com/office/drawing/2014/main" id="{00000000-0008-0000-0200-00000B000000}"/>
                </a:ext>
              </a:extLst>
            </xdr:cNvPr>
            <xdr:cNvSpPr txBox="1"/>
          </xdr:nvSpPr>
          <xdr:spPr>
            <a:xfrm>
              <a:off x="6962041" y="4351827"/>
              <a:ext cx="2296259" cy="505010"/>
            </a:xfrm>
            <a:prstGeom prst="rect">
              <a:avLst/>
            </a:prstGeom>
            <a:noFill/>
            <a:ln w="31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14:m>
                <m:oMath xmlns:m="http://schemas.openxmlformats.org/officeDocument/2006/math">
                  <m:r>
                    <a:rPr lang="de-DE" sz="1100" b="0" i="1">
                      <a:latin typeface="Cambria Math"/>
                    </a:rPr>
                    <m:t>𝑘</m:t>
                  </m:r>
                  <m:r>
                    <a:rPr lang="de-DE" sz="1100" b="0" i="1" baseline="-25000">
                      <a:latin typeface="Cambria Math"/>
                    </a:rPr>
                    <m:t>𝑎𝑥</m:t>
                  </m:r>
                  <m:r>
                    <a:rPr lang="de-DE" sz="1100" b="0" i="1">
                      <a:latin typeface="Cambria Math"/>
                    </a:rPr>
                    <m:t>=0,6+</m:t>
                  </m:r>
                  <m:f>
                    <m:fPr>
                      <m:ctrlPr>
                        <a:rPr lang="de-DE" sz="1100" b="0" i="1">
                          <a:latin typeface="Cambria Math" panose="02040503050406030204" pitchFamily="18" charset="0"/>
                        </a:rPr>
                      </m:ctrlPr>
                    </m:fPr>
                    <m:num>
                      <m:r>
                        <a:rPr lang="de-DE" sz="1100" b="0" i="1">
                          <a:latin typeface="Cambria Math"/>
                        </a:rPr>
                        <m:t>0,4</m:t>
                      </m:r>
                      <m:r>
                        <a:rPr lang="de-DE" sz="1100" b="0" i="1">
                          <a:latin typeface="Cambria Math"/>
                          <a:ea typeface="Cambria Math"/>
                        </a:rPr>
                        <m:t>∙</m:t>
                      </m:r>
                      <m:r>
                        <a:rPr lang="de-DE" sz="1100" b="0" i="1">
                          <a:latin typeface="Cambria Math"/>
                          <a:ea typeface="Cambria Math"/>
                        </a:rPr>
                        <m:t>𝛼</m:t>
                      </m:r>
                    </m:num>
                    <m:den>
                      <m:r>
                        <a:rPr lang="de-DE" sz="1100" b="0" i="1">
                          <a:latin typeface="Cambria Math"/>
                        </a:rPr>
                        <m:t>45° </m:t>
                      </m:r>
                    </m:den>
                  </m:f>
                </m:oMath>
              </a14:m>
              <a:r>
                <a:rPr lang="de-DE" sz="1100"/>
                <a:t> for </a:t>
              </a:r>
              <a14:m>
                <m:oMath xmlns:m="http://schemas.openxmlformats.org/officeDocument/2006/math">
                  <m:r>
                    <a:rPr lang="de-DE" sz="1100" b="0" i="0">
                      <a:latin typeface="Cambria Math"/>
                      <a:ea typeface="Cambria Math"/>
                    </a:rPr>
                    <m:t>0°</m:t>
                  </m:r>
                  <m:r>
                    <a:rPr lang="de-DE" sz="1100" b="0" i="1">
                      <a:latin typeface="Cambria Math"/>
                      <a:ea typeface="Cambria Math"/>
                    </a:rPr>
                    <m:t>≤</m:t>
                  </m:r>
                  <m:r>
                    <a:rPr lang="de-DE" sz="1100" i="1">
                      <a:latin typeface="Cambria Math"/>
                      <a:ea typeface="Cambria Math"/>
                    </a:rPr>
                    <m:t>𝛼</m:t>
                  </m:r>
                  <m:r>
                    <a:rPr lang="de-DE" sz="1100" i="1">
                      <a:latin typeface="Cambria Math"/>
                      <a:ea typeface="Cambria Math"/>
                    </a:rPr>
                    <m:t>≤45°</m:t>
                  </m:r>
                </m:oMath>
              </a14:m>
              <a:r>
                <a:rPr lang="de-DE" sz="1100"/>
                <a:t>  (Schraubenlängen</a:t>
              </a:r>
              <a:r>
                <a:rPr lang="de-DE" sz="1100" baseline="0"/>
                <a:t> &gt;= 100 mm</a:t>
              </a:r>
              <a:endParaRPr lang="de-DE" sz="1100"/>
            </a:p>
          </xdr:txBody>
        </xdr:sp>
      </mc:Choice>
      <mc:Fallback xmlns="">
        <xdr:sp macro="" textlink="">
          <xdr:nvSpPr>
            <xdr:cNvPr id="11" name="Textfeld 10"/>
            <xdr:cNvSpPr txBox="1"/>
          </xdr:nvSpPr>
          <xdr:spPr>
            <a:xfrm>
              <a:off x="6962041" y="4351827"/>
              <a:ext cx="2296259" cy="505010"/>
            </a:xfrm>
            <a:prstGeom prst="rect">
              <a:avLst/>
            </a:prstGeom>
            <a:noFill/>
            <a:ln w="31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b="0" i="0">
                  <a:latin typeface="Cambria Math"/>
                </a:rPr>
                <a:t>𝑘</a:t>
              </a:r>
              <a:r>
                <a:rPr lang="de-DE" sz="1100" b="0" i="0" baseline="-25000">
                  <a:latin typeface="Cambria Math"/>
                </a:rPr>
                <a:t>𝑎𝑥</a:t>
              </a:r>
              <a:r>
                <a:rPr lang="de-DE" sz="1100" b="0" i="0">
                  <a:latin typeface="Cambria Math"/>
                </a:rPr>
                <a:t>=0,6+(0,4</a:t>
              </a:r>
              <a:r>
                <a:rPr lang="de-DE" sz="1100" b="0" i="0">
                  <a:latin typeface="Cambria Math"/>
                  <a:ea typeface="Cambria Math"/>
                </a:rPr>
                <a:t>∙𝛼)/(</a:t>
              </a:r>
              <a:r>
                <a:rPr lang="de-DE" sz="1100" b="0" i="0">
                  <a:latin typeface="Cambria Math"/>
                </a:rPr>
                <a:t>45° )</a:t>
              </a:r>
              <a:r>
                <a:rPr lang="de-DE" sz="1100"/>
                <a:t> for </a:t>
              </a:r>
              <a:r>
                <a:rPr lang="de-DE" sz="1100" b="0" i="0">
                  <a:latin typeface="Cambria Math"/>
                  <a:ea typeface="Cambria Math"/>
                </a:rPr>
                <a:t>0°≤</a:t>
              </a:r>
              <a:r>
                <a:rPr lang="de-DE" sz="1100" i="0">
                  <a:latin typeface="Cambria Math"/>
                  <a:ea typeface="Cambria Math"/>
                </a:rPr>
                <a:t>𝛼≤45°</a:t>
              </a:r>
              <a:r>
                <a:rPr lang="de-DE" sz="1100"/>
                <a:t>  (Schraubenlängen</a:t>
              </a:r>
              <a:r>
                <a:rPr lang="de-DE" sz="1100" baseline="0"/>
                <a:t> &gt;= 100 mm</a:t>
              </a:r>
              <a:endParaRPr lang="de-DE" sz="1100"/>
            </a:p>
          </xdr:txBody>
        </xdr:sp>
      </mc:Fallback>
    </mc:AlternateContent>
    <xdr:clientData/>
  </xdr:oneCellAnchor>
  <xdr:oneCellAnchor>
    <xdr:from>
      <xdr:col>7</xdr:col>
      <xdr:colOff>35900</xdr:colOff>
      <xdr:row>28</xdr:row>
      <xdr:rowOff>54587</xdr:rowOff>
    </xdr:from>
    <xdr:ext cx="2296259" cy="264560"/>
    <mc:AlternateContent xmlns:mc="http://schemas.openxmlformats.org/markup-compatibility/2006" xmlns:a14="http://schemas.microsoft.com/office/drawing/2010/main">
      <mc:Choice Requires="a14">
        <xdr:sp macro="" textlink="">
          <xdr:nvSpPr>
            <xdr:cNvPr id="12" name="Textfeld 11">
              <a:extLst>
                <a:ext uri="{FF2B5EF4-FFF2-40B4-BE49-F238E27FC236}">
                  <a16:creationId xmlns:a16="http://schemas.microsoft.com/office/drawing/2014/main" id="{00000000-0008-0000-0200-00000C000000}"/>
                </a:ext>
              </a:extLst>
            </xdr:cNvPr>
            <xdr:cNvSpPr txBox="1"/>
          </xdr:nvSpPr>
          <xdr:spPr>
            <a:xfrm>
              <a:off x="6989150" y="5445737"/>
              <a:ext cx="2296259" cy="264560"/>
            </a:xfrm>
            <a:prstGeom prst="rect">
              <a:avLst/>
            </a:prstGeom>
            <a:noFill/>
            <a:ln w="31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14:m>
                <m:oMath xmlns:m="http://schemas.openxmlformats.org/officeDocument/2006/math">
                  <m:r>
                    <a:rPr lang="de-DE" sz="1100" b="0" i="1">
                      <a:latin typeface="Cambria Math"/>
                    </a:rPr>
                    <m:t>𝑘</m:t>
                  </m:r>
                  <m:r>
                    <a:rPr lang="de-DE" sz="1100" b="0" i="1" baseline="-25000">
                      <a:latin typeface="Cambria Math"/>
                    </a:rPr>
                    <m:t>𝑎𝑥</m:t>
                  </m:r>
                  <m:r>
                    <a:rPr lang="de-DE" sz="1100" b="0" i="1">
                      <a:latin typeface="Cambria Math"/>
                    </a:rPr>
                    <m:t>=1,0 </m:t>
                  </m:r>
                </m:oMath>
              </a14:m>
              <a:r>
                <a:rPr lang="de-DE" sz="1100"/>
                <a:t>for </a:t>
              </a:r>
              <a14:m>
                <m:oMath xmlns:m="http://schemas.openxmlformats.org/officeDocument/2006/math">
                  <m:r>
                    <a:rPr lang="de-DE" sz="1100" b="0" i="0">
                      <a:latin typeface="Cambria Math"/>
                      <a:ea typeface="Cambria Math"/>
                    </a:rPr>
                    <m:t>45°</m:t>
                  </m:r>
                  <m:r>
                    <a:rPr lang="de-DE" sz="1100" b="0" i="1">
                      <a:latin typeface="Cambria Math"/>
                      <a:ea typeface="Cambria Math"/>
                    </a:rPr>
                    <m:t>≤</m:t>
                  </m:r>
                  <m:r>
                    <a:rPr lang="de-DE" sz="1100" i="1">
                      <a:latin typeface="Cambria Math"/>
                      <a:ea typeface="Cambria Math"/>
                    </a:rPr>
                    <m:t>𝛼</m:t>
                  </m:r>
                  <m:r>
                    <a:rPr lang="de-DE" sz="1100" i="1">
                      <a:latin typeface="Cambria Math"/>
                      <a:ea typeface="Cambria Math"/>
                    </a:rPr>
                    <m:t>≤90°</m:t>
                  </m:r>
                </m:oMath>
              </a14:m>
              <a:endParaRPr lang="de-DE" sz="1100"/>
            </a:p>
          </xdr:txBody>
        </xdr:sp>
      </mc:Choice>
      <mc:Fallback xmlns="">
        <xdr:sp macro="" textlink="">
          <xdr:nvSpPr>
            <xdr:cNvPr id="12" name="Textfeld 11"/>
            <xdr:cNvSpPr txBox="1"/>
          </xdr:nvSpPr>
          <xdr:spPr>
            <a:xfrm>
              <a:off x="6989150" y="5445737"/>
              <a:ext cx="2296259" cy="264560"/>
            </a:xfrm>
            <a:prstGeom prst="rect">
              <a:avLst/>
            </a:prstGeom>
            <a:noFill/>
            <a:ln w="31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b="0" i="0">
                  <a:latin typeface="Cambria Math"/>
                </a:rPr>
                <a:t>𝑘</a:t>
              </a:r>
              <a:r>
                <a:rPr lang="de-DE" sz="1100" b="0" i="0" baseline="-25000">
                  <a:latin typeface="Cambria Math"/>
                </a:rPr>
                <a:t>𝑎𝑥</a:t>
              </a:r>
              <a:r>
                <a:rPr lang="de-DE" sz="1100" b="0" i="0">
                  <a:latin typeface="Cambria Math"/>
                </a:rPr>
                <a:t>=1,0 </a:t>
              </a:r>
              <a:r>
                <a:rPr lang="de-DE" sz="1100"/>
                <a:t>for </a:t>
              </a:r>
              <a:r>
                <a:rPr lang="de-DE" sz="1100" b="0" i="0">
                  <a:latin typeface="Cambria Math"/>
                  <a:ea typeface="Cambria Math"/>
                </a:rPr>
                <a:t>45°≤</a:t>
              </a:r>
              <a:r>
                <a:rPr lang="de-DE" sz="1100" i="0">
                  <a:latin typeface="Cambria Math"/>
                  <a:ea typeface="Cambria Math"/>
                </a:rPr>
                <a:t>𝛼≤90°</a:t>
              </a:r>
              <a:endParaRPr lang="de-DE" sz="1100"/>
            </a:p>
          </xdr:txBody>
        </xdr:sp>
      </mc:Fallback>
    </mc:AlternateContent>
    <xdr:clientData/>
  </xdr:oneCellAnchor>
  <xdr:oneCellAnchor>
    <xdr:from>
      <xdr:col>7</xdr:col>
      <xdr:colOff>32971</xdr:colOff>
      <xdr:row>29</xdr:row>
      <xdr:rowOff>185006</xdr:rowOff>
    </xdr:from>
    <xdr:ext cx="2461848" cy="286810"/>
    <mc:AlternateContent xmlns:mc="http://schemas.openxmlformats.org/markup-compatibility/2006" xmlns:a14="http://schemas.microsoft.com/office/drawing/2010/main">
      <mc:Choice Requires="a14">
        <xdr:sp macro="" textlink="">
          <xdr:nvSpPr>
            <xdr:cNvPr id="13" name="Textfeld 12">
              <a:extLst>
                <a:ext uri="{FF2B5EF4-FFF2-40B4-BE49-F238E27FC236}">
                  <a16:creationId xmlns:a16="http://schemas.microsoft.com/office/drawing/2014/main" id="{00000000-0008-0000-0200-00000D000000}"/>
                </a:ext>
              </a:extLst>
            </xdr:cNvPr>
            <xdr:cNvSpPr txBox="1"/>
          </xdr:nvSpPr>
          <xdr:spPr>
            <a:xfrm>
              <a:off x="6986221" y="5833331"/>
              <a:ext cx="2461848" cy="28681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a:t>F</a:t>
              </a:r>
              <a:r>
                <a:rPr lang="de-DE" sz="1100" baseline="-25000"/>
                <a:t>1,Rd</a:t>
              </a:r>
              <a:r>
                <a:rPr lang="de-DE" sz="1100"/>
                <a:t> =</a:t>
              </a:r>
              <a14:m>
                <m:oMath xmlns:m="http://schemas.openxmlformats.org/officeDocument/2006/math">
                  <m:sSub>
                    <m:sSubPr>
                      <m:ctrlPr>
                        <a:rPr lang="de-DE" sz="1100" i="1">
                          <a:latin typeface="Cambria Math" panose="02040503050406030204" pitchFamily="18" charset="0"/>
                        </a:rPr>
                      </m:ctrlPr>
                    </m:sSubPr>
                    <m:e>
                      <m:r>
                        <a:rPr lang="de-DE" sz="1100" b="0" i="1">
                          <a:latin typeface="Cambria Math"/>
                        </a:rPr>
                        <m:t> </m:t>
                      </m:r>
                      <m:r>
                        <a:rPr lang="de-DE" sz="1100" b="0" i="1">
                          <a:latin typeface="Cambria Math"/>
                        </a:rPr>
                        <m:t>𝑛</m:t>
                      </m:r>
                    </m:e>
                    <m:sub>
                      <m:r>
                        <a:rPr lang="de-DE" sz="1100" b="0" i="1">
                          <a:latin typeface="Cambria Math"/>
                        </a:rPr>
                        <m:t>𝑒𝑓</m:t>
                      </m:r>
                    </m:sub>
                  </m:sSub>
                  <m:r>
                    <a:rPr lang="de-DE" sz="1100" i="1">
                      <a:latin typeface="Cambria Math"/>
                      <a:ea typeface="Cambria Math"/>
                    </a:rPr>
                    <m:t>∙</m:t>
                  </m:r>
                  <m:r>
                    <a:rPr lang="de-DE" sz="1100" b="0" i="1">
                      <a:latin typeface="Cambria Math"/>
                      <a:ea typeface="Cambria Math"/>
                    </a:rPr>
                    <m:t>𝑚𝑖𝑛</m:t>
                  </m:r>
                  <m:d>
                    <m:dPr>
                      <m:begChr m:val="{"/>
                      <m:endChr m:val="}"/>
                      <m:ctrlPr>
                        <a:rPr lang="de-DE" sz="1100" b="0" i="1">
                          <a:latin typeface="Cambria Math" panose="02040503050406030204" pitchFamily="18" charset="0"/>
                          <a:ea typeface="Cambria Math"/>
                        </a:rPr>
                      </m:ctrlPr>
                    </m:dPr>
                    <m:e>
                      <m:sSub>
                        <m:sSubPr>
                          <m:ctrlPr>
                            <a:rPr lang="de-DE" sz="1100" b="0" i="1">
                              <a:latin typeface="Cambria Math" panose="02040503050406030204" pitchFamily="18" charset="0"/>
                              <a:ea typeface="Cambria Math"/>
                            </a:rPr>
                          </m:ctrlPr>
                        </m:sSubPr>
                        <m:e>
                          <m:r>
                            <a:rPr lang="de-DE" sz="1100" b="0" i="1">
                              <a:latin typeface="Cambria Math"/>
                              <a:ea typeface="Cambria Math"/>
                            </a:rPr>
                            <m:t>𝐹</m:t>
                          </m:r>
                        </m:e>
                        <m:sub>
                          <m:r>
                            <a:rPr lang="de-DE" sz="1100" b="0" i="1">
                              <a:latin typeface="Cambria Math"/>
                              <a:ea typeface="Cambria Math"/>
                            </a:rPr>
                            <m:t>𝑎𝑥</m:t>
                          </m:r>
                          <m:r>
                            <a:rPr lang="de-DE" sz="1100" b="0" i="1">
                              <a:latin typeface="Cambria Math"/>
                              <a:ea typeface="Cambria Math"/>
                            </a:rPr>
                            <m:t>,</m:t>
                          </m:r>
                          <m:r>
                            <a:rPr lang="de-DE" sz="1100" b="0" i="1">
                              <a:latin typeface="Cambria Math"/>
                              <a:ea typeface="Cambria Math"/>
                            </a:rPr>
                            <m:t>𝑅𝑑</m:t>
                          </m:r>
                        </m:sub>
                      </m:sSub>
                      <m:r>
                        <a:rPr lang="de-DE" sz="1100" b="0" i="1">
                          <a:latin typeface="Cambria Math"/>
                          <a:ea typeface="Cambria Math"/>
                        </a:rPr>
                        <m:t>;</m:t>
                      </m:r>
                      <m:sSub>
                        <m:sSubPr>
                          <m:ctrlPr>
                            <a:rPr lang="de-DE" sz="1100" b="0" i="1">
                              <a:latin typeface="Cambria Math" panose="02040503050406030204" pitchFamily="18" charset="0"/>
                              <a:ea typeface="Cambria Math"/>
                            </a:rPr>
                          </m:ctrlPr>
                        </m:sSubPr>
                        <m:e>
                          <m:r>
                            <a:rPr lang="de-DE" sz="1100" b="0" i="1">
                              <a:latin typeface="Cambria Math"/>
                              <a:ea typeface="Cambria Math"/>
                            </a:rPr>
                            <m:t>𝐹</m:t>
                          </m:r>
                        </m:e>
                        <m:sub>
                          <m:r>
                            <a:rPr lang="de-DE" sz="1100" b="0" i="1">
                              <a:latin typeface="Cambria Math"/>
                              <a:ea typeface="Cambria Math"/>
                            </a:rPr>
                            <m:t>𝑡</m:t>
                          </m:r>
                          <m:r>
                            <a:rPr lang="de-DE" sz="1100" b="0" i="1">
                              <a:latin typeface="Cambria Math"/>
                              <a:ea typeface="Cambria Math"/>
                            </a:rPr>
                            <m:t>,</m:t>
                          </m:r>
                          <m:r>
                            <a:rPr lang="de-DE" sz="1100" b="0" i="1">
                              <a:latin typeface="Cambria Math"/>
                              <a:ea typeface="Cambria Math"/>
                            </a:rPr>
                            <m:t>𝑅𝑑</m:t>
                          </m:r>
                        </m:sub>
                      </m:sSub>
                      <m:r>
                        <a:rPr lang="de-DE" sz="1100" b="0" i="1">
                          <a:latin typeface="Cambria Math"/>
                          <a:ea typeface="Cambria Math"/>
                        </a:rPr>
                        <m:t>;</m:t>
                      </m:r>
                      <m:sSub>
                        <m:sSubPr>
                          <m:ctrlPr>
                            <a:rPr lang="de-DE" sz="1100" b="0" i="1">
                              <a:latin typeface="Cambria Math" panose="02040503050406030204" pitchFamily="18" charset="0"/>
                              <a:ea typeface="Cambria Math"/>
                            </a:rPr>
                          </m:ctrlPr>
                        </m:sSubPr>
                        <m:e>
                          <m:r>
                            <a:rPr lang="de-DE" sz="1100" b="0" i="1">
                              <a:latin typeface="Cambria Math"/>
                              <a:ea typeface="Cambria Math"/>
                            </a:rPr>
                            <m:t>𝐹</m:t>
                          </m:r>
                        </m:e>
                        <m:sub>
                          <m:r>
                            <a:rPr lang="de-DE" sz="1100" b="0" i="1">
                              <a:latin typeface="Cambria Math"/>
                              <a:ea typeface="Cambria Math"/>
                            </a:rPr>
                            <m:t>1,</m:t>
                          </m:r>
                          <m:r>
                            <a:rPr lang="de-DE" sz="1100" b="0" i="1">
                              <a:latin typeface="Cambria Math"/>
                              <a:ea typeface="Cambria Math"/>
                            </a:rPr>
                            <m:t>𝐾𝐶𝐶</m:t>
                          </m:r>
                          <m:r>
                            <a:rPr lang="de-DE" sz="1100" b="0" i="1">
                              <a:latin typeface="Cambria Math"/>
                              <a:ea typeface="Cambria Math"/>
                            </a:rPr>
                            <m:t>,</m:t>
                          </m:r>
                          <m:r>
                            <a:rPr lang="de-DE" sz="1100" b="0" i="1">
                              <a:latin typeface="Cambria Math"/>
                              <a:ea typeface="Cambria Math"/>
                            </a:rPr>
                            <m:t>𝑅𝑑</m:t>
                          </m:r>
                        </m:sub>
                      </m:sSub>
                    </m:e>
                  </m:d>
                </m:oMath>
              </a14:m>
              <a:endParaRPr lang="de-DE" sz="1100"/>
            </a:p>
          </xdr:txBody>
        </xdr:sp>
      </mc:Choice>
      <mc:Fallback xmlns="">
        <xdr:sp macro="" textlink="">
          <xdr:nvSpPr>
            <xdr:cNvPr id="13" name="Textfeld 12">
              <a:extLst>
                <a:ext uri="{FF2B5EF4-FFF2-40B4-BE49-F238E27FC236}">
                  <a16:creationId xmlns:a16="http://schemas.microsoft.com/office/drawing/2014/main" id="{00000000-0008-0000-0200-00000D000000}"/>
                </a:ext>
              </a:extLst>
            </xdr:cNvPr>
            <xdr:cNvSpPr txBox="1"/>
          </xdr:nvSpPr>
          <xdr:spPr>
            <a:xfrm>
              <a:off x="6986221" y="5833331"/>
              <a:ext cx="2461848" cy="28681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a:t>F</a:t>
              </a:r>
              <a:r>
                <a:rPr lang="de-DE" sz="1100" baseline="-25000"/>
                <a:t>1,Rd</a:t>
              </a:r>
              <a:r>
                <a:rPr lang="de-DE" sz="1100"/>
                <a:t> =</a:t>
              </a:r>
              <a:r>
                <a:rPr lang="de-DE" sz="1100" i="0">
                  <a:latin typeface="Cambria Math" panose="02040503050406030204" pitchFamily="18" charset="0"/>
                </a:rPr>
                <a:t>〖</a:t>
              </a:r>
              <a:r>
                <a:rPr lang="de-DE" sz="1100" b="0" i="0">
                  <a:latin typeface="Cambria Math"/>
                </a:rPr>
                <a:t> 𝑛</a:t>
              </a:r>
              <a:r>
                <a:rPr lang="de-DE" sz="1100" b="0" i="0">
                  <a:latin typeface="Cambria Math" panose="02040503050406030204" pitchFamily="18" charset="0"/>
                </a:rPr>
                <a:t>〗_</a:t>
              </a:r>
              <a:r>
                <a:rPr lang="de-DE" sz="1100" b="0" i="0">
                  <a:latin typeface="Cambria Math"/>
                </a:rPr>
                <a:t>𝑒𝑓</a:t>
              </a:r>
              <a:r>
                <a:rPr lang="de-DE" sz="1100" i="0">
                  <a:latin typeface="Cambria Math"/>
                  <a:ea typeface="Cambria Math"/>
                </a:rPr>
                <a:t>∙</a:t>
              </a:r>
              <a:r>
                <a:rPr lang="de-DE" sz="1100" b="0" i="0">
                  <a:latin typeface="Cambria Math"/>
                  <a:ea typeface="Cambria Math"/>
                </a:rPr>
                <a:t>𝑚𝑖𝑛</a:t>
              </a:r>
              <a:r>
                <a:rPr lang="de-DE" sz="1100" b="0" i="0">
                  <a:latin typeface="Cambria Math" panose="02040503050406030204" pitchFamily="18" charset="0"/>
                  <a:ea typeface="Cambria Math"/>
                </a:rPr>
                <a:t>{</a:t>
              </a:r>
              <a:r>
                <a:rPr lang="de-DE" sz="1100" b="0" i="0">
                  <a:latin typeface="Cambria Math"/>
                  <a:ea typeface="Cambria Math"/>
                </a:rPr>
                <a:t>𝐹</a:t>
              </a:r>
              <a:r>
                <a:rPr lang="de-DE" sz="1100" b="0" i="0">
                  <a:latin typeface="Cambria Math" panose="02040503050406030204" pitchFamily="18" charset="0"/>
                  <a:ea typeface="Cambria Math"/>
                </a:rPr>
                <a:t>_(</a:t>
              </a:r>
              <a:r>
                <a:rPr lang="de-DE" sz="1100" b="0" i="0">
                  <a:latin typeface="Cambria Math"/>
                  <a:ea typeface="Cambria Math"/>
                </a:rPr>
                <a:t>𝑎𝑥,𝑅𝑑</a:t>
              </a:r>
              <a:r>
                <a:rPr lang="de-DE" sz="1100" b="0" i="0">
                  <a:latin typeface="Cambria Math" panose="02040503050406030204" pitchFamily="18" charset="0"/>
                  <a:ea typeface="Cambria Math"/>
                </a:rPr>
                <a:t>)</a:t>
              </a:r>
              <a:r>
                <a:rPr lang="de-DE" sz="1100" b="0" i="0">
                  <a:latin typeface="Cambria Math"/>
                  <a:ea typeface="Cambria Math"/>
                </a:rPr>
                <a:t>;𝐹</a:t>
              </a:r>
              <a:r>
                <a:rPr lang="de-DE" sz="1100" b="0" i="0">
                  <a:latin typeface="Cambria Math" panose="02040503050406030204" pitchFamily="18" charset="0"/>
                  <a:ea typeface="Cambria Math"/>
                </a:rPr>
                <a:t>_(</a:t>
              </a:r>
              <a:r>
                <a:rPr lang="de-DE" sz="1100" b="0" i="0">
                  <a:latin typeface="Cambria Math"/>
                  <a:ea typeface="Cambria Math"/>
                </a:rPr>
                <a:t>𝑡,𝑅𝑑</a:t>
              </a:r>
              <a:r>
                <a:rPr lang="de-DE" sz="1100" b="0" i="0">
                  <a:latin typeface="Cambria Math" panose="02040503050406030204" pitchFamily="18" charset="0"/>
                  <a:ea typeface="Cambria Math"/>
                </a:rPr>
                <a:t>)</a:t>
              </a:r>
              <a:r>
                <a:rPr lang="de-DE" sz="1100" b="0" i="0">
                  <a:latin typeface="Cambria Math"/>
                  <a:ea typeface="Cambria Math"/>
                </a:rPr>
                <a:t>;𝐹</a:t>
              </a:r>
              <a:r>
                <a:rPr lang="de-DE" sz="1100" b="0" i="0">
                  <a:latin typeface="Cambria Math" panose="02040503050406030204" pitchFamily="18" charset="0"/>
                  <a:ea typeface="Cambria Math"/>
                </a:rPr>
                <a:t>_(</a:t>
              </a:r>
              <a:r>
                <a:rPr lang="de-DE" sz="1100" b="0" i="0">
                  <a:latin typeface="Cambria Math"/>
                  <a:ea typeface="Cambria Math"/>
                </a:rPr>
                <a:t>1,𝐾𝐶𝐶,𝑅𝑑</a:t>
              </a:r>
              <a:r>
                <a:rPr lang="de-DE" sz="1100" b="0" i="0">
                  <a:latin typeface="Cambria Math" panose="02040503050406030204" pitchFamily="18" charset="0"/>
                  <a:ea typeface="Cambria Math"/>
                </a:rPr>
                <a:t>) }</a:t>
              </a:r>
              <a:endParaRPr lang="de-DE" sz="1100"/>
            </a:p>
          </xdr:txBody>
        </xdr:sp>
      </mc:Fallback>
    </mc:AlternateContent>
    <xdr:clientData/>
  </xdr:oneCellAnchor>
  <xdr:oneCellAnchor>
    <xdr:from>
      <xdr:col>5</xdr:col>
      <xdr:colOff>200025</xdr:colOff>
      <xdr:row>173</xdr:row>
      <xdr:rowOff>171450</xdr:rowOff>
    </xdr:from>
    <xdr:ext cx="4341350" cy="1832897"/>
    <mc:AlternateContent xmlns:mc="http://schemas.openxmlformats.org/markup-compatibility/2006" xmlns:a14="http://schemas.microsoft.com/office/drawing/2010/main">
      <mc:Choice Requires="a14">
        <xdr:sp macro="" textlink="">
          <xdr:nvSpPr>
            <xdr:cNvPr id="15" name="Textfeld 14">
              <a:extLst>
                <a:ext uri="{FF2B5EF4-FFF2-40B4-BE49-F238E27FC236}">
                  <a16:creationId xmlns:a16="http://schemas.microsoft.com/office/drawing/2014/main" id="{00000000-0008-0000-0200-00000F000000}"/>
                </a:ext>
              </a:extLst>
            </xdr:cNvPr>
            <xdr:cNvSpPr txBox="1"/>
          </xdr:nvSpPr>
          <xdr:spPr>
            <a:xfrm>
              <a:off x="5476875" y="25146000"/>
              <a:ext cx="4341350" cy="1832897"/>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14:m>
                <m:oMathPara xmlns:m="http://schemas.openxmlformats.org/officeDocument/2006/math">
                  <m:oMathParaPr>
                    <m:jc m:val="left"/>
                  </m:oMathParaPr>
                  <m:oMath xmlns:m="http://schemas.openxmlformats.org/officeDocument/2006/math">
                    <m:sSub>
                      <m:sSubPr>
                        <m:ctrlPr>
                          <a:rPr lang="de-DE" sz="1100" b="0" i="1">
                            <a:latin typeface="Cambria Math" panose="02040503050406030204" pitchFamily="18" charset="0"/>
                          </a:rPr>
                        </m:ctrlPr>
                      </m:sSubPr>
                      <m:e>
                        <m:r>
                          <a:rPr lang="de-DE" sz="1100" b="0" i="1">
                            <a:latin typeface="Cambria Math"/>
                          </a:rPr>
                          <m:t>𝐹</m:t>
                        </m:r>
                      </m:e>
                      <m:sub>
                        <m:r>
                          <a:rPr lang="de-DE" sz="1100" b="0" i="1">
                            <a:latin typeface="Cambria Math"/>
                          </a:rPr>
                          <m:t>45,</m:t>
                        </m:r>
                        <m:r>
                          <a:rPr lang="de-DE" sz="1100" b="0" i="1">
                            <a:latin typeface="Cambria Math"/>
                          </a:rPr>
                          <m:t>𝑅𝑑</m:t>
                        </m:r>
                      </m:sub>
                    </m:sSub>
                    <m:r>
                      <a:rPr lang="de-DE" sz="1100" i="1">
                        <a:latin typeface="Cambria Math"/>
                      </a:rPr>
                      <m:t>=</m:t>
                    </m:r>
                    <m:func>
                      <m:funcPr>
                        <m:ctrlPr>
                          <a:rPr lang="de-DE" sz="1100" b="0" i="1">
                            <a:latin typeface="Cambria Math" panose="02040503050406030204" pitchFamily="18" charset="0"/>
                          </a:rPr>
                        </m:ctrlPr>
                      </m:funcPr>
                      <m:fName>
                        <m:r>
                          <m:rPr>
                            <m:sty m:val="p"/>
                          </m:rPr>
                          <a:rPr lang="de-DE" sz="1100" b="0" i="1">
                            <a:latin typeface="Cambria Math"/>
                          </a:rPr>
                          <m:t>min</m:t>
                        </m:r>
                      </m:fName>
                      <m:e>
                        <m:d>
                          <m:dPr>
                            <m:begChr m:val="{"/>
                            <m:endChr m:val=""/>
                            <m:ctrlPr>
                              <a:rPr lang="de-DE" sz="1100" b="0" i="1">
                                <a:latin typeface="Cambria Math" panose="02040503050406030204" pitchFamily="18" charset="0"/>
                              </a:rPr>
                            </m:ctrlPr>
                          </m:dPr>
                          <m:e>
                            <m:eqArr>
                              <m:eqArrPr>
                                <m:ctrlPr>
                                  <a:rPr lang="de-DE" sz="1100" b="0" i="1">
                                    <a:latin typeface="Cambria Math" panose="02040503050406030204" pitchFamily="18" charset="0"/>
                                  </a:rPr>
                                </m:ctrlPr>
                              </m:eqArrPr>
                              <m:e>
                                <m:f>
                                  <m:fPr>
                                    <m:ctrlPr>
                                      <a:rPr lang="de-DE" sz="1100" b="0" i="1">
                                        <a:latin typeface="Cambria Math" panose="02040503050406030204" pitchFamily="18" charset="0"/>
                                      </a:rPr>
                                    </m:ctrlPr>
                                  </m:fPr>
                                  <m:num>
                                    <m:sSub>
                                      <m:sSubPr>
                                        <m:ctrlPr>
                                          <a:rPr lang="de-DE" sz="1100" b="0" i="1">
                                            <a:latin typeface="Cambria Math" panose="02040503050406030204" pitchFamily="18" charset="0"/>
                                          </a:rPr>
                                        </m:ctrlPr>
                                      </m:sSubPr>
                                      <m:e>
                                        <m:r>
                                          <a:rPr lang="de-DE" sz="1100" b="0" i="1">
                                            <a:latin typeface="Cambria Math"/>
                                          </a:rPr>
                                          <m:t>𝐹</m:t>
                                        </m:r>
                                      </m:e>
                                      <m:sub>
                                        <m:r>
                                          <a:rPr lang="de-DE" sz="1100" b="0" i="1">
                                            <a:latin typeface="Cambria Math"/>
                                          </a:rPr>
                                          <m:t>𝑣</m:t>
                                        </m:r>
                                        <m:r>
                                          <a:rPr lang="de-DE" sz="1100" b="0" i="1">
                                            <a:latin typeface="Cambria Math"/>
                                          </a:rPr>
                                          <m:t>,</m:t>
                                        </m:r>
                                        <m:r>
                                          <a:rPr lang="de-DE" sz="1100" b="0" i="1">
                                            <a:latin typeface="Cambria Math"/>
                                          </a:rPr>
                                          <m:t>𝐽</m:t>
                                        </m:r>
                                        <m:r>
                                          <a:rPr lang="de-DE" sz="1100" b="0" i="1">
                                            <a:latin typeface="Cambria Math"/>
                                          </a:rPr>
                                          <m:t>,</m:t>
                                        </m:r>
                                        <m:r>
                                          <a:rPr lang="de-DE" sz="1100" b="0" i="1">
                                            <a:latin typeface="Cambria Math"/>
                                          </a:rPr>
                                          <m:t>𝑅𝑑</m:t>
                                        </m:r>
                                      </m:sub>
                                    </m:sSub>
                                  </m:num>
                                  <m:den>
                                    <m:rad>
                                      <m:radPr>
                                        <m:degHide m:val="on"/>
                                        <m:ctrlPr>
                                          <a:rPr lang="de-DE" sz="1100" b="0" i="1">
                                            <a:latin typeface="Cambria Math" panose="02040503050406030204" pitchFamily="18" charset="0"/>
                                          </a:rPr>
                                        </m:ctrlPr>
                                      </m:radPr>
                                      <m:deg/>
                                      <m:e>
                                        <m:sSup>
                                          <m:sSupPr>
                                            <m:ctrlPr>
                                              <a:rPr lang="de-DE" sz="1100" b="0" i="1">
                                                <a:solidFill>
                                                  <a:schemeClr val="tx1"/>
                                                </a:solidFill>
                                                <a:effectLst/>
                                                <a:latin typeface="Cambria Math" panose="02040503050406030204" pitchFamily="18" charset="0"/>
                                                <a:ea typeface="+mn-ea"/>
                                                <a:cs typeface="+mn-cs"/>
                                              </a:rPr>
                                            </m:ctrlPr>
                                          </m:sSupPr>
                                          <m:e>
                                            <m:d>
                                              <m:dPr>
                                                <m:ctrlPr>
                                                  <a:rPr lang="de-DE" sz="1100" b="0" i="1">
                                                    <a:latin typeface="Cambria Math" panose="02040503050406030204" pitchFamily="18" charset="0"/>
                                                  </a:rPr>
                                                </m:ctrlPr>
                                              </m:dPr>
                                              <m:e>
                                                <m:f>
                                                  <m:fPr>
                                                    <m:ctrlPr>
                                                      <a:rPr lang="de-DE" sz="1100" b="0" i="1">
                                                        <a:solidFill>
                                                          <a:schemeClr val="tx1"/>
                                                        </a:solidFill>
                                                        <a:effectLst/>
                                                        <a:latin typeface="Cambria Math" panose="02040503050406030204" pitchFamily="18" charset="0"/>
                                                        <a:ea typeface="+mn-ea"/>
                                                        <a:cs typeface="+mn-cs"/>
                                                      </a:rPr>
                                                    </m:ctrlPr>
                                                  </m:fPr>
                                                  <m:num>
                                                    <m:r>
                                                      <a:rPr lang="de-DE" sz="1100" b="0" i="1">
                                                        <a:solidFill>
                                                          <a:schemeClr val="tx1"/>
                                                        </a:solidFill>
                                                        <a:effectLst/>
                                                        <a:latin typeface="Cambria Math"/>
                                                        <a:ea typeface="+mn-ea"/>
                                                        <a:cs typeface="+mn-cs"/>
                                                      </a:rPr>
                                                      <m:t>1</m:t>
                                                    </m:r>
                                                  </m:num>
                                                  <m:den>
                                                    <m:sSub>
                                                      <m:sSubPr>
                                                        <m:ctrlPr>
                                                          <a:rPr lang="de-DE" sz="1100" b="0" i="1">
                                                            <a:solidFill>
                                                              <a:schemeClr val="tx1"/>
                                                            </a:solidFill>
                                                            <a:effectLst/>
                                                            <a:latin typeface="Cambria Math" panose="02040503050406030204" pitchFamily="18" charset="0"/>
                                                            <a:ea typeface="+mn-ea"/>
                                                            <a:cs typeface="+mn-cs"/>
                                                          </a:rPr>
                                                        </m:ctrlPr>
                                                      </m:sSubPr>
                                                      <m:e>
                                                        <m:r>
                                                          <a:rPr lang="de-DE" sz="1100" b="0" i="1">
                                                            <a:solidFill>
                                                              <a:schemeClr val="tx1"/>
                                                            </a:solidFill>
                                                            <a:effectLst/>
                                                            <a:latin typeface="Cambria Math"/>
                                                            <a:ea typeface="+mn-ea"/>
                                                            <a:cs typeface="+mn-cs"/>
                                                          </a:rPr>
                                                          <m:t>𝑛</m:t>
                                                        </m:r>
                                                      </m:e>
                                                      <m:sub>
                                                        <m:r>
                                                          <a:rPr lang="de-DE" sz="1100" b="0" i="1">
                                                            <a:solidFill>
                                                              <a:schemeClr val="tx1"/>
                                                            </a:solidFill>
                                                            <a:effectLst/>
                                                            <a:latin typeface="Cambria Math"/>
                                                            <a:ea typeface="+mn-ea"/>
                                                            <a:cs typeface="+mn-cs"/>
                                                          </a:rPr>
                                                          <m:t>45</m:t>
                                                        </m:r>
                                                      </m:sub>
                                                    </m:sSub>
                                                  </m:den>
                                                </m:f>
                                                <m:r>
                                                  <a:rPr lang="de-DE" sz="1100" b="0" i="1">
                                                    <a:solidFill>
                                                      <a:schemeClr val="tx1"/>
                                                    </a:solidFill>
                                                    <a:effectLst/>
                                                    <a:latin typeface="Cambria Math"/>
                                                    <a:ea typeface="+mn-ea"/>
                                                    <a:cs typeface="+mn-cs"/>
                                                  </a:rPr>
                                                  <m:t>+</m:t>
                                                </m:r>
                                                <m:f>
                                                  <m:fPr>
                                                    <m:ctrlPr>
                                                      <a:rPr lang="de-DE" sz="1100" b="0" i="1">
                                                        <a:solidFill>
                                                          <a:schemeClr val="tx1"/>
                                                        </a:solidFill>
                                                        <a:effectLst/>
                                                        <a:latin typeface="Cambria Math" panose="02040503050406030204" pitchFamily="18" charset="0"/>
                                                        <a:ea typeface="+mn-ea"/>
                                                        <a:cs typeface="+mn-cs"/>
                                                      </a:rPr>
                                                    </m:ctrlPr>
                                                  </m:fPr>
                                                  <m:num>
                                                    <m:sSub>
                                                      <m:sSubPr>
                                                        <m:ctrlPr>
                                                          <a:rPr lang="de-DE" sz="1100" b="0" i="1">
                                                            <a:solidFill>
                                                              <a:schemeClr val="tx1"/>
                                                            </a:solidFill>
                                                            <a:effectLst/>
                                                            <a:latin typeface="Cambria Math" panose="02040503050406030204" pitchFamily="18" charset="0"/>
                                                            <a:ea typeface="+mn-ea"/>
                                                            <a:cs typeface="+mn-cs"/>
                                                          </a:rPr>
                                                        </m:ctrlPr>
                                                      </m:sSubPr>
                                                      <m:e>
                                                        <m:r>
                                                          <a:rPr lang="de-DE" sz="1100" b="0" i="1">
                                                            <a:solidFill>
                                                              <a:schemeClr val="tx1"/>
                                                            </a:solidFill>
                                                            <a:effectLst/>
                                                            <a:latin typeface="Cambria Math"/>
                                                            <a:ea typeface="+mn-ea"/>
                                                            <a:cs typeface="+mn-cs"/>
                                                          </a:rPr>
                                                          <m:t>𝑒</m:t>
                                                        </m:r>
                                                      </m:e>
                                                      <m:sub>
                                                        <m:r>
                                                          <a:rPr lang="de-DE" sz="1100" b="0" i="1">
                                                            <a:solidFill>
                                                              <a:schemeClr val="tx1"/>
                                                            </a:solidFill>
                                                            <a:effectLst/>
                                                            <a:latin typeface="Cambria Math"/>
                                                            <a:ea typeface="+mn-ea"/>
                                                            <a:cs typeface="+mn-cs"/>
                                                          </a:rPr>
                                                          <m:t>𝐽</m:t>
                                                        </m:r>
                                                        <m:r>
                                                          <a:rPr lang="de-DE" sz="1100" b="0" i="1">
                                                            <a:solidFill>
                                                              <a:schemeClr val="tx1"/>
                                                            </a:solidFill>
                                                            <a:effectLst/>
                                                            <a:latin typeface="Cambria Math"/>
                                                            <a:ea typeface="+mn-ea"/>
                                                            <a:cs typeface="+mn-cs"/>
                                                          </a:rPr>
                                                          <m:t>,45</m:t>
                                                        </m:r>
                                                      </m:sub>
                                                    </m:sSub>
                                                  </m:num>
                                                  <m:den>
                                                    <m:sSub>
                                                      <m:sSubPr>
                                                        <m:ctrlPr>
                                                          <a:rPr lang="de-DE" sz="1100" b="0" i="1">
                                                            <a:solidFill>
                                                              <a:schemeClr val="tx1"/>
                                                            </a:solidFill>
                                                            <a:effectLst/>
                                                            <a:latin typeface="Cambria Math" panose="02040503050406030204" pitchFamily="18" charset="0"/>
                                                            <a:ea typeface="+mn-ea"/>
                                                            <a:cs typeface="+mn-cs"/>
                                                          </a:rPr>
                                                        </m:ctrlPr>
                                                      </m:sSubPr>
                                                      <m:e>
                                                        <m:r>
                                                          <a:rPr lang="de-DE" sz="1100" b="0" i="1">
                                                            <a:solidFill>
                                                              <a:schemeClr val="tx1"/>
                                                            </a:solidFill>
                                                            <a:effectLst/>
                                                            <a:latin typeface="Cambria Math"/>
                                                            <a:ea typeface="+mn-ea"/>
                                                            <a:cs typeface="+mn-cs"/>
                                                          </a:rPr>
                                                          <m:t>𝑎</m:t>
                                                        </m:r>
                                                      </m:e>
                                                      <m:sub>
                                                        <m:r>
                                                          <a:rPr lang="de-DE" sz="1100" b="0" i="1">
                                                            <a:solidFill>
                                                              <a:schemeClr val="tx1"/>
                                                            </a:solidFill>
                                                            <a:effectLst/>
                                                            <a:latin typeface="Cambria Math"/>
                                                            <a:ea typeface="+mn-ea"/>
                                                            <a:cs typeface="+mn-cs"/>
                                                          </a:rPr>
                                                          <m:t>2</m:t>
                                                        </m:r>
                                                      </m:sub>
                                                    </m:sSub>
                                                  </m:den>
                                                </m:f>
                                              </m:e>
                                            </m:d>
                                          </m:e>
                                          <m:sup>
                                            <m:r>
                                              <a:rPr lang="de-DE" sz="1100" b="0" i="1">
                                                <a:latin typeface="Cambria Math"/>
                                              </a:rPr>
                                              <m:t>2</m:t>
                                            </m:r>
                                          </m:sup>
                                        </m:sSup>
                                        <m:r>
                                          <a:rPr lang="de-DE" sz="1100" b="0" i="1">
                                            <a:latin typeface="Cambria Math"/>
                                          </a:rPr>
                                          <m:t>+</m:t>
                                        </m:r>
                                        <m:sSup>
                                          <m:sSupPr>
                                            <m:ctrlPr>
                                              <a:rPr lang="de-DE" sz="1100" b="0" i="1">
                                                <a:solidFill>
                                                  <a:schemeClr val="tx1"/>
                                                </a:solidFill>
                                                <a:effectLst/>
                                                <a:latin typeface="Cambria Math" panose="02040503050406030204" pitchFamily="18" charset="0"/>
                                                <a:ea typeface="+mn-ea"/>
                                                <a:cs typeface="+mn-cs"/>
                                              </a:rPr>
                                            </m:ctrlPr>
                                          </m:sSupPr>
                                          <m:e>
                                            <m:d>
                                              <m:dPr>
                                                <m:ctrlPr>
                                                  <a:rPr lang="de-DE" sz="1100" b="0" i="1">
                                                    <a:solidFill>
                                                      <a:schemeClr val="tx1"/>
                                                    </a:solidFill>
                                                    <a:effectLst/>
                                                    <a:latin typeface="Cambria Math" panose="02040503050406030204" pitchFamily="18" charset="0"/>
                                                    <a:ea typeface="+mn-ea"/>
                                                    <a:cs typeface="+mn-cs"/>
                                                  </a:rPr>
                                                </m:ctrlPr>
                                              </m:dPr>
                                              <m:e>
                                                <m:f>
                                                  <m:fPr>
                                                    <m:ctrlPr>
                                                      <a:rPr lang="de-DE" sz="1100" b="0" i="1">
                                                        <a:solidFill>
                                                          <a:schemeClr val="tx1"/>
                                                        </a:solidFill>
                                                        <a:effectLst/>
                                                        <a:latin typeface="Cambria Math" panose="02040503050406030204" pitchFamily="18" charset="0"/>
                                                        <a:ea typeface="+mn-ea"/>
                                                        <a:cs typeface="+mn-cs"/>
                                                      </a:rPr>
                                                    </m:ctrlPr>
                                                  </m:fPr>
                                                  <m:num>
                                                    <m:sSub>
                                                      <m:sSubPr>
                                                        <m:ctrlPr>
                                                          <a:rPr lang="de-DE" sz="1100" b="0" i="1">
                                                            <a:solidFill>
                                                              <a:schemeClr val="tx1"/>
                                                            </a:solidFill>
                                                            <a:effectLst/>
                                                            <a:latin typeface="Cambria Math" panose="02040503050406030204" pitchFamily="18" charset="0"/>
                                                            <a:ea typeface="+mn-ea"/>
                                                            <a:cs typeface="+mn-cs"/>
                                                          </a:rPr>
                                                        </m:ctrlPr>
                                                      </m:sSubPr>
                                                      <m:e>
                                                        <m:r>
                                                          <a:rPr lang="de-DE" sz="1100" b="0" i="1">
                                                            <a:latin typeface="Cambria Math"/>
                                                          </a:rPr>
                                                          <m:t>𝑒</m:t>
                                                        </m:r>
                                                      </m:e>
                                                      <m:sub>
                                                        <m:r>
                                                          <a:rPr lang="de-DE" sz="1100" b="0" i="1">
                                                            <a:latin typeface="Cambria Math"/>
                                                          </a:rPr>
                                                          <m:t>𝐽</m:t>
                                                        </m:r>
                                                        <m:r>
                                                          <a:rPr lang="de-DE" sz="1100" b="0" i="1">
                                                            <a:latin typeface="Cambria Math"/>
                                                          </a:rPr>
                                                          <m:t>,45</m:t>
                                                        </m:r>
                                                      </m:sub>
                                                    </m:sSub>
                                                  </m:num>
                                                  <m:den>
                                                    <m:sSub>
                                                      <m:sSubPr>
                                                        <m:ctrlPr>
                                                          <a:rPr lang="de-DE" sz="1100" b="0" i="1">
                                                            <a:latin typeface="Cambria Math" panose="02040503050406030204" pitchFamily="18" charset="0"/>
                                                          </a:rPr>
                                                        </m:ctrlPr>
                                                      </m:sSubPr>
                                                      <m:e>
                                                        <m:r>
                                                          <a:rPr lang="de-DE" sz="1100" b="0" i="1">
                                                            <a:latin typeface="Cambria Math"/>
                                                          </a:rPr>
                                                          <m:t>𝑎</m:t>
                                                        </m:r>
                                                      </m:e>
                                                      <m:sub>
                                                        <m:r>
                                                          <a:rPr lang="de-DE" sz="1100" b="0" i="1">
                                                            <a:latin typeface="Cambria Math"/>
                                                          </a:rPr>
                                                          <m:t>2</m:t>
                                                        </m:r>
                                                      </m:sub>
                                                    </m:sSub>
                                                  </m:den>
                                                </m:f>
                                              </m:e>
                                            </m:d>
                                          </m:e>
                                          <m:sup>
                                            <m:r>
                                              <a:rPr lang="de-DE" sz="1100" b="0" i="1">
                                                <a:latin typeface="Cambria Math"/>
                                              </a:rPr>
                                              <m:t>2</m:t>
                                            </m:r>
                                          </m:sup>
                                        </m:sSup>
                                      </m:e>
                                    </m:rad>
                                  </m:den>
                                </m:f>
                              </m:e>
                              <m:e>
                                <m:f>
                                  <m:fPr>
                                    <m:ctrlPr>
                                      <a:rPr lang="de-DE" sz="1100" b="0" i="1">
                                        <a:latin typeface="Cambria Math" panose="02040503050406030204" pitchFamily="18" charset="0"/>
                                      </a:rPr>
                                    </m:ctrlPr>
                                  </m:fPr>
                                  <m:num>
                                    <m:sSub>
                                      <m:sSubPr>
                                        <m:ctrlPr>
                                          <a:rPr lang="de-DE" sz="1100" b="0" i="1">
                                            <a:latin typeface="Cambria Math" panose="02040503050406030204" pitchFamily="18" charset="0"/>
                                          </a:rPr>
                                        </m:ctrlPr>
                                      </m:sSubPr>
                                      <m:e>
                                        <m:r>
                                          <a:rPr lang="de-DE" b="0" i="1">
                                            <a:latin typeface="Cambria Math"/>
                                          </a:rPr>
                                          <m:t>𝐹</m:t>
                                        </m:r>
                                      </m:e>
                                      <m:sub>
                                        <m:r>
                                          <a:rPr lang="de-DE" b="0" i="1">
                                            <a:latin typeface="Cambria Math"/>
                                          </a:rPr>
                                          <m:t>𝑣</m:t>
                                        </m:r>
                                        <m:r>
                                          <a:rPr lang="de-DE" b="0" i="1">
                                            <a:latin typeface="Cambria Math"/>
                                          </a:rPr>
                                          <m:t>,</m:t>
                                        </m:r>
                                        <m:r>
                                          <a:rPr lang="de-DE" b="0" i="1">
                                            <a:latin typeface="Cambria Math"/>
                                          </a:rPr>
                                          <m:t>𝐻</m:t>
                                        </m:r>
                                        <m:r>
                                          <a:rPr lang="de-DE" b="0" i="1">
                                            <a:latin typeface="Cambria Math"/>
                                          </a:rPr>
                                          <m:t>,</m:t>
                                        </m:r>
                                        <m:r>
                                          <a:rPr lang="de-DE" b="0" i="1">
                                            <a:latin typeface="Cambria Math"/>
                                          </a:rPr>
                                          <m:t>𝑅𝑑</m:t>
                                        </m:r>
                                      </m:sub>
                                    </m:sSub>
                                  </m:num>
                                  <m:den>
                                    <m:rad>
                                      <m:radPr>
                                        <m:degHide m:val="on"/>
                                        <m:ctrlPr>
                                          <a:rPr lang="de-DE" b="0" i="1">
                                            <a:latin typeface="Cambria Math" panose="02040503050406030204" pitchFamily="18" charset="0"/>
                                          </a:rPr>
                                        </m:ctrlPr>
                                      </m:radPr>
                                      <m:deg/>
                                      <m:e>
                                        <m:sSup>
                                          <m:sSupPr>
                                            <m:ctrlPr>
                                              <a:rPr lang="de-DE" sz="1100" b="0" i="1">
                                                <a:solidFill>
                                                  <a:schemeClr val="tx1"/>
                                                </a:solidFill>
                                                <a:effectLst/>
                                                <a:latin typeface="Cambria Math" panose="02040503050406030204" pitchFamily="18" charset="0"/>
                                                <a:ea typeface="+mn-ea"/>
                                                <a:cs typeface="+mn-cs"/>
                                              </a:rPr>
                                            </m:ctrlPr>
                                          </m:sSupPr>
                                          <m:e>
                                            <m:d>
                                              <m:dPr>
                                                <m:ctrlPr>
                                                  <a:rPr lang="de-DE" b="0" i="1">
                                                    <a:latin typeface="Cambria Math" panose="02040503050406030204" pitchFamily="18" charset="0"/>
                                                  </a:rPr>
                                                </m:ctrlPr>
                                              </m:dPr>
                                              <m:e>
                                                <m:f>
                                                  <m:fPr>
                                                    <m:ctrlPr>
                                                      <a:rPr lang="de-DE" sz="1100" b="0" i="1">
                                                        <a:solidFill>
                                                          <a:schemeClr val="tx1"/>
                                                        </a:solidFill>
                                                        <a:effectLst/>
                                                        <a:latin typeface="Cambria Math" panose="02040503050406030204" pitchFamily="18" charset="0"/>
                                                        <a:ea typeface="+mn-ea"/>
                                                        <a:cs typeface="+mn-cs"/>
                                                      </a:rPr>
                                                    </m:ctrlPr>
                                                  </m:fPr>
                                                  <m:num>
                                                    <m:r>
                                                      <a:rPr lang="de-DE" sz="1100" b="0" i="1">
                                                        <a:solidFill>
                                                          <a:schemeClr val="tx1"/>
                                                        </a:solidFill>
                                                        <a:effectLst/>
                                                        <a:latin typeface="Cambria Math"/>
                                                        <a:ea typeface="+mn-ea"/>
                                                        <a:cs typeface="+mn-cs"/>
                                                      </a:rPr>
                                                      <m:t>1</m:t>
                                                    </m:r>
                                                  </m:num>
                                                  <m:den>
                                                    <m:sSub>
                                                      <m:sSubPr>
                                                        <m:ctrlPr>
                                                          <a:rPr lang="de-DE" sz="1100" b="0" i="1">
                                                            <a:solidFill>
                                                              <a:schemeClr val="tx1"/>
                                                            </a:solidFill>
                                                            <a:effectLst/>
                                                            <a:latin typeface="Cambria Math" panose="02040503050406030204" pitchFamily="18" charset="0"/>
                                                            <a:ea typeface="+mn-ea"/>
                                                            <a:cs typeface="+mn-cs"/>
                                                          </a:rPr>
                                                        </m:ctrlPr>
                                                      </m:sSubPr>
                                                      <m:e>
                                                        <m:r>
                                                          <a:rPr lang="de-DE" sz="1100" b="0" i="1">
                                                            <a:solidFill>
                                                              <a:schemeClr val="tx1"/>
                                                            </a:solidFill>
                                                            <a:effectLst/>
                                                            <a:latin typeface="Cambria Math"/>
                                                            <a:ea typeface="+mn-ea"/>
                                                            <a:cs typeface="+mn-cs"/>
                                                          </a:rPr>
                                                          <m:t>𝑛</m:t>
                                                        </m:r>
                                                      </m:e>
                                                      <m:sub>
                                                        <m:r>
                                                          <a:rPr lang="de-DE" sz="1100" b="0" i="1">
                                                            <a:solidFill>
                                                              <a:schemeClr val="tx1"/>
                                                            </a:solidFill>
                                                            <a:effectLst/>
                                                            <a:latin typeface="Cambria Math"/>
                                                            <a:ea typeface="+mn-ea"/>
                                                            <a:cs typeface="+mn-cs"/>
                                                          </a:rPr>
                                                          <m:t>45</m:t>
                                                        </m:r>
                                                      </m:sub>
                                                    </m:sSub>
                                                  </m:den>
                                                </m:f>
                                                <m:r>
                                                  <a:rPr lang="de-DE" sz="1100" b="0" i="1">
                                                    <a:solidFill>
                                                      <a:schemeClr val="tx1"/>
                                                    </a:solidFill>
                                                    <a:effectLst/>
                                                    <a:latin typeface="Cambria Math"/>
                                                    <a:ea typeface="+mn-ea"/>
                                                    <a:cs typeface="+mn-cs"/>
                                                  </a:rPr>
                                                  <m:t>+</m:t>
                                                </m:r>
                                                <m:f>
                                                  <m:fPr>
                                                    <m:ctrlPr>
                                                      <a:rPr lang="de-DE" sz="1100" b="0" i="1">
                                                        <a:solidFill>
                                                          <a:schemeClr val="tx1"/>
                                                        </a:solidFill>
                                                        <a:effectLst/>
                                                        <a:latin typeface="Cambria Math" panose="02040503050406030204" pitchFamily="18" charset="0"/>
                                                        <a:ea typeface="+mn-ea"/>
                                                        <a:cs typeface="+mn-cs"/>
                                                      </a:rPr>
                                                    </m:ctrlPr>
                                                  </m:fPr>
                                                  <m:num>
                                                    <m:sSub>
                                                      <m:sSubPr>
                                                        <m:ctrlPr>
                                                          <a:rPr lang="de-DE" sz="1100" b="0" i="1">
                                                            <a:solidFill>
                                                              <a:schemeClr val="tx1"/>
                                                            </a:solidFill>
                                                            <a:effectLst/>
                                                            <a:latin typeface="Cambria Math" panose="02040503050406030204" pitchFamily="18" charset="0"/>
                                                            <a:ea typeface="+mn-ea"/>
                                                            <a:cs typeface="+mn-cs"/>
                                                          </a:rPr>
                                                        </m:ctrlPr>
                                                      </m:sSubPr>
                                                      <m:e>
                                                        <m:r>
                                                          <a:rPr lang="de-DE" sz="1100" b="0" i="1">
                                                            <a:solidFill>
                                                              <a:schemeClr val="tx1"/>
                                                            </a:solidFill>
                                                            <a:effectLst/>
                                                            <a:latin typeface="Cambria Math"/>
                                                            <a:ea typeface="+mn-ea"/>
                                                            <a:cs typeface="+mn-cs"/>
                                                          </a:rPr>
                                                          <m:t>𝑒</m:t>
                                                        </m:r>
                                                      </m:e>
                                                      <m:sub>
                                                        <m:r>
                                                          <a:rPr lang="de-DE" sz="1100" b="0" i="1">
                                                            <a:solidFill>
                                                              <a:schemeClr val="tx1"/>
                                                            </a:solidFill>
                                                            <a:effectLst/>
                                                            <a:latin typeface="Cambria Math"/>
                                                            <a:ea typeface="+mn-ea"/>
                                                            <a:cs typeface="+mn-cs"/>
                                                          </a:rPr>
                                                          <m:t>𝐻</m:t>
                                                        </m:r>
                                                        <m:r>
                                                          <a:rPr lang="de-DE" sz="1100" b="0" i="1">
                                                            <a:solidFill>
                                                              <a:schemeClr val="tx1"/>
                                                            </a:solidFill>
                                                            <a:effectLst/>
                                                            <a:latin typeface="Cambria Math"/>
                                                            <a:ea typeface="+mn-ea"/>
                                                            <a:cs typeface="+mn-cs"/>
                                                          </a:rPr>
                                                          <m:t>,45</m:t>
                                                        </m:r>
                                                      </m:sub>
                                                    </m:sSub>
                                                  </m:num>
                                                  <m:den>
                                                    <m:sSub>
                                                      <m:sSubPr>
                                                        <m:ctrlPr>
                                                          <a:rPr lang="de-DE" sz="1100" b="0" i="1">
                                                            <a:solidFill>
                                                              <a:schemeClr val="tx1"/>
                                                            </a:solidFill>
                                                            <a:effectLst/>
                                                            <a:latin typeface="Cambria Math" panose="02040503050406030204" pitchFamily="18" charset="0"/>
                                                            <a:ea typeface="+mn-ea"/>
                                                            <a:cs typeface="+mn-cs"/>
                                                          </a:rPr>
                                                        </m:ctrlPr>
                                                      </m:sSubPr>
                                                      <m:e>
                                                        <m:r>
                                                          <a:rPr lang="de-DE" sz="1100" b="0" i="1">
                                                            <a:solidFill>
                                                              <a:schemeClr val="tx1"/>
                                                            </a:solidFill>
                                                            <a:effectLst/>
                                                            <a:latin typeface="Cambria Math"/>
                                                            <a:ea typeface="+mn-ea"/>
                                                            <a:cs typeface="+mn-cs"/>
                                                          </a:rPr>
                                                          <m:t>𝑎</m:t>
                                                        </m:r>
                                                      </m:e>
                                                      <m:sub>
                                                        <m:r>
                                                          <a:rPr lang="de-DE" sz="1100" b="0" i="1">
                                                            <a:solidFill>
                                                              <a:schemeClr val="tx1"/>
                                                            </a:solidFill>
                                                            <a:effectLst/>
                                                            <a:latin typeface="Cambria Math"/>
                                                            <a:ea typeface="+mn-ea"/>
                                                            <a:cs typeface="+mn-cs"/>
                                                          </a:rPr>
                                                          <m:t>2</m:t>
                                                        </m:r>
                                                      </m:sub>
                                                    </m:sSub>
                                                  </m:den>
                                                </m:f>
                                              </m:e>
                                            </m:d>
                                          </m:e>
                                          <m:sup>
                                            <m:r>
                                              <a:rPr lang="de-DE" b="0" i="1">
                                                <a:latin typeface="Cambria Math"/>
                                              </a:rPr>
                                              <m:t>2</m:t>
                                            </m:r>
                                          </m:sup>
                                        </m:sSup>
                                        <m:r>
                                          <a:rPr lang="de-DE" b="0" i="1">
                                            <a:latin typeface="Cambria Math"/>
                                          </a:rPr>
                                          <m:t>+</m:t>
                                        </m:r>
                                        <m:sSup>
                                          <m:sSupPr>
                                            <m:ctrlPr>
                                              <a:rPr lang="de-DE" sz="1100" b="0" i="1">
                                                <a:solidFill>
                                                  <a:schemeClr val="tx1"/>
                                                </a:solidFill>
                                                <a:effectLst/>
                                                <a:latin typeface="Cambria Math" panose="02040503050406030204" pitchFamily="18" charset="0"/>
                                                <a:ea typeface="+mn-ea"/>
                                                <a:cs typeface="+mn-cs"/>
                                              </a:rPr>
                                            </m:ctrlPr>
                                          </m:sSupPr>
                                          <m:e>
                                            <m:d>
                                              <m:dPr>
                                                <m:ctrlPr>
                                                  <a:rPr lang="de-DE" sz="1100" b="0" i="1">
                                                    <a:solidFill>
                                                      <a:schemeClr val="tx1"/>
                                                    </a:solidFill>
                                                    <a:effectLst/>
                                                    <a:latin typeface="Cambria Math" panose="02040503050406030204" pitchFamily="18" charset="0"/>
                                                    <a:ea typeface="+mn-ea"/>
                                                    <a:cs typeface="+mn-cs"/>
                                                  </a:rPr>
                                                </m:ctrlPr>
                                              </m:dPr>
                                              <m:e>
                                                <m:f>
                                                  <m:fPr>
                                                    <m:ctrlPr>
                                                      <a:rPr lang="de-DE" sz="1100" b="0" i="1">
                                                        <a:solidFill>
                                                          <a:schemeClr val="tx1"/>
                                                        </a:solidFill>
                                                        <a:effectLst/>
                                                        <a:latin typeface="Cambria Math" panose="02040503050406030204" pitchFamily="18" charset="0"/>
                                                        <a:ea typeface="+mn-ea"/>
                                                        <a:cs typeface="+mn-cs"/>
                                                      </a:rPr>
                                                    </m:ctrlPr>
                                                  </m:fPr>
                                                  <m:num>
                                                    <m:sSub>
                                                      <m:sSubPr>
                                                        <m:ctrlPr>
                                                          <a:rPr lang="de-DE" sz="1100" b="0" i="1">
                                                            <a:solidFill>
                                                              <a:schemeClr val="tx1"/>
                                                            </a:solidFill>
                                                            <a:effectLst/>
                                                            <a:latin typeface="Cambria Math" panose="02040503050406030204" pitchFamily="18" charset="0"/>
                                                            <a:ea typeface="+mn-ea"/>
                                                            <a:cs typeface="+mn-cs"/>
                                                          </a:rPr>
                                                        </m:ctrlPr>
                                                      </m:sSubPr>
                                                      <m:e>
                                                        <m:r>
                                                          <a:rPr lang="de-DE" b="0" i="1">
                                                            <a:latin typeface="Cambria Math"/>
                                                          </a:rPr>
                                                          <m:t>𝑒</m:t>
                                                        </m:r>
                                                      </m:e>
                                                      <m:sub>
                                                        <m:r>
                                                          <a:rPr lang="de-DE" b="0" i="1">
                                                            <a:latin typeface="Cambria Math"/>
                                                          </a:rPr>
                                                          <m:t>𝐻</m:t>
                                                        </m:r>
                                                        <m:r>
                                                          <a:rPr lang="de-DE" b="0" i="1">
                                                            <a:latin typeface="Cambria Math"/>
                                                          </a:rPr>
                                                          <m:t>,45</m:t>
                                                        </m:r>
                                                      </m:sub>
                                                    </m:sSub>
                                                  </m:num>
                                                  <m:den>
                                                    <m:sSub>
                                                      <m:sSubPr>
                                                        <m:ctrlPr>
                                                          <a:rPr lang="de-DE" b="0" i="1">
                                                            <a:latin typeface="Cambria Math" panose="02040503050406030204" pitchFamily="18" charset="0"/>
                                                          </a:rPr>
                                                        </m:ctrlPr>
                                                      </m:sSubPr>
                                                      <m:e>
                                                        <m:r>
                                                          <a:rPr lang="de-DE" b="0" i="1">
                                                            <a:latin typeface="Cambria Math"/>
                                                          </a:rPr>
                                                          <m:t>𝑎</m:t>
                                                        </m:r>
                                                      </m:e>
                                                      <m:sub>
                                                        <m:r>
                                                          <a:rPr lang="de-DE" b="0" i="1">
                                                            <a:latin typeface="Cambria Math"/>
                                                          </a:rPr>
                                                          <m:t>2</m:t>
                                                        </m:r>
                                                      </m:sub>
                                                    </m:sSub>
                                                  </m:den>
                                                </m:f>
                                              </m:e>
                                            </m:d>
                                          </m:e>
                                          <m:sup>
                                            <m:r>
                                              <a:rPr lang="de-DE" b="0" i="1">
                                                <a:latin typeface="Cambria Math"/>
                                              </a:rPr>
                                              <m:t>2</m:t>
                                            </m:r>
                                          </m:sup>
                                        </m:sSup>
                                        <m:r>
                                          <a:rPr lang="de-DE" b="0" i="1">
                                            <a:latin typeface="Cambria Math"/>
                                          </a:rPr>
                                          <m:t>+</m:t>
                                        </m:r>
                                        <m:sSup>
                                          <m:sSupPr>
                                            <m:ctrlPr>
                                              <a:rPr lang="de-DE" b="0" i="1">
                                                <a:latin typeface="Cambria Math" panose="02040503050406030204" pitchFamily="18" charset="0"/>
                                                <a:ea typeface="Cambria Math"/>
                                              </a:rPr>
                                            </m:ctrlPr>
                                          </m:sSupPr>
                                          <m:e>
                                            <m:d>
                                              <m:dPr>
                                                <m:ctrlPr>
                                                  <a:rPr lang="de-DE" b="0" i="1">
                                                    <a:latin typeface="Cambria Math" panose="02040503050406030204" pitchFamily="18" charset="0"/>
                                                  </a:rPr>
                                                </m:ctrlPr>
                                              </m:dPr>
                                              <m:e>
                                                <m:f>
                                                  <m:fPr>
                                                    <m:ctrlPr>
                                                      <a:rPr lang="de-DE" b="0" i="1">
                                                        <a:latin typeface="Cambria Math" panose="02040503050406030204" pitchFamily="18" charset="0"/>
                                                      </a:rPr>
                                                    </m:ctrlPr>
                                                  </m:fPr>
                                                  <m:num>
                                                    <m:sSub>
                                                      <m:sSubPr>
                                                        <m:ctrlPr>
                                                          <a:rPr lang="de-DE" b="0" i="1">
                                                            <a:latin typeface="Cambria Math" panose="02040503050406030204" pitchFamily="18" charset="0"/>
                                                          </a:rPr>
                                                        </m:ctrlPr>
                                                      </m:sSubPr>
                                                      <m:e>
                                                        <m:r>
                                                          <a:rPr lang="de-DE" b="0" i="1">
                                                            <a:latin typeface="Cambria Math"/>
                                                          </a:rPr>
                                                          <m:t>𝐹</m:t>
                                                        </m:r>
                                                      </m:e>
                                                      <m:sub>
                                                        <m:r>
                                                          <a:rPr lang="de-DE" b="0" i="1">
                                                            <a:latin typeface="Cambria Math"/>
                                                          </a:rPr>
                                                          <m:t>𝑉</m:t>
                                                        </m:r>
                                                        <m:r>
                                                          <a:rPr lang="de-DE" b="0" i="1">
                                                            <a:latin typeface="Cambria Math"/>
                                                          </a:rPr>
                                                          <m:t>,</m:t>
                                                        </m:r>
                                                        <m:r>
                                                          <a:rPr lang="de-DE" b="0" i="1">
                                                            <a:latin typeface="Cambria Math"/>
                                                          </a:rPr>
                                                          <m:t>𝐻</m:t>
                                                        </m:r>
                                                        <m:r>
                                                          <a:rPr lang="de-DE" b="0" i="1">
                                                            <a:latin typeface="Cambria Math"/>
                                                          </a:rPr>
                                                          <m:t>,</m:t>
                                                        </m:r>
                                                        <m:r>
                                                          <a:rPr lang="de-DE" b="0" i="1">
                                                            <a:latin typeface="Cambria Math"/>
                                                          </a:rPr>
                                                          <m:t>𝑅𝑑</m:t>
                                                        </m:r>
                                                      </m:sub>
                                                    </m:sSub>
                                                  </m:num>
                                                  <m:den>
                                                    <m:sSub>
                                                      <m:sSubPr>
                                                        <m:ctrlPr>
                                                          <a:rPr lang="de-DE" b="0" i="1">
                                                            <a:latin typeface="Cambria Math" panose="02040503050406030204" pitchFamily="18" charset="0"/>
                                                          </a:rPr>
                                                        </m:ctrlPr>
                                                      </m:sSubPr>
                                                      <m:e>
                                                        <m:r>
                                                          <a:rPr lang="de-DE" b="0" i="1">
                                                            <a:latin typeface="Cambria Math"/>
                                                          </a:rPr>
                                                          <m:t>𝑘</m:t>
                                                        </m:r>
                                                      </m:e>
                                                      <m:sub>
                                                        <m:r>
                                                          <a:rPr lang="de-DE" b="0" i="1">
                                                            <a:latin typeface="Cambria Math"/>
                                                          </a:rPr>
                                                          <m:t>h</m:t>
                                                        </m:r>
                                                        <m:r>
                                                          <a:rPr lang="de-DE" b="0" i="1">
                                                            <a:latin typeface="Cambria Math"/>
                                                          </a:rPr>
                                                          <m:t>,45</m:t>
                                                        </m:r>
                                                      </m:sub>
                                                    </m:sSub>
                                                    <m:r>
                                                      <a:rPr lang="de-DE" b="0" i="1">
                                                        <a:latin typeface="Cambria Math"/>
                                                        <a:ea typeface="Cambria Math"/>
                                                      </a:rPr>
                                                      <m:t>∙</m:t>
                                                    </m:r>
                                                    <m:sSub>
                                                      <m:sSubPr>
                                                        <m:ctrlPr>
                                                          <a:rPr lang="de-DE" b="0" i="1">
                                                            <a:latin typeface="Cambria Math" panose="02040503050406030204" pitchFamily="18" charset="0"/>
                                                            <a:ea typeface="Cambria Math"/>
                                                          </a:rPr>
                                                        </m:ctrlPr>
                                                      </m:sSubPr>
                                                      <m:e>
                                                        <m:r>
                                                          <a:rPr lang="de-DE" b="0" i="1">
                                                            <a:latin typeface="Cambria Math"/>
                                                            <a:ea typeface="Cambria Math"/>
                                                          </a:rPr>
                                                          <m:t>𝐹</m:t>
                                                        </m:r>
                                                      </m:e>
                                                      <m:sub>
                                                        <m:r>
                                                          <a:rPr lang="de-DE" b="0" i="1">
                                                            <a:latin typeface="Cambria Math"/>
                                                            <a:ea typeface="Cambria Math"/>
                                                          </a:rPr>
                                                          <m:t>𝑎𝑥</m:t>
                                                        </m:r>
                                                        <m:r>
                                                          <a:rPr lang="de-DE" b="0" i="1">
                                                            <a:latin typeface="Cambria Math"/>
                                                            <a:ea typeface="Cambria Math"/>
                                                          </a:rPr>
                                                          <m:t>,</m:t>
                                                        </m:r>
                                                        <m:r>
                                                          <a:rPr lang="de-DE" b="0" i="1">
                                                            <a:latin typeface="Cambria Math"/>
                                                            <a:ea typeface="Cambria Math"/>
                                                          </a:rPr>
                                                          <m:t>𝐻</m:t>
                                                        </m:r>
                                                        <m:r>
                                                          <a:rPr lang="de-DE" b="0" i="1">
                                                            <a:latin typeface="Cambria Math"/>
                                                            <a:ea typeface="Cambria Math"/>
                                                          </a:rPr>
                                                          <m:t>,</m:t>
                                                        </m:r>
                                                        <m:r>
                                                          <a:rPr lang="de-DE" b="0" i="1">
                                                            <a:latin typeface="Cambria Math"/>
                                                            <a:ea typeface="Cambria Math"/>
                                                          </a:rPr>
                                                          <m:t>𝑅𝑑</m:t>
                                                        </m:r>
                                                      </m:sub>
                                                    </m:sSub>
                                                  </m:den>
                                                </m:f>
                                              </m:e>
                                            </m:d>
                                          </m:e>
                                          <m:sup>
                                            <m:r>
                                              <a:rPr lang="de-DE" b="0" i="1">
                                                <a:latin typeface="Cambria Math"/>
                                              </a:rPr>
                                              <m:t>2</m:t>
                                            </m:r>
                                          </m:sup>
                                        </m:sSup>
                                      </m:e>
                                    </m:rad>
                                  </m:den>
                                </m:f>
                              </m:e>
                              <m:e>
                                <m:sSub>
                                  <m:sSubPr>
                                    <m:ctrlPr>
                                      <a:rPr lang="de-DE" b="0" i="1">
                                        <a:latin typeface="Cambria Math" panose="02040503050406030204" pitchFamily="18" charset="0"/>
                                        <a:ea typeface="Cambria Math"/>
                                      </a:rPr>
                                    </m:ctrlPr>
                                  </m:sSubPr>
                                  <m:e>
                                    <m:r>
                                      <a:rPr lang="de-DE" b="0" i="1">
                                        <a:latin typeface="Cambria Math"/>
                                      </a:rPr>
                                      <m:t>𝐹</m:t>
                                    </m:r>
                                  </m:e>
                                  <m:sub>
                                    <m:r>
                                      <a:rPr lang="de-DE" b="0" i="1">
                                        <a:latin typeface="Cambria Math"/>
                                      </a:rPr>
                                      <m:t>45,</m:t>
                                    </m:r>
                                    <m:r>
                                      <a:rPr lang="de-DE" b="0" i="1">
                                        <a:latin typeface="Cambria Math"/>
                                      </a:rPr>
                                      <m:t>𝐾𝐶𝐶</m:t>
                                    </m:r>
                                    <m:r>
                                      <a:rPr lang="de-DE" b="0" i="1">
                                        <a:latin typeface="Cambria Math"/>
                                      </a:rPr>
                                      <m:t>,</m:t>
                                    </m:r>
                                    <m:r>
                                      <a:rPr lang="de-DE" b="0" i="1">
                                        <a:latin typeface="Cambria Math"/>
                                      </a:rPr>
                                      <m:t>𝑅𝑑</m:t>
                                    </m:r>
                                  </m:sub>
                                </m:sSub>
                              </m:e>
                            </m:eqArr>
                          </m:e>
                        </m:d>
                      </m:e>
                    </m:func>
                  </m:oMath>
                </m:oMathPara>
              </a14:m>
              <a:endParaRPr lang="de-DE" sz="1100"/>
            </a:p>
          </xdr:txBody>
        </xdr:sp>
      </mc:Choice>
      <mc:Fallback xmlns="">
        <xdr:sp macro="" textlink="">
          <xdr:nvSpPr>
            <xdr:cNvPr id="15" name="Textfeld 14"/>
            <xdr:cNvSpPr txBox="1"/>
          </xdr:nvSpPr>
          <xdr:spPr>
            <a:xfrm>
              <a:off x="5476875" y="25146000"/>
              <a:ext cx="4341350" cy="1832897"/>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r>
                <a:rPr lang="de-DE" sz="1100" b="0" i="0">
                  <a:latin typeface="Cambria Math"/>
                </a:rPr>
                <a:t>𝐹_(45,𝑅𝑑)</a:t>
              </a:r>
              <a:r>
                <a:rPr lang="de-DE" sz="1100" i="0">
                  <a:latin typeface="Cambria Math"/>
                </a:rPr>
                <a:t>=</a:t>
              </a:r>
              <a:r>
                <a:rPr lang="de-DE" sz="1100" b="0" i="0">
                  <a:latin typeface="Cambria Math"/>
                </a:rPr>
                <a:t>min⁡{█(𝐹_(𝑣,𝐽,𝑅𝑑)/√((</a:t>
              </a:r>
              <a:r>
                <a:rPr lang="de-DE" sz="1100" b="0" i="0">
                  <a:solidFill>
                    <a:schemeClr val="tx1"/>
                  </a:solidFill>
                  <a:effectLst/>
                  <a:latin typeface="+mn-lt"/>
                  <a:ea typeface="+mn-ea"/>
                  <a:cs typeface="+mn-cs"/>
                </a:rPr>
                <a:t>1</a:t>
              </a:r>
              <a:r>
                <a:rPr lang="de-DE" sz="1100" b="0" i="0">
                  <a:solidFill>
                    <a:schemeClr val="tx1"/>
                  </a:solidFill>
                  <a:effectLst/>
                  <a:latin typeface="Cambria Math"/>
                  <a:ea typeface="+mn-ea"/>
                  <a:cs typeface="+mn-cs"/>
                </a:rPr>
                <a:t>/</a:t>
              </a:r>
              <a:r>
                <a:rPr lang="de-DE" sz="1100" b="0" i="0">
                  <a:solidFill>
                    <a:schemeClr val="tx1"/>
                  </a:solidFill>
                  <a:effectLst/>
                  <a:latin typeface="+mn-lt"/>
                  <a:ea typeface="+mn-ea"/>
                  <a:cs typeface="+mn-cs"/>
                </a:rPr>
                <a:t>𝑛</a:t>
              </a:r>
              <a:r>
                <a:rPr lang="de-DE" sz="1100" b="0" i="0">
                  <a:solidFill>
                    <a:schemeClr val="tx1"/>
                  </a:solidFill>
                  <a:effectLst/>
                  <a:latin typeface="Cambria Math"/>
                  <a:ea typeface="+mn-ea"/>
                  <a:cs typeface="+mn-cs"/>
                </a:rPr>
                <a:t>_</a:t>
              </a:r>
              <a:r>
                <a:rPr lang="de-DE" sz="1100" b="0" i="0">
                  <a:solidFill>
                    <a:schemeClr val="tx1"/>
                  </a:solidFill>
                  <a:effectLst/>
                  <a:latin typeface="+mn-lt"/>
                  <a:ea typeface="+mn-ea"/>
                  <a:cs typeface="+mn-cs"/>
                </a:rPr>
                <a:t>45</a:t>
              </a:r>
              <a:r>
                <a:rPr lang="de-DE" sz="1100" b="0" i="0">
                  <a:solidFill>
                    <a:schemeClr val="tx1"/>
                  </a:solidFill>
                  <a:effectLst/>
                  <a:latin typeface="Cambria Math"/>
                  <a:ea typeface="+mn-ea"/>
                  <a:cs typeface="+mn-cs"/>
                </a:rPr>
                <a:t> </a:t>
              </a:r>
              <a:r>
                <a:rPr lang="de-DE" sz="1100" b="0" i="0">
                  <a:solidFill>
                    <a:schemeClr val="tx1"/>
                  </a:solidFill>
                  <a:effectLst/>
                  <a:latin typeface="+mn-lt"/>
                  <a:ea typeface="+mn-ea"/>
                  <a:cs typeface="+mn-cs"/>
                </a:rPr>
                <a:t>+𝑒</a:t>
              </a:r>
              <a:r>
                <a:rPr lang="de-DE" sz="1100" b="0" i="0">
                  <a:solidFill>
                    <a:schemeClr val="tx1"/>
                  </a:solidFill>
                  <a:effectLst/>
                  <a:latin typeface="Cambria Math"/>
                  <a:ea typeface="+mn-ea"/>
                  <a:cs typeface="+mn-cs"/>
                </a:rPr>
                <a:t>_(</a:t>
              </a:r>
              <a:r>
                <a:rPr lang="de-DE" sz="1100" b="0" i="0">
                  <a:solidFill>
                    <a:schemeClr val="tx1"/>
                  </a:solidFill>
                  <a:effectLst/>
                  <a:latin typeface="+mn-lt"/>
                  <a:ea typeface="+mn-ea"/>
                  <a:cs typeface="+mn-cs"/>
                </a:rPr>
                <a:t>𝐽,45</a:t>
              </a:r>
              <a:r>
                <a:rPr lang="de-DE" sz="1100" b="0" i="0">
                  <a:solidFill>
                    <a:schemeClr val="tx1"/>
                  </a:solidFill>
                  <a:effectLst/>
                  <a:latin typeface="Cambria Math"/>
                  <a:ea typeface="+mn-ea"/>
                  <a:cs typeface="+mn-cs"/>
                </a:rPr>
                <a:t>)/</a:t>
              </a:r>
              <a:r>
                <a:rPr lang="de-DE" sz="1100" b="0" i="0">
                  <a:solidFill>
                    <a:schemeClr val="tx1"/>
                  </a:solidFill>
                  <a:effectLst/>
                  <a:latin typeface="+mn-lt"/>
                  <a:ea typeface="+mn-ea"/>
                  <a:cs typeface="+mn-cs"/>
                </a:rPr>
                <a:t>𝑎</a:t>
              </a:r>
              <a:r>
                <a:rPr lang="de-DE" sz="1100" b="0" i="0">
                  <a:solidFill>
                    <a:schemeClr val="tx1"/>
                  </a:solidFill>
                  <a:effectLst/>
                  <a:latin typeface="Cambria Math"/>
                  <a:ea typeface="+mn-ea"/>
                  <a:cs typeface="+mn-cs"/>
                </a:rPr>
                <a:t>_</a:t>
              </a:r>
              <a:r>
                <a:rPr lang="de-DE" sz="1100" b="0" i="0">
                  <a:solidFill>
                    <a:schemeClr val="tx1"/>
                  </a:solidFill>
                  <a:effectLst/>
                  <a:latin typeface="+mn-lt"/>
                  <a:ea typeface="+mn-ea"/>
                  <a:cs typeface="+mn-cs"/>
                </a:rPr>
                <a:t>2</a:t>
              </a:r>
              <a:r>
                <a:rPr lang="de-DE" sz="1100" b="0" i="0">
                  <a:solidFill>
                    <a:schemeClr val="tx1"/>
                  </a:solidFill>
                  <a:effectLst/>
                  <a:latin typeface="Cambria Math"/>
                  <a:ea typeface="+mn-ea"/>
                  <a:cs typeface="+mn-cs"/>
                </a:rPr>
                <a:t> )^</a:t>
              </a:r>
              <a:r>
                <a:rPr lang="de-DE" sz="1100" b="0" i="0">
                  <a:latin typeface="Cambria Math"/>
                </a:rPr>
                <a:t>2+</a:t>
              </a:r>
              <a:r>
                <a:rPr lang="de-DE" sz="1100" b="0" i="0">
                  <a:solidFill>
                    <a:schemeClr val="tx1"/>
                  </a:solidFill>
                  <a:effectLst/>
                  <a:latin typeface="Cambria Math"/>
                  <a:ea typeface="+mn-ea"/>
                  <a:cs typeface="+mn-cs"/>
                </a:rPr>
                <a:t>(</a:t>
              </a:r>
              <a:r>
                <a:rPr lang="de-DE" sz="1100" b="0" i="0">
                  <a:latin typeface="Cambria Math"/>
                </a:rPr>
                <a:t>𝑒</a:t>
              </a:r>
              <a:r>
                <a:rPr lang="de-DE" sz="1100" b="0" i="0">
                  <a:solidFill>
                    <a:schemeClr val="tx1"/>
                  </a:solidFill>
                  <a:effectLst/>
                  <a:latin typeface="Cambria Math"/>
                  <a:ea typeface="+mn-ea"/>
                  <a:cs typeface="+mn-cs"/>
                </a:rPr>
                <a:t>_(</a:t>
              </a:r>
              <a:r>
                <a:rPr lang="de-DE" sz="1100" b="0" i="0">
                  <a:latin typeface="Cambria Math"/>
                </a:rPr>
                <a:t>𝐽,45</a:t>
              </a:r>
              <a:r>
                <a:rPr lang="de-DE" sz="1100" b="0" i="0">
                  <a:solidFill>
                    <a:schemeClr val="tx1"/>
                  </a:solidFill>
                  <a:effectLst/>
                  <a:latin typeface="Cambria Math"/>
                  <a:ea typeface="+mn-ea"/>
                  <a:cs typeface="+mn-cs"/>
                </a:rPr>
                <a:t>)/</a:t>
              </a:r>
              <a:r>
                <a:rPr lang="de-DE" sz="1100" b="0" i="0">
                  <a:latin typeface="Cambria Math"/>
                </a:rPr>
                <a:t>𝑎_2 )</a:t>
              </a:r>
              <a:r>
                <a:rPr lang="de-DE" sz="1100" b="0" i="0">
                  <a:solidFill>
                    <a:schemeClr val="tx1"/>
                  </a:solidFill>
                  <a:effectLst/>
                  <a:latin typeface="Cambria Math"/>
                  <a:ea typeface="+mn-ea"/>
                  <a:cs typeface="+mn-cs"/>
                </a:rPr>
                <a:t>^</a:t>
              </a:r>
              <a:r>
                <a:rPr lang="de-DE" sz="1100" b="0" i="0">
                  <a:latin typeface="Cambria Math"/>
                </a:rPr>
                <a:t>2 )@</a:t>
              </a:r>
              <a:r>
                <a:rPr lang="de-DE" b="0" i="0">
                  <a:latin typeface="Cambria Math"/>
                </a:rPr>
                <a:t>𝐹</a:t>
              </a:r>
              <a:r>
                <a:rPr lang="de-DE" sz="1100" b="0" i="0">
                  <a:latin typeface="Cambria Math"/>
                </a:rPr>
                <a:t>_(</a:t>
              </a:r>
              <a:r>
                <a:rPr lang="de-DE" b="0" i="0">
                  <a:latin typeface="Cambria Math"/>
                </a:rPr>
                <a:t>𝑣,𝐻,𝑅𝑑</a:t>
              </a:r>
              <a:r>
                <a:rPr lang="de-DE" sz="1100" b="0" i="0">
                  <a:latin typeface="Cambria Math"/>
                </a:rPr>
                <a:t>)/√((</a:t>
              </a:r>
              <a:r>
                <a:rPr lang="de-DE" sz="1100" b="0" i="0">
                  <a:solidFill>
                    <a:schemeClr val="tx1"/>
                  </a:solidFill>
                  <a:effectLst/>
                  <a:latin typeface="+mn-lt"/>
                  <a:ea typeface="+mn-ea"/>
                  <a:cs typeface="+mn-cs"/>
                </a:rPr>
                <a:t>1</a:t>
              </a:r>
              <a:r>
                <a:rPr lang="de-DE" sz="1100" b="0" i="0">
                  <a:solidFill>
                    <a:schemeClr val="tx1"/>
                  </a:solidFill>
                  <a:effectLst/>
                  <a:latin typeface="Cambria Math"/>
                  <a:ea typeface="+mn-ea"/>
                  <a:cs typeface="+mn-cs"/>
                </a:rPr>
                <a:t>/</a:t>
              </a:r>
              <a:r>
                <a:rPr lang="de-DE" sz="1100" b="0" i="0">
                  <a:solidFill>
                    <a:schemeClr val="tx1"/>
                  </a:solidFill>
                  <a:effectLst/>
                  <a:latin typeface="+mn-lt"/>
                  <a:ea typeface="+mn-ea"/>
                  <a:cs typeface="+mn-cs"/>
                </a:rPr>
                <a:t>𝑛</a:t>
              </a:r>
              <a:r>
                <a:rPr lang="de-DE" sz="1100" b="0" i="0">
                  <a:solidFill>
                    <a:schemeClr val="tx1"/>
                  </a:solidFill>
                  <a:effectLst/>
                  <a:latin typeface="Cambria Math"/>
                  <a:ea typeface="+mn-ea"/>
                  <a:cs typeface="+mn-cs"/>
                </a:rPr>
                <a:t>_</a:t>
              </a:r>
              <a:r>
                <a:rPr lang="de-DE" sz="1100" b="0" i="0">
                  <a:solidFill>
                    <a:schemeClr val="tx1"/>
                  </a:solidFill>
                  <a:effectLst/>
                  <a:latin typeface="+mn-lt"/>
                  <a:ea typeface="+mn-ea"/>
                  <a:cs typeface="+mn-cs"/>
                </a:rPr>
                <a:t>45</a:t>
              </a:r>
              <a:r>
                <a:rPr lang="de-DE" sz="1100" b="0" i="0">
                  <a:solidFill>
                    <a:schemeClr val="tx1"/>
                  </a:solidFill>
                  <a:effectLst/>
                  <a:latin typeface="Cambria Math"/>
                  <a:ea typeface="+mn-ea"/>
                  <a:cs typeface="+mn-cs"/>
                </a:rPr>
                <a:t> </a:t>
              </a:r>
              <a:r>
                <a:rPr lang="de-DE" sz="1100" b="0" i="0">
                  <a:solidFill>
                    <a:schemeClr val="tx1"/>
                  </a:solidFill>
                  <a:effectLst/>
                  <a:latin typeface="+mn-lt"/>
                  <a:ea typeface="+mn-ea"/>
                  <a:cs typeface="+mn-cs"/>
                </a:rPr>
                <a:t>+𝑒</a:t>
              </a:r>
              <a:r>
                <a:rPr lang="de-DE" sz="1100" b="0" i="0">
                  <a:solidFill>
                    <a:schemeClr val="tx1"/>
                  </a:solidFill>
                  <a:effectLst/>
                  <a:latin typeface="Cambria Math"/>
                  <a:ea typeface="+mn-ea"/>
                  <a:cs typeface="+mn-cs"/>
                </a:rPr>
                <a:t>_(𝐻</a:t>
              </a:r>
              <a:r>
                <a:rPr lang="de-DE" sz="1100" b="0" i="0">
                  <a:solidFill>
                    <a:schemeClr val="tx1"/>
                  </a:solidFill>
                  <a:effectLst/>
                  <a:latin typeface="+mn-lt"/>
                  <a:ea typeface="+mn-ea"/>
                  <a:cs typeface="+mn-cs"/>
                </a:rPr>
                <a:t>,45</a:t>
              </a:r>
              <a:r>
                <a:rPr lang="de-DE" sz="1100" b="0" i="0">
                  <a:solidFill>
                    <a:schemeClr val="tx1"/>
                  </a:solidFill>
                  <a:effectLst/>
                  <a:latin typeface="Cambria Math"/>
                  <a:ea typeface="+mn-ea"/>
                  <a:cs typeface="+mn-cs"/>
                </a:rPr>
                <a:t>)/</a:t>
              </a:r>
              <a:r>
                <a:rPr lang="de-DE" sz="1100" b="0" i="0">
                  <a:solidFill>
                    <a:schemeClr val="tx1"/>
                  </a:solidFill>
                  <a:effectLst/>
                  <a:latin typeface="+mn-lt"/>
                  <a:ea typeface="+mn-ea"/>
                  <a:cs typeface="+mn-cs"/>
                </a:rPr>
                <a:t>𝑎</a:t>
              </a:r>
              <a:r>
                <a:rPr lang="de-DE" sz="1100" b="0" i="0">
                  <a:solidFill>
                    <a:schemeClr val="tx1"/>
                  </a:solidFill>
                  <a:effectLst/>
                  <a:latin typeface="Cambria Math"/>
                  <a:ea typeface="+mn-ea"/>
                  <a:cs typeface="+mn-cs"/>
                </a:rPr>
                <a:t>_</a:t>
              </a:r>
              <a:r>
                <a:rPr lang="de-DE" sz="1100" b="0" i="0">
                  <a:solidFill>
                    <a:schemeClr val="tx1"/>
                  </a:solidFill>
                  <a:effectLst/>
                  <a:latin typeface="+mn-lt"/>
                  <a:ea typeface="+mn-ea"/>
                  <a:cs typeface="+mn-cs"/>
                </a:rPr>
                <a:t>2</a:t>
              </a:r>
              <a:r>
                <a:rPr lang="de-DE" sz="1100" b="0" i="0">
                  <a:solidFill>
                    <a:schemeClr val="tx1"/>
                  </a:solidFill>
                  <a:effectLst/>
                  <a:latin typeface="Cambria Math"/>
                  <a:ea typeface="+mn-ea"/>
                  <a:cs typeface="+mn-cs"/>
                </a:rPr>
                <a:t> )^</a:t>
              </a:r>
              <a:r>
                <a:rPr lang="de-DE" b="0" i="0">
                  <a:latin typeface="Cambria Math"/>
                </a:rPr>
                <a:t>2+</a:t>
              </a:r>
              <a:r>
                <a:rPr lang="de-DE" sz="1100" b="0" i="0">
                  <a:solidFill>
                    <a:schemeClr val="tx1"/>
                  </a:solidFill>
                  <a:effectLst/>
                  <a:latin typeface="Cambria Math"/>
                  <a:ea typeface="+mn-ea"/>
                  <a:cs typeface="+mn-cs"/>
                </a:rPr>
                <a:t>(</a:t>
              </a:r>
              <a:r>
                <a:rPr lang="de-DE" b="0" i="0">
                  <a:latin typeface="Cambria Math"/>
                </a:rPr>
                <a:t>𝑒</a:t>
              </a:r>
              <a:r>
                <a:rPr lang="de-DE" sz="1100" b="0" i="0">
                  <a:solidFill>
                    <a:schemeClr val="tx1"/>
                  </a:solidFill>
                  <a:effectLst/>
                  <a:latin typeface="Cambria Math"/>
                  <a:ea typeface="+mn-ea"/>
                  <a:cs typeface="+mn-cs"/>
                </a:rPr>
                <a:t>_(</a:t>
              </a:r>
              <a:r>
                <a:rPr lang="de-DE" b="0" i="0">
                  <a:latin typeface="Cambria Math"/>
                </a:rPr>
                <a:t>𝐻,45</a:t>
              </a:r>
              <a:r>
                <a:rPr lang="de-DE" sz="1100" b="0" i="0">
                  <a:solidFill>
                    <a:schemeClr val="tx1"/>
                  </a:solidFill>
                  <a:effectLst/>
                  <a:latin typeface="Cambria Math"/>
                  <a:ea typeface="+mn-ea"/>
                  <a:cs typeface="+mn-cs"/>
                </a:rPr>
                <a:t>)/</a:t>
              </a:r>
              <a:r>
                <a:rPr lang="de-DE" b="0" i="0">
                  <a:latin typeface="Cambria Math"/>
                </a:rPr>
                <a:t>𝑎_2 )</a:t>
              </a:r>
              <a:r>
                <a:rPr lang="de-DE" sz="1100" b="0" i="0">
                  <a:solidFill>
                    <a:schemeClr val="tx1"/>
                  </a:solidFill>
                  <a:effectLst/>
                  <a:latin typeface="Cambria Math"/>
                  <a:ea typeface="+mn-ea"/>
                  <a:cs typeface="+mn-cs"/>
                </a:rPr>
                <a:t>^</a:t>
              </a:r>
              <a:r>
                <a:rPr lang="de-DE" b="0" i="0">
                  <a:latin typeface="Cambria Math"/>
                </a:rPr>
                <a:t>2+(𝐹_(𝑉,𝐻,𝑅𝑑)/(𝑘_(ℎ,45)</a:t>
              </a:r>
              <a:r>
                <a:rPr lang="de-DE" b="0" i="0">
                  <a:latin typeface="Cambria Math"/>
                  <a:ea typeface="Cambria Math"/>
                </a:rPr>
                <a:t>∙𝐹_(𝑎𝑥,𝐻,𝑅𝑑) ))^</a:t>
              </a:r>
              <a:r>
                <a:rPr lang="de-DE" b="0" i="0">
                  <a:latin typeface="Cambria Math"/>
                </a:rPr>
                <a:t>2</a:t>
              </a:r>
              <a:r>
                <a:rPr lang="de-DE" b="0" i="0">
                  <a:latin typeface="Cambria Math"/>
                  <a:ea typeface="Cambria Math"/>
                </a:rPr>
                <a:t> )@</a:t>
              </a:r>
              <a:r>
                <a:rPr lang="de-DE" b="0" i="0">
                  <a:latin typeface="Cambria Math"/>
                </a:rPr>
                <a:t>𝐹</a:t>
              </a:r>
              <a:r>
                <a:rPr lang="de-DE" b="0" i="0">
                  <a:latin typeface="Cambria Math"/>
                  <a:ea typeface="Cambria Math"/>
                </a:rPr>
                <a:t>_(</a:t>
              </a:r>
              <a:r>
                <a:rPr lang="de-DE" b="0" i="0">
                  <a:latin typeface="Cambria Math"/>
                </a:rPr>
                <a:t>45,𝐾𝐶𝐶,𝑅𝑑</a:t>
              </a:r>
              <a:r>
                <a:rPr lang="de-DE" b="0" i="0">
                  <a:latin typeface="Cambria Math"/>
                  <a:ea typeface="Cambria Math"/>
                </a:rPr>
                <a:t>) )</a:t>
              </a:r>
              <a:r>
                <a:rPr lang="de-DE" sz="1100" b="0" i="0">
                  <a:latin typeface="Cambria Math"/>
                  <a:ea typeface="Cambria Math"/>
                </a:rPr>
                <a:t>┤</a:t>
              </a:r>
              <a:endParaRPr lang="de-DE" sz="1100"/>
            </a:p>
          </xdr:txBody>
        </xdr:sp>
      </mc:Fallback>
    </mc:AlternateContent>
    <xdr:clientData/>
  </xdr:oneCellAnchor>
  <xdr:oneCellAnchor>
    <xdr:from>
      <xdr:col>7</xdr:col>
      <xdr:colOff>46891</xdr:colOff>
      <xdr:row>26</xdr:row>
      <xdr:rowOff>8427</xdr:rowOff>
    </xdr:from>
    <xdr:ext cx="2296259" cy="505010"/>
    <mc:AlternateContent xmlns:mc="http://schemas.openxmlformats.org/markup-compatibility/2006" xmlns:a14="http://schemas.microsoft.com/office/drawing/2010/main">
      <mc:Choice Requires="a14">
        <xdr:sp macro="" textlink="">
          <xdr:nvSpPr>
            <xdr:cNvPr id="14" name="Textfeld 13">
              <a:extLst>
                <a:ext uri="{FF2B5EF4-FFF2-40B4-BE49-F238E27FC236}">
                  <a16:creationId xmlns:a16="http://schemas.microsoft.com/office/drawing/2014/main" id="{00000000-0008-0000-0200-00000E000000}"/>
                </a:ext>
              </a:extLst>
            </xdr:cNvPr>
            <xdr:cNvSpPr txBox="1"/>
          </xdr:nvSpPr>
          <xdr:spPr>
            <a:xfrm>
              <a:off x="7000141" y="4904277"/>
              <a:ext cx="2296259" cy="505010"/>
            </a:xfrm>
            <a:prstGeom prst="rect">
              <a:avLst/>
            </a:prstGeom>
            <a:noFill/>
            <a:ln w="31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14:m>
                <m:oMath xmlns:m="http://schemas.openxmlformats.org/officeDocument/2006/math">
                  <m:r>
                    <a:rPr lang="de-DE" sz="1100" b="0" i="1">
                      <a:latin typeface="Cambria Math"/>
                    </a:rPr>
                    <m:t>𝑘</m:t>
                  </m:r>
                  <m:r>
                    <a:rPr lang="de-DE" sz="1100" b="0" i="1" baseline="-25000">
                      <a:latin typeface="Cambria Math"/>
                    </a:rPr>
                    <m:t>𝑎𝑥</m:t>
                  </m:r>
                  <m:r>
                    <a:rPr lang="de-DE" sz="1100" b="0" i="1">
                      <a:latin typeface="Cambria Math"/>
                    </a:rPr>
                    <m:t>=0,3+</m:t>
                  </m:r>
                  <m:f>
                    <m:fPr>
                      <m:ctrlPr>
                        <a:rPr lang="de-DE" sz="1100" b="0" i="1">
                          <a:latin typeface="Cambria Math" panose="02040503050406030204" pitchFamily="18" charset="0"/>
                        </a:rPr>
                      </m:ctrlPr>
                    </m:fPr>
                    <m:num>
                      <m:r>
                        <a:rPr lang="de-DE" sz="1100" b="0" i="1">
                          <a:latin typeface="Cambria Math"/>
                        </a:rPr>
                        <m:t>0,7</m:t>
                      </m:r>
                      <m:r>
                        <a:rPr lang="de-DE" sz="1100" b="0" i="1">
                          <a:latin typeface="Cambria Math"/>
                          <a:ea typeface="Cambria Math"/>
                        </a:rPr>
                        <m:t>∙</m:t>
                      </m:r>
                      <m:r>
                        <a:rPr lang="de-DE" sz="1100" b="0" i="1">
                          <a:latin typeface="Cambria Math"/>
                          <a:ea typeface="Cambria Math"/>
                        </a:rPr>
                        <m:t>𝛼</m:t>
                      </m:r>
                    </m:num>
                    <m:den>
                      <m:r>
                        <a:rPr lang="de-DE" sz="1100" b="0" i="1">
                          <a:latin typeface="Cambria Math"/>
                        </a:rPr>
                        <m:t>45° </m:t>
                      </m:r>
                    </m:den>
                  </m:f>
                </m:oMath>
              </a14:m>
              <a:r>
                <a:rPr lang="de-DE" sz="1100"/>
                <a:t> for </a:t>
              </a:r>
              <a14:m>
                <m:oMath xmlns:m="http://schemas.openxmlformats.org/officeDocument/2006/math">
                  <m:r>
                    <a:rPr lang="de-DE" sz="1100" b="0" i="0">
                      <a:latin typeface="Cambria Math"/>
                      <a:ea typeface="Cambria Math"/>
                    </a:rPr>
                    <m:t>0°</m:t>
                  </m:r>
                  <m:r>
                    <a:rPr lang="de-DE" sz="1100" b="0" i="1">
                      <a:latin typeface="Cambria Math"/>
                      <a:ea typeface="Cambria Math"/>
                    </a:rPr>
                    <m:t>≤</m:t>
                  </m:r>
                  <m:r>
                    <a:rPr lang="de-DE" sz="1100" i="1">
                      <a:latin typeface="Cambria Math"/>
                      <a:ea typeface="Cambria Math"/>
                    </a:rPr>
                    <m:t>𝛼</m:t>
                  </m:r>
                  <m:r>
                    <a:rPr lang="de-DE" sz="1100" i="1">
                      <a:latin typeface="Cambria Math"/>
                      <a:ea typeface="Cambria Math"/>
                    </a:rPr>
                    <m:t>≤45°</m:t>
                  </m:r>
                </m:oMath>
              </a14:m>
              <a:r>
                <a:rPr lang="de-DE" sz="1100"/>
                <a:t>  (Schraubenlängen</a:t>
              </a:r>
              <a:r>
                <a:rPr lang="de-DE" sz="1100" baseline="0"/>
                <a:t> &lt; 100 mm</a:t>
              </a:r>
              <a:endParaRPr lang="de-DE" sz="1100"/>
            </a:p>
          </xdr:txBody>
        </xdr:sp>
      </mc:Choice>
      <mc:Fallback xmlns="">
        <xdr:sp macro="" textlink="">
          <xdr:nvSpPr>
            <xdr:cNvPr id="14" name="Textfeld 13"/>
            <xdr:cNvSpPr txBox="1"/>
          </xdr:nvSpPr>
          <xdr:spPr>
            <a:xfrm>
              <a:off x="7000141" y="4904277"/>
              <a:ext cx="2296259" cy="505010"/>
            </a:xfrm>
            <a:prstGeom prst="rect">
              <a:avLst/>
            </a:prstGeom>
            <a:noFill/>
            <a:ln w="31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b="0" i="0">
                  <a:latin typeface="Cambria Math"/>
                </a:rPr>
                <a:t>𝑘</a:t>
              </a:r>
              <a:r>
                <a:rPr lang="de-DE" sz="1100" b="0" i="0" baseline="-25000">
                  <a:latin typeface="Cambria Math"/>
                </a:rPr>
                <a:t>𝑎𝑥</a:t>
              </a:r>
              <a:r>
                <a:rPr lang="de-DE" sz="1100" b="0" i="0">
                  <a:latin typeface="Cambria Math"/>
                </a:rPr>
                <a:t>=0,3+(0,7</a:t>
              </a:r>
              <a:r>
                <a:rPr lang="de-DE" sz="1100" b="0" i="0">
                  <a:latin typeface="Cambria Math"/>
                  <a:ea typeface="Cambria Math"/>
                </a:rPr>
                <a:t>∙𝛼)/(</a:t>
              </a:r>
              <a:r>
                <a:rPr lang="de-DE" sz="1100" b="0" i="0">
                  <a:latin typeface="Cambria Math"/>
                </a:rPr>
                <a:t>45° )</a:t>
              </a:r>
              <a:r>
                <a:rPr lang="de-DE" sz="1100"/>
                <a:t> for </a:t>
              </a:r>
              <a:r>
                <a:rPr lang="de-DE" sz="1100" b="0" i="0">
                  <a:latin typeface="Cambria Math"/>
                  <a:ea typeface="Cambria Math"/>
                </a:rPr>
                <a:t>0°≤</a:t>
              </a:r>
              <a:r>
                <a:rPr lang="de-DE" sz="1100" i="0">
                  <a:latin typeface="Cambria Math"/>
                  <a:ea typeface="Cambria Math"/>
                </a:rPr>
                <a:t>𝛼≤45°</a:t>
              </a:r>
              <a:r>
                <a:rPr lang="de-DE" sz="1100"/>
                <a:t>  (Schraubenlängen</a:t>
              </a:r>
              <a:r>
                <a:rPr lang="de-DE" sz="1100" baseline="0"/>
                <a:t> &lt; 100 mm</a:t>
              </a:r>
              <a:endParaRPr lang="de-DE" sz="1100"/>
            </a:p>
          </xdr:txBody>
        </xdr:sp>
      </mc:Fallback>
    </mc:AlternateContent>
    <xdr:clientData/>
  </xdr:one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xdr:colOff>
          <xdr:row>45</xdr:row>
          <xdr:rowOff>9525</xdr:rowOff>
        </xdr:from>
        <xdr:to>
          <xdr:col>5</xdr:col>
          <xdr:colOff>676275</xdr:colOff>
          <xdr:row>46</xdr:row>
          <xdr:rowOff>38100</xdr:rowOff>
        </xdr:to>
        <xdr:sp macro="" textlink="">
          <xdr:nvSpPr>
            <xdr:cNvPr id="19457" name="Object 3" hidden="1">
              <a:extLst>
                <a:ext uri="{63B3BB69-23CF-44E3-9099-C40C66FF867C}">
                  <a14:compatExt spid="_x0000_s19457"/>
                </a:ext>
                <a:ext uri="{FF2B5EF4-FFF2-40B4-BE49-F238E27FC236}">
                  <a16:creationId xmlns:a16="http://schemas.microsoft.com/office/drawing/2014/main" id="{00000000-0008-0000-0300-0000014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oneCellAnchor>
    <xdr:from>
      <xdr:col>4</xdr:col>
      <xdr:colOff>9525</xdr:colOff>
      <xdr:row>43</xdr:row>
      <xdr:rowOff>43227</xdr:rowOff>
    </xdr:from>
    <xdr:ext cx="1514476" cy="369140"/>
    <mc:AlternateContent xmlns:mc="http://schemas.openxmlformats.org/markup-compatibility/2006" xmlns:a14="http://schemas.microsoft.com/office/drawing/2010/main">
      <mc:Choice Requires="a14">
        <xdr:sp macro="" textlink="">
          <xdr:nvSpPr>
            <xdr:cNvPr id="4" name="Textfeld 3">
              <a:extLst>
                <a:ext uri="{FF2B5EF4-FFF2-40B4-BE49-F238E27FC236}">
                  <a16:creationId xmlns:a16="http://schemas.microsoft.com/office/drawing/2014/main" id="{00000000-0008-0000-0300-000004000000}"/>
                </a:ext>
              </a:extLst>
            </xdr:cNvPr>
            <xdr:cNvSpPr txBox="1"/>
          </xdr:nvSpPr>
          <xdr:spPr>
            <a:xfrm>
              <a:off x="4448175" y="6167802"/>
              <a:ext cx="1514476" cy="369140"/>
            </a:xfrm>
            <a:prstGeom prst="rect">
              <a:avLst/>
            </a:prstGeom>
            <a:no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a:t>f</a:t>
              </a:r>
              <a:r>
                <a:rPr lang="de-DE" sz="1100" baseline="-25000"/>
                <a:t>h,J,k</a:t>
              </a:r>
              <a:r>
                <a:rPr lang="de-DE" sz="1100"/>
                <a:t>=</a:t>
              </a:r>
              <a14:m>
                <m:oMath xmlns:m="http://schemas.openxmlformats.org/officeDocument/2006/math">
                  <m:f>
                    <m:fPr>
                      <m:ctrlPr>
                        <a:rPr lang="de-DE" sz="1100" i="1">
                          <a:latin typeface="Cambria Math" panose="02040503050406030204" pitchFamily="18" charset="0"/>
                        </a:rPr>
                      </m:ctrlPr>
                    </m:fPr>
                    <m:num>
                      <m:r>
                        <a:rPr lang="de-DE" sz="1100" b="0" i="1">
                          <a:latin typeface="Cambria Math"/>
                        </a:rPr>
                        <m:t>0,082 ∙</m:t>
                      </m:r>
                      <m:sSub>
                        <m:sSubPr>
                          <m:ctrlPr>
                            <a:rPr lang="de-DE" sz="1100" b="0" i="1">
                              <a:latin typeface="Cambria Math" panose="02040503050406030204" pitchFamily="18" charset="0"/>
                              <a:ea typeface="Cambria Math"/>
                            </a:rPr>
                          </m:ctrlPr>
                        </m:sSubPr>
                        <m:e>
                          <m:r>
                            <a:rPr lang="de-DE" sz="1100" b="0" i="1">
                              <a:latin typeface="Cambria Math"/>
                              <a:ea typeface="Cambria Math"/>
                            </a:rPr>
                            <m:t>𝜌</m:t>
                          </m:r>
                        </m:e>
                        <m:sub>
                          <m:r>
                            <a:rPr lang="de-DE" sz="1100" b="0" i="1">
                              <a:latin typeface="Cambria Math"/>
                              <a:ea typeface="Cambria Math"/>
                            </a:rPr>
                            <m:t>𝑘</m:t>
                          </m:r>
                        </m:sub>
                      </m:sSub>
                      <m:r>
                        <a:rPr lang="de-DE" sz="1100" b="0" i="1">
                          <a:latin typeface="Cambria Math"/>
                          <a:ea typeface="Cambria Math"/>
                        </a:rPr>
                        <m:t>∙</m:t>
                      </m:r>
                      <m:sSup>
                        <m:sSupPr>
                          <m:ctrlPr>
                            <a:rPr lang="de-DE" sz="1100" b="0" i="1">
                              <a:latin typeface="Cambria Math" panose="02040503050406030204" pitchFamily="18" charset="0"/>
                              <a:ea typeface="Cambria Math"/>
                            </a:rPr>
                          </m:ctrlPr>
                        </m:sSupPr>
                        <m:e>
                          <m:r>
                            <a:rPr lang="de-DE" sz="1100" b="0" i="1">
                              <a:latin typeface="Cambria Math"/>
                              <a:ea typeface="Cambria Math"/>
                            </a:rPr>
                            <m:t>𝑑</m:t>
                          </m:r>
                        </m:e>
                        <m:sup>
                          <m:r>
                            <a:rPr lang="de-DE" sz="1100" b="0" i="1">
                              <a:latin typeface="Cambria Math"/>
                              <a:ea typeface="Cambria Math"/>
                            </a:rPr>
                            <m:t>−0,3</m:t>
                          </m:r>
                        </m:sup>
                      </m:sSup>
                    </m:num>
                    <m:den>
                      <m:r>
                        <a:rPr lang="de-DE" sz="1100" b="0" i="1">
                          <a:latin typeface="Cambria Math"/>
                        </a:rPr>
                        <m:t>2,5</m:t>
                      </m:r>
                      <m:r>
                        <a:rPr lang="de-DE" sz="1100" b="0" i="1">
                          <a:latin typeface="Cambria Math"/>
                          <a:ea typeface="Cambria Math"/>
                        </a:rPr>
                        <m:t>∙</m:t>
                      </m:r>
                      <m:func>
                        <m:funcPr>
                          <m:ctrlPr>
                            <a:rPr lang="de-DE" sz="1100" b="0" i="1">
                              <a:latin typeface="Cambria Math" panose="02040503050406030204" pitchFamily="18" charset="0"/>
                              <a:ea typeface="Cambria Math"/>
                            </a:rPr>
                          </m:ctrlPr>
                        </m:funcPr>
                        <m:fName>
                          <m:r>
                            <m:rPr>
                              <m:sty m:val="p"/>
                            </m:rPr>
                            <a:rPr lang="de-DE" sz="1100" b="0" i="0">
                              <a:latin typeface="Cambria Math"/>
                              <a:ea typeface="Cambria Math"/>
                            </a:rPr>
                            <m:t>cos</m:t>
                          </m:r>
                          <m:r>
                            <a:rPr lang="de-DE" sz="1100" b="0" i="1">
                              <a:latin typeface="Cambria Math"/>
                              <a:ea typeface="Cambria Math"/>
                            </a:rPr>
                            <m:t>²</m:t>
                          </m:r>
                        </m:fName>
                        <m:e>
                          <m:r>
                            <a:rPr lang="de-DE" sz="1100" b="0" i="1">
                              <a:latin typeface="Cambria Math"/>
                              <a:ea typeface="Cambria Math"/>
                            </a:rPr>
                            <m:t>𝛼</m:t>
                          </m:r>
                          <m:r>
                            <a:rPr lang="de-DE" sz="1100" b="0" i="1">
                              <a:latin typeface="Cambria Math"/>
                              <a:ea typeface="Cambria Math"/>
                            </a:rPr>
                            <m:t>+</m:t>
                          </m:r>
                          <m:func>
                            <m:funcPr>
                              <m:ctrlPr>
                                <a:rPr lang="de-DE" sz="1100" b="0" i="1">
                                  <a:latin typeface="Cambria Math" panose="02040503050406030204" pitchFamily="18" charset="0"/>
                                  <a:ea typeface="Cambria Math"/>
                                </a:rPr>
                              </m:ctrlPr>
                            </m:funcPr>
                            <m:fName>
                              <m:r>
                                <m:rPr>
                                  <m:sty m:val="p"/>
                                </m:rPr>
                                <a:rPr lang="de-DE" sz="1100" b="0" i="0">
                                  <a:latin typeface="Cambria Math"/>
                                  <a:ea typeface="Cambria Math"/>
                                </a:rPr>
                                <m:t>sin</m:t>
                              </m:r>
                              <m:r>
                                <a:rPr lang="de-DE" sz="1100" b="0" i="1">
                                  <a:latin typeface="Cambria Math"/>
                                  <a:ea typeface="Cambria Math"/>
                                </a:rPr>
                                <m:t>²</m:t>
                              </m:r>
                            </m:fName>
                            <m:e>
                              <m:r>
                                <a:rPr lang="de-DE" sz="1100" b="0" i="1">
                                  <a:latin typeface="Cambria Math"/>
                                  <a:ea typeface="Cambria Math"/>
                                </a:rPr>
                                <m:t>𝛼</m:t>
                              </m:r>
                            </m:e>
                          </m:func>
                        </m:e>
                      </m:func>
                    </m:den>
                  </m:f>
                </m:oMath>
              </a14:m>
              <a:endParaRPr lang="de-DE" sz="1100"/>
            </a:p>
          </xdr:txBody>
        </xdr:sp>
      </mc:Choice>
      <mc:Fallback xmlns="">
        <xdr:sp macro="" textlink="">
          <xdr:nvSpPr>
            <xdr:cNvPr id="4" name="Textfeld 3">
              <a:extLst>
                <a:ext uri="{FF2B5EF4-FFF2-40B4-BE49-F238E27FC236}">
                  <a16:creationId xmlns:a16="http://schemas.microsoft.com/office/drawing/2014/main" id="{53075863-22E9-4C56-96AA-E87574C5042C}"/>
                </a:ext>
              </a:extLst>
            </xdr:cNvPr>
            <xdr:cNvSpPr txBox="1"/>
          </xdr:nvSpPr>
          <xdr:spPr>
            <a:xfrm>
              <a:off x="4448175" y="6167802"/>
              <a:ext cx="1514476" cy="369140"/>
            </a:xfrm>
            <a:prstGeom prst="rect">
              <a:avLst/>
            </a:prstGeom>
            <a:no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a:t>f</a:t>
              </a:r>
              <a:r>
                <a:rPr lang="de-DE" sz="1100" baseline="-25000"/>
                <a:t>h,J,k</a:t>
              </a:r>
              <a:r>
                <a:rPr lang="de-DE" sz="1100"/>
                <a:t>=</a:t>
              </a:r>
              <a:r>
                <a:rPr lang="de-DE" sz="1100" i="0">
                  <a:latin typeface="Cambria Math" panose="02040503050406030204" pitchFamily="18" charset="0"/>
                </a:rPr>
                <a:t>(</a:t>
              </a:r>
              <a:r>
                <a:rPr lang="de-DE" sz="1100" b="0" i="0">
                  <a:latin typeface="Cambria Math"/>
                </a:rPr>
                <a:t>0,082 </a:t>
              </a:r>
              <a:r>
                <a:rPr lang="de-DE" sz="1100" b="0" i="0">
                  <a:latin typeface="Cambria Math"/>
                  <a:ea typeface="Cambria Math"/>
                </a:rPr>
                <a:t>∙𝜌</a:t>
              </a:r>
              <a:r>
                <a:rPr lang="de-DE" sz="1100" b="0" i="0">
                  <a:latin typeface="Cambria Math" panose="02040503050406030204" pitchFamily="18" charset="0"/>
                  <a:ea typeface="Cambria Math"/>
                </a:rPr>
                <a:t>_</a:t>
              </a:r>
              <a:r>
                <a:rPr lang="de-DE" sz="1100" b="0" i="0">
                  <a:latin typeface="Cambria Math"/>
                  <a:ea typeface="Cambria Math"/>
                </a:rPr>
                <a:t>𝑘∙𝑑</a:t>
              </a:r>
              <a:r>
                <a:rPr lang="de-DE" sz="1100" b="0" i="0">
                  <a:latin typeface="Cambria Math" panose="02040503050406030204" pitchFamily="18" charset="0"/>
                  <a:ea typeface="Cambria Math"/>
                </a:rPr>
                <a:t>^(</a:t>
              </a:r>
              <a:r>
                <a:rPr lang="de-DE" sz="1100" b="0" i="0">
                  <a:latin typeface="Cambria Math"/>
                  <a:ea typeface="Cambria Math"/>
                </a:rPr>
                <a:t>−0,3</a:t>
              </a:r>
              <a:r>
                <a:rPr lang="de-DE" sz="1100" b="0" i="0">
                  <a:latin typeface="Cambria Math" panose="02040503050406030204" pitchFamily="18" charset="0"/>
                  <a:ea typeface="Cambria Math"/>
                </a:rPr>
                <a:t>))/(</a:t>
              </a:r>
              <a:r>
                <a:rPr lang="de-DE" sz="1100" b="0" i="0">
                  <a:latin typeface="Cambria Math"/>
                </a:rPr>
                <a:t>2,5</a:t>
              </a:r>
              <a:r>
                <a:rPr lang="de-DE" sz="1100" b="0" i="0">
                  <a:latin typeface="Cambria Math"/>
                  <a:ea typeface="Cambria Math"/>
                </a:rPr>
                <a:t>∙cos²</a:t>
              </a:r>
              <a:r>
                <a:rPr lang="de-DE" sz="1100" b="0" i="0">
                  <a:latin typeface="Cambria Math" panose="02040503050406030204" pitchFamily="18" charset="0"/>
                  <a:ea typeface="Cambria Math"/>
                </a:rPr>
                <a:t>⁡〖</a:t>
              </a:r>
              <a:r>
                <a:rPr lang="de-DE" sz="1100" b="0" i="0">
                  <a:latin typeface="Cambria Math"/>
                  <a:ea typeface="Cambria Math"/>
                </a:rPr>
                <a:t>𝛼+sin²</a:t>
              </a:r>
              <a:r>
                <a:rPr lang="de-DE" sz="1100" b="0" i="0">
                  <a:latin typeface="Cambria Math" panose="02040503050406030204" pitchFamily="18" charset="0"/>
                  <a:ea typeface="Cambria Math"/>
                </a:rPr>
                <a:t>⁡</a:t>
              </a:r>
              <a:r>
                <a:rPr lang="de-DE" sz="1100" b="0" i="0">
                  <a:latin typeface="Cambria Math"/>
                  <a:ea typeface="Cambria Math"/>
                </a:rPr>
                <a:t>𝛼</a:t>
              </a:r>
              <a:r>
                <a:rPr lang="de-DE" sz="1100" b="0" i="0">
                  <a:latin typeface="Cambria Math" panose="02040503050406030204" pitchFamily="18" charset="0"/>
                  <a:ea typeface="Cambria Math"/>
                </a:rPr>
                <a:t> 〗 )</a:t>
              </a:r>
              <a:endParaRPr lang="de-DE" sz="1100"/>
            </a:p>
          </xdr:txBody>
        </xdr:sp>
      </mc:Fallback>
    </mc:AlternateContent>
    <xdr:clientData/>
  </xdr:oneCellAnchor>
  <xdr:oneCellAnchor>
    <xdr:from>
      <xdr:col>7</xdr:col>
      <xdr:colOff>27841</xdr:colOff>
      <xdr:row>22</xdr:row>
      <xdr:rowOff>28575</xdr:rowOff>
    </xdr:from>
    <xdr:ext cx="2694844" cy="359386"/>
    <mc:AlternateContent xmlns:mc="http://schemas.openxmlformats.org/markup-compatibility/2006" xmlns:a14="http://schemas.microsoft.com/office/drawing/2010/main">
      <mc:Choice Requires="a14">
        <xdr:sp macro="" textlink="">
          <xdr:nvSpPr>
            <xdr:cNvPr id="6" name="Textfeld 5">
              <a:extLst>
                <a:ext uri="{FF2B5EF4-FFF2-40B4-BE49-F238E27FC236}">
                  <a16:creationId xmlns:a16="http://schemas.microsoft.com/office/drawing/2014/main" id="{00000000-0008-0000-0300-000006000000}"/>
                </a:ext>
              </a:extLst>
            </xdr:cNvPr>
            <xdr:cNvSpPr txBox="1"/>
          </xdr:nvSpPr>
          <xdr:spPr>
            <a:xfrm>
              <a:off x="6981091" y="4772025"/>
              <a:ext cx="2694844" cy="359386"/>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14:m>
                <m:oMath xmlns:m="http://schemas.openxmlformats.org/officeDocument/2006/math">
                  <m:r>
                    <m:rPr>
                      <m:nor/>
                    </m:rPr>
                    <a:rPr lang="de-DE" sz="1100" b="0" i="0">
                      <a:latin typeface="Cambria Math"/>
                    </a:rPr>
                    <m:t>F</m:t>
                  </m:r>
                  <m:r>
                    <m:rPr>
                      <m:nor/>
                    </m:rPr>
                    <a:rPr lang="de-DE" sz="1100" b="0" i="0" baseline="-25000">
                      <a:latin typeface="Cambria Math"/>
                    </a:rPr>
                    <m:t>ax</m:t>
                  </m:r>
                  <m:r>
                    <m:rPr>
                      <m:nor/>
                    </m:rPr>
                    <a:rPr lang="de-DE" sz="1100" b="0" i="0" baseline="-25000">
                      <a:latin typeface="Cambria Math"/>
                    </a:rPr>
                    <m:t>,</m:t>
                  </m:r>
                  <m:r>
                    <m:rPr>
                      <m:nor/>
                    </m:rPr>
                    <a:rPr lang="de-DE" sz="1100" b="0" i="0" baseline="-25000">
                      <a:latin typeface="Cambria Math"/>
                    </a:rPr>
                    <m:t>J</m:t>
                  </m:r>
                  <m:r>
                    <m:rPr>
                      <m:nor/>
                    </m:rPr>
                    <a:rPr lang="de-DE" sz="1100" b="0" i="0" baseline="-25000">
                      <a:latin typeface="Cambria Math"/>
                    </a:rPr>
                    <m:t>,</m:t>
                  </m:r>
                  <m:r>
                    <m:rPr>
                      <m:nor/>
                    </m:rPr>
                    <a:rPr lang="de-DE" sz="1100" b="0" i="0" baseline="-25000">
                      <a:latin typeface="Cambria Math"/>
                    </a:rPr>
                    <m:t>H</m:t>
                  </m:r>
                  <m:r>
                    <m:rPr>
                      <m:nor/>
                    </m:rPr>
                    <a:rPr lang="de-DE" sz="1100" b="0" i="0" baseline="-25000">
                      <a:latin typeface="Cambria Math"/>
                    </a:rPr>
                    <m:t>,</m:t>
                  </m:r>
                  <m:r>
                    <m:rPr>
                      <m:nor/>
                    </m:rPr>
                    <a:rPr lang="de-DE" sz="1100" b="0" i="0" baseline="-25000">
                      <a:latin typeface="Cambria Math"/>
                    </a:rPr>
                    <m:t>Rk</m:t>
                  </m:r>
                  <m:r>
                    <m:rPr>
                      <m:nor/>
                    </m:rPr>
                    <a:rPr lang="de-DE" sz="1100" b="0" i="0">
                      <a:latin typeface="Cambria Math"/>
                    </a:rPr>
                    <m:t> =</m:t>
                  </m:r>
                </m:oMath>
              </a14:m>
              <a:r>
                <a:rPr lang="de-DE" sz="1100"/>
                <a:t> </a:t>
              </a:r>
              <a14:m>
                <m:oMath xmlns:m="http://schemas.openxmlformats.org/officeDocument/2006/math">
                  <m:sSub>
                    <m:sSubPr>
                      <m:ctrlPr>
                        <a:rPr lang="de-DE" sz="1100" i="1">
                          <a:latin typeface="Cambria Math" panose="02040503050406030204" pitchFamily="18" charset="0"/>
                        </a:rPr>
                      </m:ctrlPr>
                    </m:sSubPr>
                    <m:e>
                      <m:r>
                        <a:rPr lang="de-DE" sz="1100" b="0" i="1">
                          <a:latin typeface="Cambria Math"/>
                        </a:rPr>
                        <m:t>𝑘</m:t>
                      </m:r>
                    </m:e>
                    <m:sub>
                      <m:r>
                        <a:rPr lang="de-DE" sz="1100" b="0" i="1">
                          <a:latin typeface="Cambria Math"/>
                        </a:rPr>
                        <m:t>𝑎𝑥</m:t>
                      </m:r>
                      <m:r>
                        <a:rPr lang="de-DE" sz="1100" b="0" i="1">
                          <a:latin typeface="Cambria Math"/>
                        </a:rPr>
                        <m:t> </m:t>
                      </m:r>
                    </m:sub>
                  </m:sSub>
                  <m:r>
                    <a:rPr lang="de-DE" sz="1100" i="1">
                      <a:latin typeface="Cambria Math"/>
                      <a:ea typeface="Cambria Math"/>
                    </a:rPr>
                    <m:t>∙</m:t>
                  </m:r>
                  <m:r>
                    <a:rPr lang="de-DE" sz="1100" b="0" i="1">
                      <a:latin typeface="Cambria Math"/>
                      <a:ea typeface="Cambria Math"/>
                    </a:rPr>
                    <m:t>0,52 ∙</m:t>
                  </m:r>
                  <m:rad>
                    <m:radPr>
                      <m:degHide m:val="on"/>
                      <m:ctrlPr>
                        <a:rPr lang="de-DE" sz="1100" b="0" i="1">
                          <a:latin typeface="Cambria Math" panose="02040503050406030204" pitchFamily="18" charset="0"/>
                          <a:ea typeface="Cambria Math"/>
                        </a:rPr>
                      </m:ctrlPr>
                    </m:radPr>
                    <m:deg/>
                    <m:e>
                      <m:r>
                        <a:rPr lang="de-DE" sz="1100" b="0" i="1">
                          <a:latin typeface="Cambria Math"/>
                          <a:ea typeface="Cambria Math"/>
                        </a:rPr>
                        <m:t>𝑑</m:t>
                      </m:r>
                    </m:e>
                  </m:rad>
                  <m:r>
                    <a:rPr lang="de-DE" sz="1100" b="0" i="1">
                      <a:latin typeface="Cambria Math"/>
                      <a:ea typeface="Cambria Math"/>
                    </a:rPr>
                    <m:t>∙</m:t>
                  </m:r>
                  <m:sSubSup>
                    <m:sSubSupPr>
                      <m:ctrlPr>
                        <a:rPr lang="de-DE" sz="1100" b="0" i="1">
                          <a:latin typeface="Cambria Math" panose="02040503050406030204" pitchFamily="18" charset="0"/>
                          <a:ea typeface="Cambria Math"/>
                        </a:rPr>
                      </m:ctrlPr>
                    </m:sSubSupPr>
                    <m:e>
                      <m:r>
                        <a:rPr lang="de-DE" sz="1100" b="0" i="1">
                          <a:latin typeface="Cambria Math"/>
                          <a:ea typeface="Cambria Math"/>
                        </a:rPr>
                        <m:t>𝑙𝑒𝑓</m:t>
                      </m:r>
                    </m:e>
                    <m:sub/>
                    <m:sup>
                      <m:r>
                        <a:rPr lang="de-DE" sz="1100" b="0" i="1">
                          <a:latin typeface="Cambria Math"/>
                          <a:ea typeface="Cambria Math"/>
                        </a:rPr>
                        <m:t>0,9</m:t>
                      </m:r>
                    </m:sup>
                  </m:sSubSup>
                </m:oMath>
              </a14:m>
              <a:r>
                <a:rPr lang="de-DE" sz="1100"/>
                <a:t> </a:t>
              </a:r>
              <a14:m>
                <m:oMath xmlns:m="http://schemas.openxmlformats.org/officeDocument/2006/math">
                  <m:r>
                    <a:rPr lang="de-DE" sz="1100" i="1">
                      <a:latin typeface="Cambria Math"/>
                      <a:ea typeface="Cambria Math"/>
                    </a:rPr>
                    <m:t>∙</m:t>
                  </m:r>
                  <m:r>
                    <a:rPr lang="de-DE" sz="1100" b="0" i="1">
                      <a:latin typeface="Cambria Math"/>
                      <a:ea typeface="Cambria Math"/>
                    </a:rPr>
                    <m:t> </m:t>
                  </m:r>
                  <m:sSup>
                    <m:sSupPr>
                      <m:ctrlPr>
                        <a:rPr lang="de-DE" sz="1100" b="0" i="1">
                          <a:latin typeface="Cambria Math" panose="02040503050406030204" pitchFamily="18" charset="0"/>
                          <a:ea typeface="Cambria Math"/>
                        </a:rPr>
                      </m:ctrlPr>
                    </m:sSupPr>
                    <m:e>
                      <m:r>
                        <a:rPr lang="de-DE" sz="1100" b="0" i="1">
                          <a:latin typeface="Cambria Math"/>
                          <a:ea typeface="Cambria Math"/>
                        </a:rPr>
                        <m:t>𝜌</m:t>
                      </m:r>
                      <m:r>
                        <a:rPr lang="de-DE" sz="1100" b="0" i="1">
                          <a:latin typeface="Cambria Math"/>
                          <a:ea typeface="Cambria Math"/>
                        </a:rPr>
                        <m:t>𝑘</m:t>
                      </m:r>
                    </m:e>
                    <m:sup>
                      <m:r>
                        <a:rPr lang="de-DE" sz="1100" b="0" i="1">
                          <a:latin typeface="Cambria Math"/>
                          <a:ea typeface="Cambria Math"/>
                        </a:rPr>
                        <m:t>0,8</m:t>
                      </m:r>
                    </m:sup>
                  </m:sSup>
                </m:oMath>
              </a14:m>
              <a:r>
                <a:rPr lang="de-DE" sz="1100"/>
                <a:t> </a:t>
              </a:r>
            </a:p>
          </xdr:txBody>
        </xdr:sp>
      </mc:Choice>
      <mc:Fallback xmlns="">
        <xdr:sp macro="" textlink="">
          <xdr:nvSpPr>
            <xdr:cNvPr id="6" name="Textfeld 5">
              <a:extLst>
                <a:ext uri="{FF2B5EF4-FFF2-40B4-BE49-F238E27FC236}">
                  <a16:creationId xmlns:a16="http://schemas.microsoft.com/office/drawing/2014/main" id="{694F0792-C8D8-4F47-A038-BFCAEF881104}"/>
                </a:ext>
              </a:extLst>
            </xdr:cNvPr>
            <xdr:cNvSpPr txBox="1"/>
          </xdr:nvSpPr>
          <xdr:spPr>
            <a:xfrm>
              <a:off x="6981091" y="4772025"/>
              <a:ext cx="2694844" cy="359386"/>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e-DE" sz="1100" b="0" i="0">
                  <a:latin typeface="Cambria Math"/>
                </a:rPr>
                <a:t>"F</a:t>
              </a:r>
              <a:r>
                <a:rPr lang="de-DE" sz="1100" b="0" i="0" baseline="-25000">
                  <a:latin typeface="Cambria Math"/>
                </a:rPr>
                <a:t>ax,J,H,Rk</a:t>
              </a:r>
              <a:r>
                <a:rPr lang="de-DE" sz="1100" b="0" i="0">
                  <a:latin typeface="Cambria Math"/>
                </a:rPr>
                <a:t> =</a:t>
              </a:r>
              <a:r>
                <a:rPr lang="de-AT" sz="1100" b="0" i="0">
                  <a:latin typeface="Cambria Math"/>
                </a:rPr>
                <a:t>"</a:t>
              </a:r>
              <a:r>
                <a:rPr lang="de-DE" sz="1100"/>
                <a:t> </a:t>
              </a:r>
              <a:r>
                <a:rPr lang="de-DE" sz="1100" b="0" i="0">
                  <a:latin typeface="Cambria Math"/>
                </a:rPr>
                <a:t>𝑘</a:t>
              </a:r>
              <a:r>
                <a:rPr lang="de-DE" sz="1100" b="0" i="0">
                  <a:latin typeface="Cambria Math" panose="02040503050406030204" pitchFamily="18" charset="0"/>
                </a:rPr>
                <a:t>_(</a:t>
              </a:r>
              <a:r>
                <a:rPr lang="de-DE" sz="1100" b="0" i="0">
                  <a:latin typeface="Cambria Math"/>
                </a:rPr>
                <a:t>𝑎𝑥 </a:t>
              </a:r>
              <a:r>
                <a:rPr lang="de-DE" sz="1100" b="0" i="0">
                  <a:latin typeface="Cambria Math" panose="02040503050406030204" pitchFamily="18" charset="0"/>
                </a:rPr>
                <a:t>)</a:t>
              </a:r>
              <a:r>
                <a:rPr lang="de-DE" sz="1100" i="0">
                  <a:latin typeface="Cambria Math"/>
                  <a:ea typeface="Cambria Math"/>
                </a:rPr>
                <a:t>∙</a:t>
              </a:r>
              <a:r>
                <a:rPr lang="de-DE" sz="1100" b="0" i="0">
                  <a:latin typeface="Cambria Math"/>
                  <a:ea typeface="Cambria Math"/>
                </a:rPr>
                <a:t>0,52 ∙</a:t>
              </a:r>
              <a:r>
                <a:rPr lang="de-DE" sz="1100" b="0" i="0">
                  <a:latin typeface="Cambria Math" panose="02040503050406030204" pitchFamily="18" charset="0"/>
                  <a:ea typeface="Cambria Math"/>
                </a:rPr>
                <a:t>√</a:t>
              </a:r>
              <a:r>
                <a:rPr lang="de-DE" sz="1100" b="0" i="0">
                  <a:latin typeface="Cambria Math"/>
                  <a:ea typeface="Cambria Math"/>
                </a:rPr>
                <a:t>𝑑∙</a:t>
              </a:r>
              <a:r>
                <a:rPr lang="de-DE" sz="1100" b="0" i="0">
                  <a:latin typeface="Cambria Math" panose="02040503050406030204" pitchFamily="18" charset="0"/>
                  <a:ea typeface="Cambria Math"/>
                </a:rPr>
                <a:t>〖</a:t>
              </a:r>
              <a:r>
                <a:rPr lang="de-DE" sz="1100" b="0" i="0">
                  <a:latin typeface="Cambria Math"/>
                  <a:ea typeface="Cambria Math"/>
                </a:rPr>
                <a:t>𝑙𝑒𝑓</a:t>
              </a:r>
              <a:r>
                <a:rPr lang="de-DE" sz="1100" b="0" i="0">
                  <a:latin typeface="Cambria Math" panose="02040503050406030204" pitchFamily="18" charset="0"/>
                  <a:ea typeface="Cambria Math"/>
                </a:rPr>
                <a:t>〗_^</a:t>
              </a:r>
              <a:r>
                <a:rPr lang="de-DE" sz="1100" b="0" i="0">
                  <a:latin typeface="Cambria Math"/>
                  <a:ea typeface="Cambria Math"/>
                </a:rPr>
                <a:t>0,9</a:t>
              </a:r>
              <a:r>
                <a:rPr lang="de-DE" sz="1100"/>
                <a:t> </a:t>
              </a:r>
              <a:r>
                <a:rPr lang="de-DE" sz="1100" i="0">
                  <a:latin typeface="Cambria Math"/>
                  <a:ea typeface="Cambria Math"/>
                </a:rPr>
                <a:t>∙</a:t>
              </a:r>
              <a:r>
                <a:rPr lang="de-DE" sz="1100" b="0" i="0">
                  <a:latin typeface="Cambria Math"/>
                  <a:ea typeface="Cambria Math"/>
                </a:rPr>
                <a:t> </a:t>
              </a:r>
              <a:r>
                <a:rPr lang="de-DE" sz="1100" b="0" i="0">
                  <a:latin typeface="Cambria Math" panose="02040503050406030204" pitchFamily="18" charset="0"/>
                  <a:ea typeface="Cambria Math"/>
                </a:rPr>
                <a:t>〖</a:t>
              </a:r>
              <a:r>
                <a:rPr lang="de-DE" sz="1100" b="0" i="0">
                  <a:latin typeface="Cambria Math"/>
                  <a:ea typeface="Cambria Math"/>
                </a:rPr>
                <a:t>𝜌𝑘</a:t>
              </a:r>
              <a:r>
                <a:rPr lang="de-DE" sz="1100" b="0" i="0">
                  <a:latin typeface="Cambria Math" panose="02040503050406030204" pitchFamily="18" charset="0"/>
                  <a:ea typeface="Cambria Math"/>
                </a:rPr>
                <a:t>〗^</a:t>
              </a:r>
              <a:r>
                <a:rPr lang="de-DE" sz="1100" b="0" i="0">
                  <a:latin typeface="Cambria Math"/>
                  <a:ea typeface="Cambria Math"/>
                </a:rPr>
                <a:t>0,8</a:t>
              </a:r>
              <a:r>
                <a:rPr lang="de-DE" sz="1100"/>
                <a:t> </a:t>
              </a:r>
            </a:p>
          </xdr:txBody>
        </xdr:sp>
      </mc:Fallback>
    </mc:AlternateContent>
    <xdr:clientData/>
  </xdr:oneCellAnchor>
  <xdr:oneCellAnchor>
    <xdr:from>
      <xdr:col>7</xdr:col>
      <xdr:colOff>8791</xdr:colOff>
      <xdr:row>23</xdr:row>
      <xdr:rowOff>198927</xdr:rowOff>
    </xdr:from>
    <xdr:ext cx="2296259" cy="505010"/>
    <mc:AlternateContent xmlns:mc="http://schemas.openxmlformats.org/markup-compatibility/2006" xmlns:a14="http://schemas.microsoft.com/office/drawing/2010/main">
      <mc:Choice Requires="a14">
        <xdr:sp macro="" textlink="">
          <xdr:nvSpPr>
            <xdr:cNvPr id="7" name="Textfeld 6">
              <a:extLst>
                <a:ext uri="{FF2B5EF4-FFF2-40B4-BE49-F238E27FC236}">
                  <a16:creationId xmlns:a16="http://schemas.microsoft.com/office/drawing/2014/main" id="{00000000-0008-0000-0300-000007000000}"/>
                </a:ext>
              </a:extLst>
            </xdr:cNvPr>
            <xdr:cNvSpPr txBox="1"/>
          </xdr:nvSpPr>
          <xdr:spPr>
            <a:xfrm>
              <a:off x="6962041" y="5180502"/>
              <a:ext cx="2296259" cy="505010"/>
            </a:xfrm>
            <a:prstGeom prst="rect">
              <a:avLst/>
            </a:prstGeom>
            <a:noFill/>
            <a:ln w="31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14:m>
                <m:oMath xmlns:m="http://schemas.openxmlformats.org/officeDocument/2006/math">
                  <m:r>
                    <a:rPr lang="de-DE" sz="1100" b="0" i="1">
                      <a:latin typeface="Cambria Math"/>
                    </a:rPr>
                    <m:t>𝑘</m:t>
                  </m:r>
                  <m:r>
                    <a:rPr lang="de-DE" sz="1100" b="0" i="1" baseline="-25000">
                      <a:latin typeface="Cambria Math"/>
                    </a:rPr>
                    <m:t>𝑎𝑥</m:t>
                  </m:r>
                  <m:r>
                    <a:rPr lang="de-DE" sz="1100" b="0" i="1">
                      <a:latin typeface="Cambria Math"/>
                    </a:rPr>
                    <m:t>=0,6+</m:t>
                  </m:r>
                  <m:f>
                    <m:fPr>
                      <m:ctrlPr>
                        <a:rPr lang="de-DE" sz="1100" b="0" i="1">
                          <a:latin typeface="Cambria Math" panose="02040503050406030204" pitchFamily="18" charset="0"/>
                        </a:rPr>
                      </m:ctrlPr>
                    </m:fPr>
                    <m:num>
                      <m:r>
                        <a:rPr lang="de-DE" sz="1100" b="0" i="1">
                          <a:latin typeface="Cambria Math"/>
                        </a:rPr>
                        <m:t>0,4</m:t>
                      </m:r>
                      <m:r>
                        <a:rPr lang="de-DE" sz="1100" b="0" i="1">
                          <a:latin typeface="Cambria Math"/>
                          <a:ea typeface="Cambria Math"/>
                        </a:rPr>
                        <m:t>∙</m:t>
                      </m:r>
                      <m:r>
                        <a:rPr lang="de-DE" sz="1100" b="0" i="1">
                          <a:latin typeface="Cambria Math"/>
                          <a:ea typeface="Cambria Math"/>
                        </a:rPr>
                        <m:t>𝛼</m:t>
                      </m:r>
                    </m:num>
                    <m:den>
                      <m:r>
                        <a:rPr lang="de-DE" sz="1100" b="0" i="1">
                          <a:latin typeface="Cambria Math"/>
                        </a:rPr>
                        <m:t>45° </m:t>
                      </m:r>
                    </m:den>
                  </m:f>
                </m:oMath>
              </a14:m>
              <a:r>
                <a:rPr lang="de-DE" sz="1100"/>
                <a:t> for </a:t>
              </a:r>
              <a14:m>
                <m:oMath xmlns:m="http://schemas.openxmlformats.org/officeDocument/2006/math">
                  <m:r>
                    <a:rPr lang="de-DE" sz="1100" b="0" i="0">
                      <a:latin typeface="Cambria Math"/>
                      <a:ea typeface="Cambria Math"/>
                    </a:rPr>
                    <m:t>0°</m:t>
                  </m:r>
                  <m:r>
                    <a:rPr lang="de-DE" sz="1100" b="0" i="1">
                      <a:latin typeface="Cambria Math"/>
                      <a:ea typeface="Cambria Math"/>
                    </a:rPr>
                    <m:t>≤</m:t>
                  </m:r>
                  <m:r>
                    <a:rPr lang="de-DE" sz="1100" i="1">
                      <a:latin typeface="Cambria Math"/>
                      <a:ea typeface="Cambria Math"/>
                    </a:rPr>
                    <m:t>𝛼</m:t>
                  </m:r>
                  <m:r>
                    <a:rPr lang="de-DE" sz="1100" i="1">
                      <a:latin typeface="Cambria Math"/>
                      <a:ea typeface="Cambria Math"/>
                    </a:rPr>
                    <m:t>≤45°</m:t>
                  </m:r>
                </m:oMath>
              </a14:m>
              <a:r>
                <a:rPr lang="de-DE" sz="1100"/>
                <a:t>  (Schraubenlängen</a:t>
              </a:r>
              <a:r>
                <a:rPr lang="de-DE" sz="1100" baseline="0"/>
                <a:t> &gt;= 100 mm</a:t>
              </a:r>
              <a:endParaRPr lang="de-DE" sz="1100"/>
            </a:p>
          </xdr:txBody>
        </xdr:sp>
      </mc:Choice>
      <mc:Fallback xmlns="">
        <xdr:sp macro="" textlink="">
          <xdr:nvSpPr>
            <xdr:cNvPr id="7" name="Textfeld 6">
              <a:extLst>
                <a:ext uri="{FF2B5EF4-FFF2-40B4-BE49-F238E27FC236}">
                  <a16:creationId xmlns:a16="http://schemas.microsoft.com/office/drawing/2014/main" id="{5599704F-60A0-4E03-9D79-5722689BD834}"/>
                </a:ext>
              </a:extLst>
            </xdr:cNvPr>
            <xdr:cNvSpPr txBox="1"/>
          </xdr:nvSpPr>
          <xdr:spPr>
            <a:xfrm>
              <a:off x="6962041" y="5180502"/>
              <a:ext cx="2296259" cy="505010"/>
            </a:xfrm>
            <a:prstGeom prst="rect">
              <a:avLst/>
            </a:prstGeom>
            <a:noFill/>
            <a:ln w="31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b="0" i="0">
                  <a:latin typeface="Cambria Math"/>
                </a:rPr>
                <a:t>𝑘</a:t>
              </a:r>
              <a:r>
                <a:rPr lang="de-DE" sz="1100" b="0" i="0" baseline="-25000">
                  <a:latin typeface="Cambria Math"/>
                </a:rPr>
                <a:t>𝑎𝑥</a:t>
              </a:r>
              <a:r>
                <a:rPr lang="de-DE" sz="1100" b="0" i="0">
                  <a:latin typeface="Cambria Math"/>
                </a:rPr>
                <a:t>=0,6+</a:t>
              </a:r>
              <a:r>
                <a:rPr lang="de-DE" sz="1100" b="0" i="0">
                  <a:latin typeface="Cambria Math" panose="02040503050406030204" pitchFamily="18" charset="0"/>
                </a:rPr>
                <a:t>(</a:t>
              </a:r>
              <a:r>
                <a:rPr lang="de-DE" sz="1100" b="0" i="0">
                  <a:latin typeface="Cambria Math"/>
                </a:rPr>
                <a:t>0,4</a:t>
              </a:r>
              <a:r>
                <a:rPr lang="de-DE" sz="1100" b="0" i="0">
                  <a:latin typeface="Cambria Math"/>
                  <a:ea typeface="Cambria Math"/>
                </a:rPr>
                <a:t>∙𝛼</a:t>
              </a:r>
              <a:r>
                <a:rPr lang="de-DE" sz="1100" b="0" i="0">
                  <a:latin typeface="Cambria Math" panose="02040503050406030204" pitchFamily="18" charset="0"/>
                  <a:ea typeface="Cambria Math"/>
                </a:rPr>
                <a:t>)/(</a:t>
              </a:r>
              <a:r>
                <a:rPr lang="de-DE" sz="1100" b="0" i="0">
                  <a:latin typeface="Cambria Math"/>
                </a:rPr>
                <a:t>45° </a:t>
              </a:r>
              <a:r>
                <a:rPr lang="de-DE" sz="1100" b="0" i="0">
                  <a:latin typeface="Cambria Math" panose="02040503050406030204" pitchFamily="18" charset="0"/>
                </a:rPr>
                <a:t>)</a:t>
              </a:r>
              <a:r>
                <a:rPr lang="de-DE" sz="1100"/>
                <a:t> for </a:t>
              </a:r>
              <a:r>
                <a:rPr lang="de-DE" sz="1100" b="0" i="0">
                  <a:latin typeface="Cambria Math"/>
                  <a:ea typeface="Cambria Math"/>
                </a:rPr>
                <a:t>0°≤</a:t>
              </a:r>
              <a:r>
                <a:rPr lang="de-DE" sz="1100" i="0">
                  <a:latin typeface="Cambria Math"/>
                  <a:ea typeface="Cambria Math"/>
                </a:rPr>
                <a:t>𝛼≤45°</a:t>
              </a:r>
              <a:r>
                <a:rPr lang="de-DE" sz="1100"/>
                <a:t>  (Schraubenlängen</a:t>
              </a:r>
              <a:r>
                <a:rPr lang="de-DE" sz="1100" baseline="0"/>
                <a:t> &gt;= 100 mm</a:t>
              </a:r>
              <a:endParaRPr lang="de-DE" sz="1100"/>
            </a:p>
          </xdr:txBody>
        </xdr:sp>
      </mc:Fallback>
    </mc:AlternateContent>
    <xdr:clientData/>
  </xdr:oneCellAnchor>
  <xdr:oneCellAnchor>
    <xdr:from>
      <xdr:col>7</xdr:col>
      <xdr:colOff>35900</xdr:colOff>
      <xdr:row>28</xdr:row>
      <xdr:rowOff>54587</xdr:rowOff>
    </xdr:from>
    <xdr:ext cx="2296259" cy="264560"/>
    <mc:AlternateContent xmlns:mc="http://schemas.openxmlformats.org/markup-compatibility/2006" xmlns:a14="http://schemas.microsoft.com/office/drawing/2010/main">
      <mc:Choice Requires="a14">
        <xdr:sp macro="" textlink="">
          <xdr:nvSpPr>
            <xdr:cNvPr id="8" name="Textfeld 7">
              <a:extLst>
                <a:ext uri="{FF2B5EF4-FFF2-40B4-BE49-F238E27FC236}">
                  <a16:creationId xmlns:a16="http://schemas.microsoft.com/office/drawing/2014/main" id="{00000000-0008-0000-0300-000008000000}"/>
                </a:ext>
              </a:extLst>
            </xdr:cNvPr>
            <xdr:cNvSpPr txBox="1"/>
          </xdr:nvSpPr>
          <xdr:spPr>
            <a:xfrm>
              <a:off x="6989150" y="6255362"/>
              <a:ext cx="2296259" cy="264560"/>
            </a:xfrm>
            <a:prstGeom prst="rect">
              <a:avLst/>
            </a:prstGeom>
            <a:noFill/>
            <a:ln w="31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14:m>
                <m:oMath xmlns:m="http://schemas.openxmlformats.org/officeDocument/2006/math">
                  <m:r>
                    <a:rPr lang="de-DE" sz="1100" b="0" i="1">
                      <a:latin typeface="Cambria Math"/>
                    </a:rPr>
                    <m:t>𝑘</m:t>
                  </m:r>
                  <m:r>
                    <a:rPr lang="de-DE" sz="1100" b="0" i="1" baseline="-25000">
                      <a:latin typeface="Cambria Math"/>
                    </a:rPr>
                    <m:t>𝑎𝑥</m:t>
                  </m:r>
                  <m:r>
                    <a:rPr lang="de-DE" sz="1100" b="0" i="1">
                      <a:latin typeface="Cambria Math"/>
                    </a:rPr>
                    <m:t>=1,0 </m:t>
                  </m:r>
                </m:oMath>
              </a14:m>
              <a:r>
                <a:rPr lang="de-DE" sz="1100"/>
                <a:t>for </a:t>
              </a:r>
              <a14:m>
                <m:oMath xmlns:m="http://schemas.openxmlformats.org/officeDocument/2006/math">
                  <m:r>
                    <a:rPr lang="de-DE" sz="1100" b="0" i="0">
                      <a:latin typeface="Cambria Math"/>
                      <a:ea typeface="Cambria Math"/>
                    </a:rPr>
                    <m:t>45°</m:t>
                  </m:r>
                  <m:r>
                    <a:rPr lang="de-DE" sz="1100" b="0" i="1">
                      <a:latin typeface="Cambria Math"/>
                      <a:ea typeface="Cambria Math"/>
                    </a:rPr>
                    <m:t>≤</m:t>
                  </m:r>
                  <m:r>
                    <a:rPr lang="de-DE" sz="1100" i="1">
                      <a:latin typeface="Cambria Math"/>
                      <a:ea typeface="Cambria Math"/>
                    </a:rPr>
                    <m:t>𝛼</m:t>
                  </m:r>
                  <m:r>
                    <a:rPr lang="de-DE" sz="1100" i="1">
                      <a:latin typeface="Cambria Math"/>
                      <a:ea typeface="Cambria Math"/>
                    </a:rPr>
                    <m:t>≤90°</m:t>
                  </m:r>
                </m:oMath>
              </a14:m>
              <a:endParaRPr lang="de-DE" sz="1100"/>
            </a:p>
          </xdr:txBody>
        </xdr:sp>
      </mc:Choice>
      <mc:Fallback xmlns="">
        <xdr:sp macro="" textlink="">
          <xdr:nvSpPr>
            <xdr:cNvPr id="8" name="Textfeld 7">
              <a:extLst>
                <a:ext uri="{FF2B5EF4-FFF2-40B4-BE49-F238E27FC236}">
                  <a16:creationId xmlns:a16="http://schemas.microsoft.com/office/drawing/2014/main" id="{AE5239AF-4612-4EB8-9A35-E8644F7E62D0}"/>
                </a:ext>
              </a:extLst>
            </xdr:cNvPr>
            <xdr:cNvSpPr txBox="1"/>
          </xdr:nvSpPr>
          <xdr:spPr>
            <a:xfrm>
              <a:off x="6989150" y="6255362"/>
              <a:ext cx="2296259" cy="264560"/>
            </a:xfrm>
            <a:prstGeom prst="rect">
              <a:avLst/>
            </a:prstGeom>
            <a:noFill/>
            <a:ln w="31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b="0" i="0">
                  <a:latin typeface="Cambria Math"/>
                </a:rPr>
                <a:t>𝑘</a:t>
              </a:r>
              <a:r>
                <a:rPr lang="de-DE" sz="1100" b="0" i="0" baseline="-25000">
                  <a:latin typeface="Cambria Math"/>
                </a:rPr>
                <a:t>𝑎𝑥</a:t>
              </a:r>
              <a:r>
                <a:rPr lang="de-DE" sz="1100" b="0" i="0">
                  <a:latin typeface="Cambria Math"/>
                </a:rPr>
                <a:t>=1,0 </a:t>
              </a:r>
              <a:r>
                <a:rPr lang="de-DE" sz="1100"/>
                <a:t>for </a:t>
              </a:r>
              <a:r>
                <a:rPr lang="de-DE" sz="1100" b="0" i="0">
                  <a:latin typeface="Cambria Math"/>
                  <a:ea typeface="Cambria Math"/>
                </a:rPr>
                <a:t>45°≤</a:t>
              </a:r>
              <a:r>
                <a:rPr lang="de-DE" sz="1100" i="0">
                  <a:latin typeface="Cambria Math"/>
                  <a:ea typeface="Cambria Math"/>
                </a:rPr>
                <a:t>𝛼≤90°</a:t>
              </a:r>
              <a:endParaRPr lang="de-DE" sz="1100"/>
            </a:p>
          </xdr:txBody>
        </xdr:sp>
      </mc:Fallback>
    </mc:AlternateContent>
    <xdr:clientData/>
  </xdr:oneCellAnchor>
  <xdr:oneCellAnchor>
    <xdr:from>
      <xdr:col>7</xdr:col>
      <xdr:colOff>32971</xdr:colOff>
      <xdr:row>29</xdr:row>
      <xdr:rowOff>185006</xdr:rowOff>
    </xdr:from>
    <xdr:ext cx="2461848" cy="286810"/>
    <mc:AlternateContent xmlns:mc="http://schemas.openxmlformats.org/markup-compatibility/2006" xmlns:a14="http://schemas.microsoft.com/office/drawing/2010/main">
      <mc:Choice Requires="a14">
        <xdr:sp macro="" textlink="">
          <xdr:nvSpPr>
            <xdr:cNvPr id="9" name="Textfeld 8">
              <a:extLst>
                <a:ext uri="{FF2B5EF4-FFF2-40B4-BE49-F238E27FC236}">
                  <a16:creationId xmlns:a16="http://schemas.microsoft.com/office/drawing/2014/main" id="{00000000-0008-0000-0300-000009000000}"/>
                </a:ext>
              </a:extLst>
            </xdr:cNvPr>
            <xdr:cNvSpPr txBox="1"/>
          </xdr:nvSpPr>
          <xdr:spPr>
            <a:xfrm>
              <a:off x="6986221" y="6623906"/>
              <a:ext cx="2461848" cy="28681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a:t>F</a:t>
              </a:r>
              <a:r>
                <a:rPr lang="de-DE" sz="1100" baseline="-25000"/>
                <a:t>1,Rd</a:t>
              </a:r>
              <a:r>
                <a:rPr lang="de-DE" sz="1100"/>
                <a:t> =</a:t>
              </a:r>
              <a14:m>
                <m:oMath xmlns:m="http://schemas.openxmlformats.org/officeDocument/2006/math">
                  <m:sSub>
                    <m:sSubPr>
                      <m:ctrlPr>
                        <a:rPr lang="de-DE" sz="1100" i="1">
                          <a:latin typeface="Cambria Math" panose="02040503050406030204" pitchFamily="18" charset="0"/>
                        </a:rPr>
                      </m:ctrlPr>
                    </m:sSubPr>
                    <m:e>
                      <m:r>
                        <a:rPr lang="de-DE" sz="1100" b="0" i="1">
                          <a:latin typeface="Cambria Math"/>
                        </a:rPr>
                        <m:t> </m:t>
                      </m:r>
                      <m:r>
                        <a:rPr lang="de-DE" sz="1100" b="0" i="1">
                          <a:latin typeface="Cambria Math"/>
                        </a:rPr>
                        <m:t>𝑛</m:t>
                      </m:r>
                    </m:e>
                    <m:sub>
                      <m:r>
                        <a:rPr lang="de-DE" sz="1100" b="0" i="1">
                          <a:latin typeface="Cambria Math"/>
                        </a:rPr>
                        <m:t>𝑒𝑓</m:t>
                      </m:r>
                    </m:sub>
                  </m:sSub>
                  <m:r>
                    <a:rPr lang="de-DE" sz="1100" i="1">
                      <a:latin typeface="Cambria Math"/>
                      <a:ea typeface="Cambria Math"/>
                    </a:rPr>
                    <m:t>∙</m:t>
                  </m:r>
                  <m:r>
                    <a:rPr lang="de-DE" sz="1100" b="0" i="1">
                      <a:latin typeface="Cambria Math"/>
                      <a:ea typeface="Cambria Math"/>
                    </a:rPr>
                    <m:t>𝑚𝑖𝑛</m:t>
                  </m:r>
                  <m:d>
                    <m:dPr>
                      <m:begChr m:val="{"/>
                      <m:endChr m:val="}"/>
                      <m:ctrlPr>
                        <a:rPr lang="de-DE" sz="1100" b="0" i="1">
                          <a:latin typeface="Cambria Math" panose="02040503050406030204" pitchFamily="18" charset="0"/>
                          <a:ea typeface="Cambria Math"/>
                        </a:rPr>
                      </m:ctrlPr>
                    </m:dPr>
                    <m:e>
                      <m:sSub>
                        <m:sSubPr>
                          <m:ctrlPr>
                            <a:rPr lang="de-DE" sz="1100" b="0" i="1">
                              <a:latin typeface="Cambria Math" panose="02040503050406030204" pitchFamily="18" charset="0"/>
                              <a:ea typeface="Cambria Math"/>
                            </a:rPr>
                          </m:ctrlPr>
                        </m:sSubPr>
                        <m:e>
                          <m:r>
                            <a:rPr lang="de-DE" sz="1100" b="0" i="1">
                              <a:latin typeface="Cambria Math"/>
                              <a:ea typeface="Cambria Math"/>
                            </a:rPr>
                            <m:t>𝐹</m:t>
                          </m:r>
                        </m:e>
                        <m:sub>
                          <m:r>
                            <a:rPr lang="de-DE" sz="1100" b="0" i="1">
                              <a:latin typeface="Cambria Math"/>
                              <a:ea typeface="Cambria Math"/>
                            </a:rPr>
                            <m:t>𝑎𝑥</m:t>
                          </m:r>
                          <m:r>
                            <a:rPr lang="de-DE" sz="1100" b="0" i="1">
                              <a:latin typeface="Cambria Math"/>
                              <a:ea typeface="Cambria Math"/>
                            </a:rPr>
                            <m:t>,</m:t>
                          </m:r>
                          <m:r>
                            <a:rPr lang="de-DE" sz="1100" b="0" i="1">
                              <a:latin typeface="Cambria Math"/>
                              <a:ea typeface="Cambria Math"/>
                            </a:rPr>
                            <m:t>𝑅𝑑</m:t>
                          </m:r>
                        </m:sub>
                      </m:sSub>
                      <m:r>
                        <a:rPr lang="de-DE" sz="1100" b="0" i="1">
                          <a:latin typeface="Cambria Math"/>
                          <a:ea typeface="Cambria Math"/>
                        </a:rPr>
                        <m:t>;</m:t>
                      </m:r>
                      <m:sSub>
                        <m:sSubPr>
                          <m:ctrlPr>
                            <a:rPr lang="de-DE" sz="1100" b="0" i="1">
                              <a:latin typeface="Cambria Math" panose="02040503050406030204" pitchFamily="18" charset="0"/>
                              <a:ea typeface="Cambria Math"/>
                            </a:rPr>
                          </m:ctrlPr>
                        </m:sSubPr>
                        <m:e>
                          <m:r>
                            <a:rPr lang="de-DE" sz="1100" b="0" i="1">
                              <a:latin typeface="Cambria Math"/>
                              <a:ea typeface="Cambria Math"/>
                            </a:rPr>
                            <m:t>𝐹</m:t>
                          </m:r>
                        </m:e>
                        <m:sub>
                          <m:r>
                            <a:rPr lang="de-DE" sz="1100" b="0" i="1">
                              <a:latin typeface="Cambria Math"/>
                              <a:ea typeface="Cambria Math"/>
                            </a:rPr>
                            <m:t>𝑡</m:t>
                          </m:r>
                          <m:r>
                            <a:rPr lang="de-DE" sz="1100" b="0" i="1">
                              <a:latin typeface="Cambria Math"/>
                              <a:ea typeface="Cambria Math"/>
                            </a:rPr>
                            <m:t>,</m:t>
                          </m:r>
                          <m:r>
                            <a:rPr lang="de-DE" sz="1100" b="0" i="1">
                              <a:latin typeface="Cambria Math"/>
                              <a:ea typeface="Cambria Math"/>
                            </a:rPr>
                            <m:t>𝑅𝑑</m:t>
                          </m:r>
                        </m:sub>
                      </m:sSub>
                      <m:r>
                        <a:rPr lang="de-DE" sz="1100" b="0" i="1">
                          <a:latin typeface="Cambria Math"/>
                          <a:ea typeface="Cambria Math"/>
                        </a:rPr>
                        <m:t>;</m:t>
                      </m:r>
                      <m:sSub>
                        <m:sSubPr>
                          <m:ctrlPr>
                            <a:rPr lang="de-DE" sz="1100" b="0" i="1">
                              <a:latin typeface="Cambria Math" panose="02040503050406030204" pitchFamily="18" charset="0"/>
                              <a:ea typeface="Cambria Math"/>
                            </a:rPr>
                          </m:ctrlPr>
                        </m:sSubPr>
                        <m:e>
                          <m:r>
                            <a:rPr lang="de-DE" sz="1100" b="0" i="1">
                              <a:latin typeface="Cambria Math"/>
                              <a:ea typeface="Cambria Math"/>
                            </a:rPr>
                            <m:t>𝐹</m:t>
                          </m:r>
                        </m:e>
                        <m:sub>
                          <m:r>
                            <a:rPr lang="de-DE" sz="1100" b="0" i="1">
                              <a:latin typeface="Cambria Math"/>
                              <a:ea typeface="Cambria Math"/>
                            </a:rPr>
                            <m:t>1,</m:t>
                          </m:r>
                          <m:r>
                            <a:rPr lang="de-DE" sz="1100" b="0" i="1">
                              <a:latin typeface="Cambria Math"/>
                              <a:ea typeface="Cambria Math"/>
                            </a:rPr>
                            <m:t>𝐾𝐶𝐶</m:t>
                          </m:r>
                          <m:r>
                            <a:rPr lang="de-DE" sz="1100" b="0" i="1">
                              <a:latin typeface="Cambria Math"/>
                              <a:ea typeface="Cambria Math"/>
                            </a:rPr>
                            <m:t>,</m:t>
                          </m:r>
                          <m:r>
                            <a:rPr lang="de-DE" sz="1100" b="0" i="1">
                              <a:latin typeface="Cambria Math"/>
                              <a:ea typeface="Cambria Math"/>
                            </a:rPr>
                            <m:t>𝑅𝑑</m:t>
                          </m:r>
                        </m:sub>
                      </m:sSub>
                    </m:e>
                  </m:d>
                </m:oMath>
              </a14:m>
              <a:endParaRPr lang="de-DE" sz="1100"/>
            </a:p>
          </xdr:txBody>
        </xdr:sp>
      </mc:Choice>
      <mc:Fallback xmlns="">
        <xdr:sp macro="" textlink="">
          <xdr:nvSpPr>
            <xdr:cNvPr id="9" name="Textfeld 8">
              <a:extLst>
                <a:ext uri="{FF2B5EF4-FFF2-40B4-BE49-F238E27FC236}">
                  <a16:creationId xmlns:a16="http://schemas.microsoft.com/office/drawing/2014/main" id="{C3E53A88-9FDB-474E-BFFE-43724307ED7D}"/>
                </a:ext>
              </a:extLst>
            </xdr:cNvPr>
            <xdr:cNvSpPr txBox="1"/>
          </xdr:nvSpPr>
          <xdr:spPr>
            <a:xfrm>
              <a:off x="6986221" y="6623906"/>
              <a:ext cx="2461848" cy="28681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a:t>F</a:t>
              </a:r>
              <a:r>
                <a:rPr lang="de-DE" sz="1100" baseline="-25000"/>
                <a:t>1,Rd</a:t>
              </a:r>
              <a:r>
                <a:rPr lang="de-DE" sz="1100"/>
                <a:t> =</a:t>
              </a:r>
              <a:r>
                <a:rPr lang="de-DE" sz="1100" i="0">
                  <a:latin typeface="Cambria Math" panose="02040503050406030204" pitchFamily="18" charset="0"/>
                </a:rPr>
                <a:t>〖</a:t>
              </a:r>
              <a:r>
                <a:rPr lang="de-DE" sz="1100" b="0" i="0">
                  <a:latin typeface="Cambria Math"/>
                </a:rPr>
                <a:t> 𝑛</a:t>
              </a:r>
              <a:r>
                <a:rPr lang="de-DE" sz="1100" b="0" i="0">
                  <a:latin typeface="Cambria Math" panose="02040503050406030204" pitchFamily="18" charset="0"/>
                </a:rPr>
                <a:t>〗_</a:t>
              </a:r>
              <a:r>
                <a:rPr lang="de-DE" sz="1100" b="0" i="0">
                  <a:latin typeface="Cambria Math"/>
                </a:rPr>
                <a:t>𝑒𝑓</a:t>
              </a:r>
              <a:r>
                <a:rPr lang="de-DE" sz="1100" i="0">
                  <a:latin typeface="Cambria Math"/>
                  <a:ea typeface="Cambria Math"/>
                </a:rPr>
                <a:t>∙</a:t>
              </a:r>
              <a:r>
                <a:rPr lang="de-DE" sz="1100" b="0" i="0">
                  <a:latin typeface="Cambria Math"/>
                  <a:ea typeface="Cambria Math"/>
                </a:rPr>
                <a:t>𝑚𝑖𝑛</a:t>
              </a:r>
              <a:r>
                <a:rPr lang="de-DE" sz="1100" b="0" i="0">
                  <a:latin typeface="Cambria Math" panose="02040503050406030204" pitchFamily="18" charset="0"/>
                  <a:ea typeface="Cambria Math"/>
                </a:rPr>
                <a:t>{</a:t>
              </a:r>
              <a:r>
                <a:rPr lang="de-DE" sz="1100" b="0" i="0">
                  <a:latin typeface="Cambria Math"/>
                  <a:ea typeface="Cambria Math"/>
                </a:rPr>
                <a:t>𝐹</a:t>
              </a:r>
              <a:r>
                <a:rPr lang="de-DE" sz="1100" b="0" i="0">
                  <a:latin typeface="Cambria Math" panose="02040503050406030204" pitchFamily="18" charset="0"/>
                  <a:ea typeface="Cambria Math"/>
                </a:rPr>
                <a:t>_(</a:t>
              </a:r>
              <a:r>
                <a:rPr lang="de-DE" sz="1100" b="0" i="0">
                  <a:latin typeface="Cambria Math"/>
                  <a:ea typeface="Cambria Math"/>
                </a:rPr>
                <a:t>𝑎𝑥,𝑅𝑑</a:t>
              </a:r>
              <a:r>
                <a:rPr lang="de-DE" sz="1100" b="0" i="0">
                  <a:latin typeface="Cambria Math" panose="02040503050406030204" pitchFamily="18" charset="0"/>
                  <a:ea typeface="Cambria Math"/>
                </a:rPr>
                <a:t>)</a:t>
              </a:r>
              <a:r>
                <a:rPr lang="de-DE" sz="1100" b="0" i="0">
                  <a:latin typeface="Cambria Math"/>
                  <a:ea typeface="Cambria Math"/>
                </a:rPr>
                <a:t>;𝐹</a:t>
              </a:r>
              <a:r>
                <a:rPr lang="de-DE" sz="1100" b="0" i="0">
                  <a:latin typeface="Cambria Math" panose="02040503050406030204" pitchFamily="18" charset="0"/>
                  <a:ea typeface="Cambria Math"/>
                </a:rPr>
                <a:t>_(</a:t>
              </a:r>
              <a:r>
                <a:rPr lang="de-DE" sz="1100" b="0" i="0">
                  <a:latin typeface="Cambria Math"/>
                  <a:ea typeface="Cambria Math"/>
                </a:rPr>
                <a:t>𝑡,𝑅𝑑</a:t>
              </a:r>
              <a:r>
                <a:rPr lang="de-DE" sz="1100" b="0" i="0">
                  <a:latin typeface="Cambria Math" panose="02040503050406030204" pitchFamily="18" charset="0"/>
                  <a:ea typeface="Cambria Math"/>
                </a:rPr>
                <a:t>)</a:t>
              </a:r>
              <a:r>
                <a:rPr lang="de-DE" sz="1100" b="0" i="0">
                  <a:latin typeface="Cambria Math"/>
                  <a:ea typeface="Cambria Math"/>
                </a:rPr>
                <a:t>;𝐹</a:t>
              </a:r>
              <a:r>
                <a:rPr lang="de-DE" sz="1100" b="0" i="0">
                  <a:latin typeface="Cambria Math" panose="02040503050406030204" pitchFamily="18" charset="0"/>
                  <a:ea typeface="Cambria Math"/>
                </a:rPr>
                <a:t>_(</a:t>
              </a:r>
              <a:r>
                <a:rPr lang="de-DE" sz="1100" b="0" i="0">
                  <a:latin typeface="Cambria Math"/>
                  <a:ea typeface="Cambria Math"/>
                </a:rPr>
                <a:t>1,𝐾𝐶𝐶,𝑅𝑑</a:t>
              </a:r>
              <a:r>
                <a:rPr lang="de-DE" sz="1100" b="0" i="0">
                  <a:latin typeface="Cambria Math" panose="02040503050406030204" pitchFamily="18" charset="0"/>
                  <a:ea typeface="Cambria Math"/>
                </a:rPr>
                <a:t>) }</a:t>
              </a:r>
              <a:endParaRPr lang="de-DE" sz="1100"/>
            </a:p>
          </xdr:txBody>
        </xdr:sp>
      </mc:Fallback>
    </mc:AlternateContent>
    <xdr:clientData/>
  </xdr:oneCellAnchor>
  <xdr:oneCellAnchor>
    <xdr:from>
      <xdr:col>7</xdr:col>
      <xdr:colOff>46891</xdr:colOff>
      <xdr:row>26</xdr:row>
      <xdr:rowOff>8427</xdr:rowOff>
    </xdr:from>
    <xdr:ext cx="2296259" cy="505010"/>
    <mc:AlternateContent xmlns:mc="http://schemas.openxmlformats.org/markup-compatibility/2006" xmlns:a14="http://schemas.microsoft.com/office/drawing/2010/main">
      <mc:Choice Requires="a14">
        <xdr:sp macro="" textlink="">
          <xdr:nvSpPr>
            <xdr:cNvPr id="10" name="Textfeld 9">
              <a:extLst>
                <a:ext uri="{FF2B5EF4-FFF2-40B4-BE49-F238E27FC236}">
                  <a16:creationId xmlns:a16="http://schemas.microsoft.com/office/drawing/2014/main" id="{00000000-0008-0000-0300-00000A000000}"/>
                </a:ext>
              </a:extLst>
            </xdr:cNvPr>
            <xdr:cNvSpPr txBox="1"/>
          </xdr:nvSpPr>
          <xdr:spPr>
            <a:xfrm>
              <a:off x="7000141" y="5723427"/>
              <a:ext cx="2296259" cy="505010"/>
            </a:xfrm>
            <a:prstGeom prst="rect">
              <a:avLst/>
            </a:prstGeom>
            <a:noFill/>
            <a:ln w="31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14:m>
                <m:oMath xmlns:m="http://schemas.openxmlformats.org/officeDocument/2006/math">
                  <m:r>
                    <a:rPr lang="de-DE" sz="1100" b="0" i="1">
                      <a:latin typeface="Cambria Math"/>
                    </a:rPr>
                    <m:t>𝑘</m:t>
                  </m:r>
                  <m:r>
                    <a:rPr lang="de-DE" sz="1100" b="0" i="1" baseline="-25000">
                      <a:latin typeface="Cambria Math"/>
                    </a:rPr>
                    <m:t>𝑎𝑥</m:t>
                  </m:r>
                  <m:r>
                    <a:rPr lang="de-DE" sz="1100" b="0" i="1">
                      <a:latin typeface="Cambria Math"/>
                    </a:rPr>
                    <m:t>=0,3+</m:t>
                  </m:r>
                  <m:f>
                    <m:fPr>
                      <m:ctrlPr>
                        <a:rPr lang="de-DE" sz="1100" b="0" i="1">
                          <a:latin typeface="Cambria Math" panose="02040503050406030204" pitchFamily="18" charset="0"/>
                        </a:rPr>
                      </m:ctrlPr>
                    </m:fPr>
                    <m:num>
                      <m:r>
                        <a:rPr lang="de-DE" sz="1100" b="0" i="1">
                          <a:latin typeface="Cambria Math"/>
                        </a:rPr>
                        <m:t>0,7</m:t>
                      </m:r>
                      <m:r>
                        <a:rPr lang="de-DE" sz="1100" b="0" i="1">
                          <a:latin typeface="Cambria Math"/>
                          <a:ea typeface="Cambria Math"/>
                        </a:rPr>
                        <m:t>∙</m:t>
                      </m:r>
                      <m:r>
                        <a:rPr lang="de-DE" sz="1100" b="0" i="1">
                          <a:latin typeface="Cambria Math"/>
                          <a:ea typeface="Cambria Math"/>
                        </a:rPr>
                        <m:t>𝛼</m:t>
                      </m:r>
                    </m:num>
                    <m:den>
                      <m:r>
                        <a:rPr lang="de-DE" sz="1100" b="0" i="1">
                          <a:latin typeface="Cambria Math"/>
                        </a:rPr>
                        <m:t>45° </m:t>
                      </m:r>
                    </m:den>
                  </m:f>
                </m:oMath>
              </a14:m>
              <a:r>
                <a:rPr lang="de-DE" sz="1100"/>
                <a:t> for </a:t>
              </a:r>
              <a14:m>
                <m:oMath xmlns:m="http://schemas.openxmlformats.org/officeDocument/2006/math">
                  <m:r>
                    <a:rPr lang="de-DE" sz="1100" b="0" i="0">
                      <a:latin typeface="Cambria Math"/>
                      <a:ea typeface="Cambria Math"/>
                    </a:rPr>
                    <m:t>0°</m:t>
                  </m:r>
                  <m:r>
                    <a:rPr lang="de-DE" sz="1100" b="0" i="1">
                      <a:latin typeface="Cambria Math"/>
                      <a:ea typeface="Cambria Math"/>
                    </a:rPr>
                    <m:t>≤</m:t>
                  </m:r>
                  <m:r>
                    <a:rPr lang="de-DE" sz="1100" i="1">
                      <a:latin typeface="Cambria Math"/>
                      <a:ea typeface="Cambria Math"/>
                    </a:rPr>
                    <m:t>𝛼</m:t>
                  </m:r>
                  <m:r>
                    <a:rPr lang="de-DE" sz="1100" i="1">
                      <a:latin typeface="Cambria Math"/>
                      <a:ea typeface="Cambria Math"/>
                    </a:rPr>
                    <m:t>≤45°</m:t>
                  </m:r>
                </m:oMath>
              </a14:m>
              <a:r>
                <a:rPr lang="de-DE" sz="1100"/>
                <a:t>  (Schraubenlängen</a:t>
              </a:r>
              <a:r>
                <a:rPr lang="de-DE" sz="1100" baseline="0"/>
                <a:t> &lt; 100 mm</a:t>
              </a:r>
              <a:endParaRPr lang="de-DE" sz="1100"/>
            </a:p>
          </xdr:txBody>
        </xdr:sp>
      </mc:Choice>
      <mc:Fallback xmlns="">
        <xdr:sp macro="" textlink="">
          <xdr:nvSpPr>
            <xdr:cNvPr id="10" name="Textfeld 9">
              <a:extLst>
                <a:ext uri="{FF2B5EF4-FFF2-40B4-BE49-F238E27FC236}">
                  <a16:creationId xmlns:a16="http://schemas.microsoft.com/office/drawing/2014/main" id="{B7EE7C74-4FD5-4B2A-9BDF-972A024FEB8D}"/>
                </a:ext>
              </a:extLst>
            </xdr:cNvPr>
            <xdr:cNvSpPr txBox="1"/>
          </xdr:nvSpPr>
          <xdr:spPr>
            <a:xfrm>
              <a:off x="7000141" y="5723427"/>
              <a:ext cx="2296259" cy="505010"/>
            </a:xfrm>
            <a:prstGeom prst="rect">
              <a:avLst/>
            </a:prstGeom>
            <a:noFill/>
            <a:ln w="31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b="0" i="0">
                  <a:latin typeface="Cambria Math"/>
                </a:rPr>
                <a:t>𝑘</a:t>
              </a:r>
              <a:r>
                <a:rPr lang="de-DE" sz="1100" b="0" i="0" baseline="-25000">
                  <a:latin typeface="Cambria Math"/>
                </a:rPr>
                <a:t>𝑎𝑥</a:t>
              </a:r>
              <a:r>
                <a:rPr lang="de-DE" sz="1100" b="0" i="0">
                  <a:latin typeface="Cambria Math"/>
                </a:rPr>
                <a:t>=0,3+</a:t>
              </a:r>
              <a:r>
                <a:rPr lang="de-DE" sz="1100" b="0" i="0">
                  <a:latin typeface="Cambria Math" panose="02040503050406030204" pitchFamily="18" charset="0"/>
                </a:rPr>
                <a:t>(</a:t>
              </a:r>
              <a:r>
                <a:rPr lang="de-DE" sz="1100" b="0" i="0">
                  <a:latin typeface="Cambria Math"/>
                </a:rPr>
                <a:t>0,7</a:t>
              </a:r>
              <a:r>
                <a:rPr lang="de-DE" sz="1100" b="0" i="0">
                  <a:latin typeface="Cambria Math"/>
                  <a:ea typeface="Cambria Math"/>
                </a:rPr>
                <a:t>∙𝛼</a:t>
              </a:r>
              <a:r>
                <a:rPr lang="de-DE" sz="1100" b="0" i="0">
                  <a:latin typeface="Cambria Math" panose="02040503050406030204" pitchFamily="18" charset="0"/>
                  <a:ea typeface="Cambria Math"/>
                </a:rPr>
                <a:t>)/(</a:t>
              </a:r>
              <a:r>
                <a:rPr lang="de-DE" sz="1100" b="0" i="0">
                  <a:latin typeface="Cambria Math"/>
                </a:rPr>
                <a:t>45° </a:t>
              </a:r>
              <a:r>
                <a:rPr lang="de-DE" sz="1100" b="0" i="0">
                  <a:latin typeface="Cambria Math" panose="02040503050406030204" pitchFamily="18" charset="0"/>
                </a:rPr>
                <a:t>)</a:t>
              </a:r>
              <a:r>
                <a:rPr lang="de-DE" sz="1100"/>
                <a:t> for </a:t>
              </a:r>
              <a:r>
                <a:rPr lang="de-DE" sz="1100" b="0" i="0">
                  <a:latin typeface="Cambria Math"/>
                  <a:ea typeface="Cambria Math"/>
                </a:rPr>
                <a:t>0°≤</a:t>
              </a:r>
              <a:r>
                <a:rPr lang="de-DE" sz="1100" i="0">
                  <a:latin typeface="Cambria Math"/>
                  <a:ea typeface="Cambria Math"/>
                </a:rPr>
                <a:t>𝛼≤45°</a:t>
              </a:r>
              <a:r>
                <a:rPr lang="de-DE" sz="1100"/>
                <a:t>  (Schraubenlängen</a:t>
              </a:r>
              <a:r>
                <a:rPr lang="de-DE" sz="1100" baseline="0"/>
                <a:t> &lt; 100 mm</a:t>
              </a:r>
              <a:endParaRPr lang="de-DE" sz="1100"/>
            </a:p>
          </xdr:txBody>
        </xdr:sp>
      </mc:Fallback>
    </mc:AlternateContent>
    <xdr:clientData/>
  </xdr:oneCellAnchor>
</xdr:wsDr>
</file>

<file path=xl/drawings/drawing5.xml><?xml version="1.0" encoding="utf-8"?>
<xdr:wsDr xmlns:xdr="http://schemas.openxmlformats.org/drawingml/2006/spreadsheetDrawing" xmlns:a="http://schemas.openxmlformats.org/drawingml/2006/main">
  <xdr:oneCellAnchor>
    <xdr:from>
      <xdr:col>6</xdr:col>
      <xdr:colOff>1190624</xdr:colOff>
      <xdr:row>61</xdr:row>
      <xdr:rowOff>142874</xdr:rowOff>
    </xdr:from>
    <xdr:ext cx="1749953" cy="2308896"/>
    <xdr:pic>
      <xdr:nvPicPr>
        <xdr:cNvPr id="2" name="Grafik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9220199" y="39090599"/>
          <a:ext cx="1749953" cy="2308896"/>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emf"/><Relationship Id="rId10" Type="http://schemas.openxmlformats.org/officeDocument/2006/relationships/comments" Target="../comments1.xml"/><Relationship Id="rId4" Type="http://schemas.openxmlformats.org/officeDocument/2006/relationships/oleObject" Target="../embeddings/oleObject1.bin"/><Relationship Id="rId9" Type="http://schemas.openxmlformats.org/officeDocument/2006/relationships/image" Target="../media/image3.emf"/></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mments" Target="../comments2.xml"/><Relationship Id="rId5" Type="http://schemas.openxmlformats.org/officeDocument/2006/relationships/image" Target="../media/image14.emf"/><Relationship Id="rId4" Type="http://schemas.openxmlformats.org/officeDocument/2006/relationships/oleObject" Target="../embeddings/oleObject4.bin"/></Relationships>
</file>

<file path=xl/worksheets/_rels/sheet3.xml.rels><?xml version="1.0" encoding="UTF-8" standalone="yes"?>
<Relationships xmlns="http://schemas.openxmlformats.org/package/2006/relationships"><Relationship Id="rId8" Type="http://schemas.openxmlformats.org/officeDocument/2006/relationships/oleObject" Target="../embeddings/oleObject7.bin"/><Relationship Id="rId3" Type="http://schemas.openxmlformats.org/officeDocument/2006/relationships/vmlDrawing" Target="../drawings/vmlDrawing3.vml"/><Relationship Id="rId7" Type="http://schemas.openxmlformats.org/officeDocument/2006/relationships/image" Target="../media/image16.emf"/><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oleObject" Target="../embeddings/oleObject6.bin"/><Relationship Id="rId11" Type="http://schemas.openxmlformats.org/officeDocument/2006/relationships/comments" Target="../comments3.xml"/><Relationship Id="rId5" Type="http://schemas.openxmlformats.org/officeDocument/2006/relationships/image" Target="../media/image15.emf"/><Relationship Id="rId10" Type="http://schemas.openxmlformats.org/officeDocument/2006/relationships/oleObject" Target="../embeddings/oleObject8.bin"/><Relationship Id="rId4" Type="http://schemas.openxmlformats.org/officeDocument/2006/relationships/oleObject" Target="../embeddings/oleObject5.bin"/><Relationship Id="rId9" Type="http://schemas.openxmlformats.org/officeDocument/2006/relationships/image" Target="../media/image17.emf"/></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omments" Target="../comments4.xml"/><Relationship Id="rId5" Type="http://schemas.openxmlformats.org/officeDocument/2006/relationships/image" Target="../media/image15.emf"/><Relationship Id="rId4" Type="http://schemas.openxmlformats.org/officeDocument/2006/relationships/oleObject" Target="../embeddings/oleObject9.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S183"/>
  <sheetViews>
    <sheetView showGridLines="0" showRowColHeaders="0" tabSelected="1" topLeftCell="A4" zoomScaleNormal="100" workbookViewId="0">
      <selection activeCell="B4" sqref="B4:D4"/>
    </sheetView>
  </sheetViews>
  <sheetFormatPr baseColWidth="10" defaultColWidth="11" defaultRowHeight="15.75"/>
  <cols>
    <col min="1" max="1" width="18.75" style="1" customWidth="1"/>
    <col min="2" max="2" width="25.75" style="1" customWidth="1"/>
    <col min="3" max="4" width="15.625" style="1" customWidth="1"/>
    <col min="5" max="5" width="17.75" style="1" customWidth="1"/>
    <col min="6" max="6" width="12.625" style="1" customWidth="1"/>
    <col min="7" max="7" width="21.5" style="1" customWidth="1"/>
    <col min="8" max="8" width="11.75" style="1" customWidth="1"/>
    <col min="9" max="9" width="14.875" style="1" customWidth="1"/>
    <col min="10" max="10" width="22.625" style="1" customWidth="1"/>
    <col min="11" max="11" width="11.5" style="1" customWidth="1"/>
    <col min="12" max="12" width="12.75" style="1" customWidth="1"/>
    <col min="13" max="13" width="7.5" style="1" customWidth="1"/>
    <col min="14" max="14" width="13.75" style="1" customWidth="1"/>
    <col min="15" max="15" width="9" style="1" bestFit="1" customWidth="1"/>
    <col min="16" max="16" width="15.375" style="1" customWidth="1"/>
    <col min="17" max="17" width="11" style="1"/>
    <col min="18" max="18" width="13.75" style="1" customWidth="1"/>
    <col min="19" max="19" width="14.5" style="1" customWidth="1"/>
    <col min="20" max="20" width="13.5" style="1" customWidth="1"/>
    <col min="21" max="23" width="11" style="1"/>
    <col min="24" max="24" width="17.875" style="1" customWidth="1"/>
    <col min="25" max="16384" width="11" style="1"/>
  </cols>
  <sheetData>
    <row r="1" spans="1:11" ht="23.25">
      <c r="A1" s="452" t="s">
        <v>353</v>
      </c>
      <c r="B1" s="452"/>
      <c r="C1" s="452"/>
      <c r="D1" s="452"/>
      <c r="E1" s="452"/>
      <c r="F1" s="452"/>
      <c r="G1" s="452"/>
      <c r="H1" s="452"/>
      <c r="I1" s="153" t="s">
        <v>141</v>
      </c>
    </row>
    <row r="2" spans="1:11" ht="18.75">
      <c r="A2" s="453" t="s">
        <v>158</v>
      </c>
      <c r="B2" s="454"/>
      <c r="C2" s="454"/>
      <c r="D2" s="454"/>
      <c r="E2" s="454"/>
      <c r="F2" s="454"/>
      <c r="G2" s="454"/>
      <c r="H2" s="454"/>
      <c r="I2" s="154" t="s">
        <v>478</v>
      </c>
      <c r="K2" s="228" t="s">
        <v>228</v>
      </c>
    </row>
    <row r="3" spans="1:11" ht="26.25">
      <c r="A3" s="16"/>
      <c r="B3"/>
      <c r="C3" s="156"/>
      <c r="D3"/>
      <c r="E3"/>
      <c r="F3"/>
      <c r="G3"/>
      <c r="H3"/>
      <c r="I3" s="155">
        <v>45062</v>
      </c>
      <c r="K3" s="229" t="s">
        <v>229</v>
      </c>
    </row>
    <row r="4" spans="1:11">
      <c r="A4" s="17" t="s">
        <v>16</v>
      </c>
      <c r="B4" s="455"/>
      <c r="C4" s="455"/>
      <c r="D4" s="455"/>
      <c r="E4"/>
      <c r="F4"/>
      <c r="G4"/>
      <c r="H4"/>
      <c r="K4" s="230" t="s">
        <v>230</v>
      </c>
    </row>
    <row r="5" spans="1:11">
      <c r="A5" s="17" t="s">
        <v>17</v>
      </c>
      <c r="B5" s="455"/>
      <c r="C5" s="455"/>
      <c r="D5" s="455"/>
      <c r="E5"/>
      <c r="F5"/>
      <c r="G5"/>
      <c r="H5"/>
    </row>
    <row r="6" spans="1:11">
      <c r="A6" s="17" t="s">
        <v>18</v>
      </c>
      <c r="B6" s="456"/>
      <c r="C6" s="455"/>
      <c r="D6" s="455"/>
      <c r="E6"/>
      <c r="F6"/>
      <c r="G6"/>
      <c r="H6"/>
    </row>
    <row r="7" spans="1:11">
      <c r="A7" s="17" t="s">
        <v>19</v>
      </c>
      <c r="B7" s="455"/>
      <c r="C7" s="455"/>
      <c r="D7" s="455"/>
      <c r="E7"/>
      <c r="F7"/>
      <c r="G7"/>
      <c r="H7"/>
    </row>
    <row r="8" spans="1:11">
      <c r="A8" s="17" t="s">
        <v>20</v>
      </c>
      <c r="B8" s="462"/>
      <c r="C8" s="463"/>
      <c r="D8" s="464"/>
      <c r="E8"/>
      <c r="F8"/>
      <c r="G8"/>
      <c r="H8"/>
    </row>
    <row r="10" spans="1:11" ht="23.25" customHeight="1">
      <c r="A10" s="468" t="s">
        <v>420</v>
      </c>
      <c r="B10" s="468"/>
      <c r="C10" s="468"/>
      <c r="D10" s="468"/>
      <c r="E10" s="468"/>
      <c r="F10" s="468"/>
      <c r="G10" s="468"/>
      <c r="H10" s="468"/>
      <c r="I10" s="468"/>
    </row>
    <row r="11" spans="1:11" ht="21.75" customHeight="1">
      <c r="A11" s="468"/>
      <c r="B11" s="468"/>
      <c r="C11" s="468"/>
      <c r="D11" s="468"/>
      <c r="E11" s="468"/>
      <c r="F11" s="468"/>
      <c r="G11" s="468"/>
      <c r="H11" s="468"/>
      <c r="I11" s="468"/>
    </row>
    <row r="12" spans="1:11" ht="18.75">
      <c r="A12" s="28" t="s">
        <v>89</v>
      </c>
      <c r="B12" s="179" t="s">
        <v>176</v>
      </c>
      <c r="C12" s="29"/>
      <c r="D12" s="30"/>
      <c r="E12" s="1" t="s">
        <v>204</v>
      </c>
      <c r="F12" s="29"/>
      <c r="G12" s="1" t="s">
        <v>225</v>
      </c>
    </row>
    <row r="14" spans="1:11" ht="23.25">
      <c r="A14" s="15" t="s">
        <v>114</v>
      </c>
    </row>
    <row r="16" spans="1:11" ht="21" customHeight="1">
      <c r="A16" s="169" t="s">
        <v>150</v>
      </c>
      <c r="C16" s="21"/>
      <c r="D16" s="21"/>
      <c r="E16" s="21"/>
    </row>
    <row r="17" spans="1:16">
      <c r="C17" s="21"/>
      <c r="D17" s="21"/>
      <c r="E17" s="21"/>
    </row>
    <row r="18" spans="1:16" ht="54" customHeight="1">
      <c r="A18" s="34" t="s">
        <v>113</v>
      </c>
      <c r="B18" s="35" t="s">
        <v>186</v>
      </c>
      <c r="C18" s="35" t="s">
        <v>112</v>
      </c>
      <c r="D18" s="35" t="s">
        <v>115</v>
      </c>
      <c r="E18" s="35" t="s">
        <v>111</v>
      </c>
      <c r="F18" s="9" t="s">
        <v>0</v>
      </c>
      <c r="G18" s="9" t="s">
        <v>1</v>
      </c>
      <c r="H18" s="6"/>
      <c r="I18" s="47"/>
    </row>
    <row r="19" spans="1:16">
      <c r="A19" s="25" t="s">
        <v>100</v>
      </c>
      <c r="B19" s="45"/>
      <c r="C19" s="45"/>
      <c r="D19" s="465"/>
      <c r="E19" s="45"/>
      <c r="F19" s="27" t="s">
        <v>2</v>
      </c>
      <c r="G19" s="27">
        <f>Zwischenrechnung!H4</f>
        <v>0.6</v>
      </c>
      <c r="H19" s="22"/>
      <c r="I19" s="48"/>
    </row>
    <row r="20" spans="1:16">
      <c r="A20" s="25" t="s">
        <v>103</v>
      </c>
      <c r="B20" s="45"/>
      <c r="C20" s="45"/>
      <c r="D20" s="466"/>
      <c r="E20" s="45"/>
      <c r="F20" s="27" t="str">
        <f>VLOOKUP(G20,Zwischenrechnung!H6:I7,2)</f>
        <v>kurz</v>
      </c>
      <c r="G20" s="46">
        <v>0.9</v>
      </c>
      <c r="H20" s="22"/>
      <c r="I20" s="48"/>
    </row>
    <row r="21" spans="1:16">
      <c r="A21" s="10" t="s">
        <v>104</v>
      </c>
      <c r="B21" s="45"/>
      <c r="C21" s="45"/>
      <c r="D21" s="466"/>
      <c r="E21" s="45"/>
      <c r="F21" s="11" t="str">
        <f>VLOOKUP(G21,Zwischenrechnung!H5:I7,2)</f>
        <v>mittel</v>
      </c>
      <c r="G21" s="43">
        <v>0.8</v>
      </c>
      <c r="H21" s="22"/>
      <c r="I21" s="48"/>
      <c r="N21" s="316"/>
    </row>
    <row r="22" spans="1:16">
      <c r="A22" s="10" t="s">
        <v>105</v>
      </c>
      <c r="B22" s="45"/>
      <c r="C22" s="45"/>
      <c r="D22" s="467"/>
      <c r="E22" s="45"/>
      <c r="F22" s="11" t="str">
        <f>VLOOKUP(G22,Zwischenrechnung!H6:I8,2)</f>
        <v>kurz</v>
      </c>
      <c r="G22" s="187">
        <v>0.9</v>
      </c>
      <c r="H22" s="22"/>
      <c r="I22" s="48"/>
    </row>
    <row r="23" spans="1:16">
      <c r="A23" s="10" t="s">
        <v>106</v>
      </c>
      <c r="B23" s="45"/>
      <c r="C23" s="44"/>
      <c r="D23" s="45"/>
      <c r="E23" s="45"/>
      <c r="F23" s="11" t="str">
        <f>VLOOKUP(G23,Zwischenrechnung!H7:I8,2)</f>
        <v>kurz</v>
      </c>
      <c r="G23" s="187">
        <v>0.9</v>
      </c>
      <c r="H23" s="12"/>
      <c r="I23" s="8"/>
    </row>
    <row r="24" spans="1:16" ht="18.75">
      <c r="A24" s="1" t="s">
        <v>200</v>
      </c>
      <c r="B24" s="457" t="s">
        <v>201</v>
      </c>
      <c r="C24" s="457"/>
      <c r="D24" s="457"/>
      <c r="E24" s="31"/>
      <c r="F24" s="206" t="s">
        <v>476</v>
      </c>
      <c r="G24" s="449">
        <v>1.3</v>
      </c>
      <c r="H24" s="1" t="s">
        <v>475</v>
      </c>
    </row>
    <row r="25" spans="1:16">
      <c r="B25" s="458"/>
      <c r="C25" s="458"/>
      <c r="D25" s="458"/>
      <c r="E25" s="470" t="str">
        <f>IF(AND(B29=Zwischenrechnung!L37,OR(Bemessung!E19&gt;0,Bemessung!E20&gt;0,Bemessung!E21&gt;0,Bemessung!E22&gt;0,Bemessung!E23&gt;0)),"Für den Stützen-Nebenträger-Anschluss sind nach ETA 10-0,189 keine Belastungswerte angegeben! Bitte überall 0 eingeben, damit der Nachweis ohne F45,d gerechnet werden kann!","")</f>
        <v/>
      </c>
      <c r="F25" s="470"/>
      <c r="G25" s="470"/>
      <c r="H25" s="470"/>
      <c r="I25" s="470"/>
    </row>
    <row r="26" spans="1:16" ht="29.25" customHeight="1">
      <c r="A26" s="15" t="s">
        <v>206</v>
      </c>
      <c r="E26" s="470"/>
      <c r="F26" s="470"/>
      <c r="G26" s="470"/>
      <c r="H26" s="470"/>
      <c r="I26" s="470"/>
    </row>
    <row r="27" spans="1:16" ht="16.5" thickBot="1"/>
    <row r="28" spans="1:16">
      <c r="A28" s="159" t="s">
        <v>78</v>
      </c>
      <c r="B28" s="348" t="s">
        <v>361</v>
      </c>
      <c r="C28" s="210" t="s">
        <v>210</v>
      </c>
      <c r="D28" s="129"/>
      <c r="E28" s="207" t="str">
        <f>IF(D23&lt;0,"mit 1 Sperrklappe","")</f>
        <v/>
      </c>
      <c r="J28" s="349" t="s">
        <v>97</v>
      </c>
      <c r="K28" s="11" t="s">
        <v>395</v>
      </c>
      <c r="L28" s="360" t="s">
        <v>400</v>
      </c>
      <c r="M28" s="11" t="s">
        <v>396</v>
      </c>
      <c r="N28" s="360" t="s">
        <v>397</v>
      </c>
      <c r="O28" s="11" t="s">
        <v>398</v>
      </c>
      <c r="P28" s="360" t="s">
        <v>399</v>
      </c>
    </row>
    <row r="29" spans="1:16">
      <c r="A29" s="346" t="s">
        <v>372</v>
      </c>
      <c r="B29" s="472" t="s">
        <v>375</v>
      </c>
      <c r="C29" s="472"/>
      <c r="E29" s="347"/>
      <c r="J29" s="62" t="s">
        <v>366</v>
      </c>
      <c r="K29" s="361">
        <v>7</v>
      </c>
      <c r="L29" s="364">
        <v>160</v>
      </c>
      <c r="M29" s="361">
        <v>7</v>
      </c>
      <c r="N29" s="364">
        <v>80</v>
      </c>
      <c r="O29" s="361">
        <v>6</v>
      </c>
      <c r="P29" s="444">
        <v>80</v>
      </c>
    </row>
    <row r="30" spans="1:16" ht="16.5" thickBot="1">
      <c r="A30" s="131">
        <f>IF(Bemessung!B29=Zwischenrechnung!L36,VLOOKUP(B28,Zwischenrechnung!A18:B27,2,FALSE),VLOOKUP(Bemessung!B28,Zwischenrechnung!A18:H27,8,FALSE))</f>
        <v>16</v>
      </c>
      <c r="B30" s="1" t="str">
        <f>VLOOKUP(B29,Zwischenrechnung!L36:N37,3,FALSE)</f>
        <v>Vollgewindeschrauben Hauptträger</v>
      </c>
      <c r="D30" s="24">
        <f>IF(B29=Zwischenrechnung!L36,VLOOKUP(B28,Zwischenrechnung!A18:D27,3,FALSE),VLOOKUP(Bemessung!B28,Zwischenrechnung!A18:I27,9,FALSE))</f>
        <v>10</v>
      </c>
      <c r="E30" s="139">
        <f>IF(B29=Zwischenrechnung!L36,VLOOKUP(B28,Zwischenrechnung!A18:D27,4,FALSE),VLOOKUP(B28,Zwischenrechnung!A18:J27,10,FALSE))</f>
        <v>100</v>
      </c>
      <c r="F30" s="5"/>
      <c r="J30" s="67" t="s">
        <v>365</v>
      </c>
      <c r="K30" s="373">
        <v>10</v>
      </c>
      <c r="L30" s="365">
        <v>160</v>
      </c>
      <c r="M30" s="373">
        <v>10</v>
      </c>
      <c r="N30" s="365">
        <v>80</v>
      </c>
      <c r="O30" s="373">
        <v>8</v>
      </c>
      <c r="P30" s="445">
        <v>80</v>
      </c>
    </row>
    <row r="31" spans="1:16">
      <c r="A31" s="131" t="str">
        <f>IF($B$28=$J$38,2,"")</f>
        <v/>
      </c>
      <c r="B31" s="1" t="str">
        <f>IF(Bemessung!B29=Zwischenrechnung!L36,IF($B$28=Zwischenrechnung!A27,"Schrägschrauben Hauptträger",""),IF($B$28=Zwischenrechnung!A27,"Schrägschrauben Stütze",""))</f>
        <v/>
      </c>
      <c r="D31" s="24" t="str">
        <f>IF($B$28=Zwischenrechnung!A27,10,"")</f>
        <v/>
      </c>
      <c r="E31" s="139" t="str">
        <f>IF($B$28=Zwischenrechnung!A27,IF(B29=Zwischenrechnung!L36,Zwischenrechnung!D28,Zwischenrechnung!J28),"")</f>
        <v/>
      </c>
      <c r="F31" s="5"/>
      <c r="J31" s="331" t="s">
        <v>358</v>
      </c>
      <c r="K31" s="362">
        <v>8</v>
      </c>
      <c r="L31" s="364">
        <v>160</v>
      </c>
      <c r="M31" s="362">
        <v>8</v>
      </c>
      <c r="N31" s="364">
        <v>80</v>
      </c>
      <c r="O31" s="362">
        <v>9</v>
      </c>
      <c r="P31" s="444">
        <v>80</v>
      </c>
    </row>
    <row r="32" spans="1:16" ht="16.5" thickBot="1">
      <c r="A32" s="131">
        <f>VLOOKUP(B28,Zwischenrechnung!A18:E27,5,FALSE)</f>
        <v>16</v>
      </c>
      <c r="B32" s="1" t="s">
        <v>109</v>
      </c>
      <c r="D32" s="24">
        <f>VLOOKUP(B28,Zwischenrechnung!A18:G27,6,FALSE)</f>
        <v>10</v>
      </c>
      <c r="E32" s="139">
        <f>VLOOKUP(B28,Zwischenrechnung!A18:G27,7,FALSE)</f>
        <v>300</v>
      </c>
      <c r="F32" s="5"/>
      <c r="J32" s="73" t="s">
        <v>359</v>
      </c>
      <c r="K32" s="374">
        <v>16</v>
      </c>
      <c r="L32" s="365">
        <v>160</v>
      </c>
      <c r="M32" s="374">
        <v>16</v>
      </c>
      <c r="N32" s="365">
        <v>80</v>
      </c>
      <c r="O32" s="374">
        <v>13</v>
      </c>
      <c r="P32" s="445">
        <v>80</v>
      </c>
    </row>
    <row r="33" spans="1:16">
      <c r="A33" s="131" t="str">
        <f>IF($B$28=$J$38,2,"")</f>
        <v/>
      </c>
      <c r="B33" s="1" t="str">
        <f>IF($B$28=Zwischenrechnung!A27,"Schrägschrauben Nebenträger","")</f>
        <v/>
      </c>
      <c r="D33" s="24" t="str">
        <f>IF($B$28=Zwischenrechnung!A27,Zwischenrechnung!F28,"")</f>
        <v/>
      </c>
      <c r="E33" s="139" t="str">
        <f>IF($B$28=Zwischenrechnung!A27,Zwischenrechnung!G28,"")</f>
        <v/>
      </c>
      <c r="F33" s="5"/>
      <c r="J33" s="76" t="s">
        <v>360</v>
      </c>
      <c r="K33" s="363">
        <v>8</v>
      </c>
      <c r="L33" s="366">
        <v>200</v>
      </c>
      <c r="M33" s="363">
        <v>8</v>
      </c>
      <c r="N33" s="366">
        <v>100</v>
      </c>
      <c r="O33" s="363">
        <v>9</v>
      </c>
      <c r="P33" s="366">
        <v>100</v>
      </c>
    </row>
    <row r="34" spans="1:16" ht="16.5" thickBot="1">
      <c r="A34" s="131" t="s">
        <v>317</v>
      </c>
      <c r="B34" s="447">
        <v>90</v>
      </c>
      <c r="C34" s="226" t="str">
        <f>IF(B34&lt;80,"Bitte bei Schräganschlüsse auf die Schraubenlänge im NT achten!","")</f>
        <v/>
      </c>
      <c r="E34" s="158"/>
      <c r="F34" s="5"/>
      <c r="J34" s="67" t="s">
        <v>361</v>
      </c>
      <c r="K34" s="373">
        <v>16</v>
      </c>
      <c r="L34" s="367">
        <v>300</v>
      </c>
      <c r="M34" s="373">
        <v>16</v>
      </c>
      <c r="N34" s="367">
        <v>100</v>
      </c>
      <c r="O34" s="373">
        <v>13</v>
      </c>
      <c r="P34" s="367">
        <v>100</v>
      </c>
    </row>
    <row r="35" spans="1:16">
      <c r="A35" s="131" t="s">
        <v>394</v>
      </c>
      <c r="B35" s="39" t="s">
        <v>143</v>
      </c>
      <c r="C35" s="1" t="str">
        <f>VLOOKUP(B35,Zwischenrechnung!J2:N14,5,FALSE)</f>
        <v>Brettschichtholz homogen</v>
      </c>
      <c r="E35" s="158"/>
      <c r="F35" s="5"/>
      <c r="J35" s="331" t="s">
        <v>362</v>
      </c>
      <c r="K35" s="362">
        <v>8</v>
      </c>
      <c r="L35" s="366">
        <v>200</v>
      </c>
      <c r="M35" s="362">
        <v>8</v>
      </c>
      <c r="N35" s="366">
        <v>100</v>
      </c>
      <c r="O35" s="362">
        <v>13</v>
      </c>
      <c r="P35" s="366">
        <v>100</v>
      </c>
    </row>
    <row r="36" spans="1:16" ht="19.5" thickBot="1">
      <c r="A36" s="131" t="s">
        <v>312</v>
      </c>
      <c r="B36" s="157">
        <f>VLOOKUP(B35,Zwischenrechnung!J2:K12,2,FALSE)</f>
        <v>385</v>
      </c>
      <c r="C36" s="23" t="str">
        <f>IF(B36=590,"Rohdichte wird mit 590 kg/m³ wg. der Schrauben gerechnet !","")</f>
        <v/>
      </c>
      <c r="E36" s="158"/>
      <c r="F36" s="5"/>
      <c r="J36" s="73" t="s">
        <v>363</v>
      </c>
      <c r="K36" s="374">
        <v>25</v>
      </c>
      <c r="L36" s="367">
        <v>100</v>
      </c>
      <c r="M36" s="374">
        <v>25</v>
      </c>
      <c r="N36" s="367">
        <v>100</v>
      </c>
      <c r="O36" s="374">
        <v>20</v>
      </c>
      <c r="P36" s="367">
        <v>100</v>
      </c>
    </row>
    <row r="37" spans="1:16">
      <c r="A37" s="131" t="str">
        <f>IF(B29=Zwischenrechnung!L36,"Holzqualität HT:","Holzqualität Stütze:")</f>
        <v>Holzqualität HT:</v>
      </c>
      <c r="B37" s="39" t="s">
        <v>143</v>
      </c>
      <c r="C37" s="1" t="str">
        <f>VLOOKUP(B37,Zwischenrechnung!J2:N12,5,FALSE)</f>
        <v>Brettschichtholz homogen</v>
      </c>
      <c r="E37" s="158"/>
      <c r="F37" s="5"/>
      <c r="J37" s="76" t="s">
        <v>211</v>
      </c>
      <c r="K37" s="363">
        <v>28</v>
      </c>
      <c r="L37" s="366">
        <v>200</v>
      </c>
      <c r="M37" s="363">
        <v>28</v>
      </c>
      <c r="N37" s="366">
        <v>100</v>
      </c>
      <c r="O37" s="363">
        <v>23</v>
      </c>
      <c r="P37" s="366">
        <v>100</v>
      </c>
    </row>
    <row r="38" spans="1:16" ht="18.75">
      <c r="A38" s="131" t="s">
        <v>315</v>
      </c>
      <c r="B38" s="157">
        <f>VLOOKUP(B37,Zwischenrechnung!J2:N12,2,FALSE)</f>
        <v>385</v>
      </c>
      <c r="C38" s="23"/>
      <c r="E38" s="158"/>
      <c r="F38" s="5"/>
      <c r="J38" s="62" t="s">
        <v>215</v>
      </c>
      <c r="K38" s="361">
        <v>28</v>
      </c>
      <c r="L38" s="368">
        <v>200</v>
      </c>
      <c r="M38" s="361">
        <v>28</v>
      </c>
      <c r="N38" s="368">
        <v>100</v>
      </c>
      <c r="O38" s="361">
        <v>23</v>
      </c>
      <c r="P38" s="368">
        <v>100</v>
      </c>
    </row>
    <row r="39" spans="1:16">
      <c r="A39" s="131" t="s">
        <v>205</v>
      </c>
      <c r="B39" s="1" t="str">
        <f>Zwischenrechnung!L15</f>
        <v>ETA-10/0189</v>
      </c>
      <c r="E39" s="158"/>
      <c r="J39" s="5"/>
      <c r="K39" s="361">
        <v>2</v>
      </c>
      <c r="L39" s="368">
        <v>450</v>
      </c>
      <c r="M39" s="361">
        <v>2</v>
      </c>
      <c r="N39" s="368">
        <v>400</v>
      </c>
      <c r="O39" s="361">
        <v>2</v>
      </c>
      <c r="P39" s="368">
        <v>400</v>
      </c>
    </row>
    <row r="40" spans="1:16" ht="18.75">
      <c r="A40" s="131" t="s">
        <v>87</v>
      </c>
      <c r="B40" s="208">
        <f>VLOOKUP(B28,Zwischenrechnung!A18:K27,8,FALSE)</f>
        <v>13</v>
      </c>
      <c r="E40" s="158"/>
      <c r="F40" s="2" t="s">
        <v>220</v>
      </c>
      <c r="G40" s="1" t="s">
        <v>316</v>
      </c>
      <c r="J40" s="5"/>
    </row>
    <row r="41" spans="1:16" ht="19.5" thickBot="1">
      <c r="A41" s="160" t="s">
        <v>82</v>
      </c>
      <c r="B41" s="209">
        <f>VLOOKUP(B28,Zwischenrechnung!A18:L27,9,FALSE)</f>
        <v>10</v>
      </c>
      <c r="C41" s="132"/>
      <c r="D41" s="132"/>
      <c r="E41" s="145"/>
      <c r="F41" s="5"/>
      <c r="G41" s="2"/>
      <c r="H41" s="23" t="s">
        <v>218</v>
      </c>
      <c r="J41" s="5"/>
    </row>
    <row r="42" spans="1:16">
      <c r="F42" s="483" t="s">
        <v>219</v>
      </c>
      <c r="G42" s="319"/>
      <c r="H42" s="320"/>
      <c r="J42" s="5"/>
    </row>
    <row r="43" spans="1:16">
      <c r="A43" s="469" t="s">
        <v>318</v>
      </c>
      <c r="B43" s="469"/>
      <c r="C43" s="469"/>
      <c r="D43" s="469"/>
      <c r="E43" s="469"/>
      <c r="F43" s="483"/>
      <c r="G43" s="320"/>
      <c r="H43" s="320"/>
    </row>
    <row r="44" spans="1:16" ht="18.75">
      <c r="A44" s="11" t="s">
        <v>1</v>
      </c>
      <c r="B44" s="20" t="s">
        <v>76</v>
      </c>
      <c r="C44" s="20" t="s">
        <v>21</v>
      </c>
      <c r="D44" s="20" t="s">
        <v>101</v>
      </c>
      <c r="E44" s="20" t="s">
        <v>77</v>
      </c>
      <c r="F44" s="483"/>
      <c r="G44" s="320"/>
      <c r="H44" s="320"/>
    </row>
    <row r="45" spans="1:16">
      <c r="A45" s="11">
        <v>0.6</v>
      </c>
      <c r="B45" s="20">
        <f>Zwischenrechnung!B102</f>
        <v>7.2635364041984101</v>
      </c>
      <c r="C45" s="20">
        <f>Zwischenrechnung!C102</f>
        <v>42.653338680003927</v>
      </c>
      <c r="D45" s="478"/>
      <c r="E45" s="20">
        <f>Zwischenrechnung!E102</f>
        <v>14.708719502345069</v>
      </c>
      <c r="F45" s="483"/>
      <c r="G45" s="320"/>
      <c r="H45" s="320"/>
    </row>
    <row r="46" spans="1:16">
      <c r="A46" s="11">
        <v>0.7</v>
      </c>
      <c r="B46" s="20">
        <f>Zwischenrechnung!B103</f>
        <v>8.4741258048981472</v>
      </c>
      <c r="C46" s="20">
        <f>Zwischenrechnung!C103</f>
        <v>49.762228460004579</v>
      </c>
      <c r="D46" s="479"/>
      <c r="E46" s="20">
        <f>Zwischenrechnung!E103</f>
        <v>17.16017275273591</v>
      </c>
      <c r="F46" s="483"/>
      <c r="G46" s="320"/>
      <c r="H46" s="320"/>
    </row>
    <row r="47" spans="1:16">
      <c r="A47" s="11">
        <v>0.8</v>
      </c>
      <c r="B47" s="20">
        <f>Zwischenrechnung!B104</f>
        <v>9.6847152055978825</v>
      </c>
      <c r="C47" s="20">
        <f>Zwischenrechnung!C104</f>
        <v>56.871118240005231</v>
      </c>
      <c r="D47" s="480"/>
      <c r="E47" s="20">
        <f>Zwischenrechnung!E104</f>
        <v>19.611626003126759</v>
      </c>
      <c r="G47" s="223"/>
    </row>
    <row r="48" spans="1:16">
      <c r="A48" s="11">
        <v>0.9</v>
      </c>
      <c r="B48" s="20">
        <f>Zwischenrechnung!B105</f>
        <v>10.895304606297618</v>
      </c>
      <c r="C48" s="20">
        <f>Zwischenrechnung!C105</f>
        <v>63.980008020005883</v>
      </c>
      <c r="D48" s="32">
        <f>Zwischenrechnung!D105</f>
        <v>14.4</v>
      </c>
      <c r="E48" s="20">
        <f>Zwischenrechnung!E105</f>
        <v>22.063079253517603</v>
      </c>
    </row>
    <row r="49" spans="1:9">
      <c r="A49" s="188">
        <v>1</v>
      </c>
      <c r="B49" s="20">
        <f>Zwischenrechnung!B106</f>
        <v>12.105894006997353</v>
      </c>
      <c r="C49" s="20">
        <f>Zwischenrechnung!C106</f>
        <v>71.088897800006535</v>
      </c>
      <c r="D49" s="32">
        <f>Zwischenrechnung!D106</f>
        <v>14.4</v>
      </c>
      <c r="E49" s="20">
        <f>Zwischenrechnung!E106</f>
        <v>24.514532503908448</v>
      </c>
      <c r="F49" s="22"/>
    </row>
    <row r="51" spans="1:9" ht="19.5" thickBot="1">
      <c r="A51" s="169" t="s">
        <v>321</v>
      </c>
      <c r="B51"/>
      <c r="C51"/>
      <c r="D51"/>
      <c r="E51"/>
    </row>
    <row r="52" spans="1:9" ht="18.75">
      <c r="A52" s="297" t="s">
        <v>99</v>
      </c>
      <c r="B52" s="298" t="s">
        <v>329</v>
      </c>
      <c r="C52" s="299" t="s">
        <v>330</v>
      </c>
      <c r="D52" s="299" t="s">
        <v>331</v>
      </c>
      <c r="E52" s="300" t="s">
        <v>332</v>
      </c>
    </row>
    <row r="53" spans="1:9">
      <c r="A53" s="303" t="s">
        <v>100</v>
      </c>
      <c r="B53" s="310">
        <f>Zwischenrechnung!B128</f>
        <v>0</v>
      </c>
      <c r="C53" s="310">
        <f>Zwischenrechnung!C128</f>
        <v>0</v>
      </c>
      <c r="D53" s="473"/>
      <c r="E53" s="310">
        <f>Zwischenrechnung!E128</f>
        <v>0</v>
      </c>
    </row>
    <row r="54" spans="1:9">
      <c r="A54" s="303" t="s">
        <v>103</v>
      </c>
      <c r="B54" s="310">
        <f>Zwischenrechnung!B129</f>
        <v>0</v>
      </c>
      <c r="C54" s="310">
        <f>Zwischenrechnung!C129</f>
        <v>0</v>
      </c>
      <c r="D54" s="473"/>
      <c r="E54" s="310">
        <f>Zwischenrechnung!E129</f>
        <v>0</v>
      </c>
    </row>
    <row r="55" spans="1:9">
      <c r="A55" s="303" t="s">
        <v>104</v>
      </c>
      <c r="B55" s="310">
        <f>Zwischenrechnung!B130</f>
        <v>0</v>
      </c>
      <c r="C55" s="310">
        <f>Zwischenrechnung!C130</f>
        <v>0</v>
      </c>
      <c r="D55" s="473"/>
      <c r="E55" s="310">
        <f>Zwischenrechnung!E130</f>
        <v>0</v>
      </c>
    </row>
    <row r="56" spans="1:9">
      <c r="A56" s="303" t="s">
        <v>105</v>
      </c>
      <c r="B56" s="310">
        <f>Zwischenrechnung!B131</f>
        <v>0</v>
      </c>
      <c r="C56" s="310">
        <f>Zwischenrechnung!C131</f>
        <v>0</v>
      </c>
      <c r="D56" s="473"/>
      <c r="E56" s="310">
        <f>Zwischenrechnung!E131</f>
        <v>0</v>
      </c>
    </row>
    <row r="57" spans="1:9" ht="19.5" thickBot="1">
      <c r="A57" s="304" t="s">
        <v>106</v>
      </c>
      <c r="B57" s="311">
        <f>Zwischenrechnung!B132</f>
        <v>0</v>
      </c>
      <c r="C57" s="309"/>
      <c r="D57" s="311">
        <f>Zwischenrechnung!D132</f>
        <v>0</v>
      </c>
      <c r="E57" s="311">
        <f>Zwischenrechnung!E132</f>
        <v>0</v>
      </c>
      <c r="F57" s="227" t="str">
        <f>IF(AND(B53&lt;=1,B54&lt;=1,B55&lt;=1,B56&lt;=1,B57&lt;=1,C53&lt;=1,C54&lt;=1,C55&lt;=1,C56&lt;=1,D57&lt;=1,E53&lt;=1,E54&lt;=1,E55&lt;=1,E56&lt;=1,E57&lt;=1),"Alle Einzelnachweise sind erbracht!","Nicht alle Einelnachweise sind erbracht!")</f>
        <v>Alle Einzelnachweise sind erbracht!</v>
      </c>
    </row>
    <row r="59" spans="1:9" ht="19.5" thickBot="1">
      <c r="A59" s="169" t="s">
        <v>340</v>
      </c>
    </row>
    <row r="60" spans="1:9" ht="18.75">
      <c r="A60" s="297" t="s">
        <v>99</v>
      </c>
      <c r="B60" s="300" t="s">
        <v>333</v>
      </c>
      <c r="C60" s="451" t="s">
        <v>334</v>
      </c>
      <c r="D60" s="451"/>
      <c r="E60" s="451" t="s">
        <v>335</v>
      </c>
      <c r="F60" s="451"/>
      <c r="G60" s="451" t="s">
        <v>336</v>
      </c>
      <c r="H60" s="451"/>
      <c r="I60" s="451"/>
    </row>
    <row r="61" spans="1:9">
      <c r="A61" s="303" t="s">
        <v>100</v>
      </c>
      <c r="B61" s="310">
        <f>Zwischenrechnung!F136</f>
        <v>0</v>
      </c>
      <c r="C61" s="459">
        <f>Zwischenrechnung!H136</f>
        <v>0</v>
      </c>
      <c r="D61" s="459"/>
      <c r="E61" s="459">
        <f>Zwischenrechnung!J136</f>
        <v>0</v>
      </c>
      <c r="F61" s="459"/>
      <c r="G61" s="459">
        <f>Zwischenrechnung!L136</f>
        <v>0</v>
      </c>
      <c r="H61" s="459"/>
      <c r="I61" s="459"/>
    </row>
    <row r="62" spans="1:9">
      <c r="A62" s="303" t="s">
        <v>103</v>
      </c>
      <c r="B62" s="310">
        <f>Zwischenrechnung!F137</f>
        <v>0</v>
      </c>
      <c r="C62" s="459">
        <f>Zwischenrechnung!H137</f>
        <v>0</v>
      </c>
      <c r="D62" s="459"/>
      <c r="E62" s="459">
        <f>Zwischenrechnung!J137</f>
        <v>0</v>
      </c>
      <c r="F62" s="459"/>
      <c r="G62" s="459">
        <f>Zwischenrechnung!L137</f>
        <v>0</v>
      </c>
      <c r="H62" s="459"/>
      <c r="I62" s="459"/>
    </row>
    <row r="63" spans="1:9">
      <c r="A63" s="303" t="s">
        <v>104</v>
      </c>
      <c r="B63" s="310">
        <f>Zwischenrechnung!F138</f>
        <v>0</v>
      </c>
      <c r="C63" s="459">
        <f>Zwischenrechnung!H138</f>
        <v>0</v>
      </c>
      <c r="D63" s="459"/>
      <c r="E63" s="459">
        <f>Zwischenrechnung!J138</f>
        <v>0</v>
      </c>
      <c r="F63" s="459"/>
      <c r="G63" s="459">
        <f>Zwischenrechnung!L138</f>
        <v>0</v>
      </c>
      <c r="H63" s="459"/>
      <c r="I63" s="459"/>
    </row>
    <row r="64" spans="1:9" ht="16.5" thickBot="1">
      <c r="A64" s="304" t="s">
        <v>105</v>
      </c>
      <c r="B64" s="311">
        <f>Zwischenrechnung!F139</f>
        <v>0</v>
      </c>
      <c r="C64" s="471">
        <f>Zwischenrechnung!H139</f>
        <v>0</v>
      </c>
      <c r="D64" s="471"/>
      <c r="E64" s="471">
        <f>Zwischenrechnung!J139</f>
        <v>0</v>
      </c>
      <c r="F64" s="471"/>
      <c r="G64" s="471">
        <f>Zwischenrechnung!L139</f>
        <v>0</v>
      </c>
      <c r="H64" s="471"/>
      <c r="I64" s="471"/>
    </row>
    <row r="65" spans="1:19" ht="16.5" thickBot="1">
      <c r="A65" s="294"/>
      <c r="B65" s="294"/>
      <c r="C65" s="296"/>
      <c r="D65" s="296"/>
      <c r="E65" s="294"/>
      <c r="F65" s="294"/>
      <c r="G65"/>
      <c r="H65"/>
      <c r="I65"/>
    </row>
    <row r="66" spans="1:19" ht="18.75">
      <c r="A66" s="297" t="s">
        <v>99</v>
      </c>
      <c r="B66" s="300" t="s">
        <v>337</v>
      </c>
      <c r="C66" s="451" t="s">
        <v>338</v>
      </c>
      <c r="D66" s="451"/>
      <c r="E66" s="451" t="s">
        <v>335</v>
      </c>
      <c r="F66" s="451"/>
      <c r="G66" s="451" t="s">
        <v>339</v>
      </c>
      <c r="H66" s="451"/>
      <c r="I66" s="451"/>
    </row>
    <row r="67" spans="1:19" ht="16.5" thickBot="1">
      <c r="A67" s="304" t="s">
        <v>106</v>
      </c>
      <c r="B67" s="311">
        <f>Zwischenrechnung!F142</f>
        <v>0</v>
      </c>
      <c r="C67" s="471">
        <f>Zwischenrechnung!H142</f>
        <v>0</v>
      </c>
      <c r="D67" s="471"/>
      <c r="E67" s="471">
        <f>Zwischenrechnung!J142</f>
        <v>0</v>
      </c>
      <c r="F67" s="471"/>
      <c r="G67" s="471">
        <f>Zwischenrechnung!L142</f>
        <v>0</v>
      </c>
      <c r="H67" s="471"/>
      <c r="I67" s="471"/>
    </row>
    <row r="68" spans="1:19" ht="18.75">
      <c r="B68" s="227" t="str" cm="1">
        <f t="array" ref="B68">IF(AND(B61:I64=0,B67:I67=0),"Es wird kein Kombinationsnachweis erforderlich, weil es sich nur um Einzellasten handelt!",IF(AND(B61&lt;=1,B62&lt;=1,B63&lt;=1,B64&lt;=1,B67&lt;=1,C61&lt;=1,C62&lt;=1,C63&lt;=1,C64&lt;=1,C67&lt;=1,E61&lt;=1,E62&lt;=1,E63&lt;=1,E64&lt;=1,E67&lt;=1,G61&lt;=1,G62&lt;=1,G63&lt;=1,G64&lt;=1,G67&lt;=1),"Alle Kombinationsnachweise sind erbracht!","Nicht alle Kombinationsnachweise sind erbracht!"))</f>
        <v>Es wird kein Kombinationsnachweis erforderlich, weil es sich nur um Einzellasten handelt!</v>
      </c>
    </row>
    <row r="69" spans="1:19">
      <c r="E69" s="5"/>
    </row>
    <row r="70" spans="1:19">
      <c r="A70" s="7"/>
      <c r="B70" s="7"/>
      <c r="C70" s="7"/>
      <c r="D70" s="7"/>
      <c r="E70" s="7"/>
      <c r="F70" s="7"/>
      <c r="G70" s="7"/>
      <c r="H70" s="7"/>
      <c r="I70" s="7"/>
    </row>
    <row r="72" spans="1:19" ht="23.25">
      <c r="A72" s="15" t="s">
        <v>241</v>
      </c>
    </row>
    <row r="73" spans="1:19" ht="18.75">
      <c r="A73" s="1" t="s">
        <v>419</v>
      </c>
    </row>
    <row r="74" spans="1:19" ht="18.75" customHeight="1">
      <c r="A74" s="26" t="s">
        <v>242</v>
      </c>
      <c r="K74" s="242"/>
      <c r="L74" s="242"/>
      <c r="M74" s="242"/>
      <c r="N74" s="242"/>
      <c r="O74" s="242"/>
      <c r="P74" s="242"/>
      <c r="Q74" s="242"/>
      <c r="R74" s="242"/>
      <c r="S74" s="242"/>
    </row>
    <row r="75" spans="1:19" ht="21" thickBot="1">
      <c r="A75" s="266" t="s">
        <v>297</v>
      </c>
      <c r="B75" s="264" t="e">
        <f>B82/E83</f>
        <v>#DIV/0!</v>
      </c>
      <c r="C75" s="265" t="e">
        <f>IF(B75&lt;0.5,"&lt;0,5",IF(B75=0.5,"=0,5","&gt;0,5"))</f>
        <v>#DIV/0!</v>
      </c>
      <c r="D75" s="227" t="e">
        <f>IF(B75&gt;0.5,"Das Ausklinkungsverhältnis ist eingehalten!","Das Ausklinkungsverhältnis ist nicht eingehalten. Bitte Verbinder weiter nach unten versetzen!")</f>
        <v>#DIV/0!</v>
      </c>
      <c r="K75" s="242"/>
      <c r="L75" s="242"/>
      <c r="M75" s="242"/>
      <c r="N75" s="242"/>
      <c r="O75" s="242"/>
      <c r="P75" s="242"/>
      <c r="Q75" s="242"/>
      <c r="R75" s="242"/>
      <c r="S75" s="242"/>
    </row>
    <row r="76" spans="1:19" ht="27" thickTop="1">
      <c r="C76" s="239" t="s">
        <v>239</v>
      </c>
    </row>
    <row r="77" spans="1:19" ht="26.25">
      <c r="B77" s="2" t="str">
        <f>B28</f>
        <v>RICON S 200/80 VS st</v>
      </c>
      <c r="D77" s="239" t="s">
        <v>238</v>
      </c>
    </row>
    <row r="79" spans="1:19">
      <c r="D79" s="41"/>
    </row>
    <row r="80" spans="1:19">
      <c r="B80" s="183">
        <f>D79+VLOOKUP(B28,Zwischenrechnung!A18:O27,15,FALSE)</f>
        <v>40</v>
      </c>
    </row>
    <row r="81" spans="1:9">
      <c r="A81" s="2" t="s">
        <v>7</v>
      </c>
      <c r="D81" s="240">
        <f>VLOOKUP(B28,'Herleitung_HT-NT-Anschlüsse'!N129:R138,5,FALSE)</f>
        <v>83.125</v>
      </c>
    </row>
    <row r="82" spans="1:9">
      <c r="A82" s="2" t="s">
        <v>8</v>
      </c>
      <c r="B82" s="241">
        <f>VLOOKUP($B$28,Ausklinkungsbemessung!A20:E29,5,FALSE)</f>
        <v>160</v>
      </c>
    </row>
    <row r="83" spans="1:9">
      <c r="D83" s="18">
        <f>VLOOKUP(B28,Zwischenrechnung!A18:M27,13,FALSE)</f>
        <v>200</v>
      </c>
      <c r="E83" s="42"/>
      <c r="F83" s="481" t="str">
        <f>IF(E83&lt;VLOOKUP(B77,Zwischenrechnung!A72:C81,3),"Bitte Nebenträgerhöhe HN erhöhen oder kleineren Verbinder auswählen!","")</f>
        <v>Bitte Nebenträgerhöhe HN erhöhen oder kleineren Verbinder auswählen!</v>
      </c>
      <c r="G83" s="481"/>
      <c r="H83" s="481"/>
      <c r="I83" s="481"/>
    </row>
    <row r="84" spans="1:9">
      <c r="F84" s="481"/>
      <c r="G84" s="481"/>
      <c r="H84" s="481"/>
      <c r="I84" s="481"/>
    </row>
    <row r="85" spans="1:9">
      <c r="D85" s="1" t="s">
        <v>240</v>
      </c>
    </row>
    <row r="87" spans="1:9">
      <c r="A87" s="2" t="s">
        <v>10</v>
      </c>
      <c r="B87" s="240">
        <f>E83-B82</f>
        <v>-160</v>
      </c>
    </row>
    <row r="88" spans="1:9">
      <c r="A88" s="2" t="s">
        <v>9</v>
      </c>
      <c r="D88" s="19">
        <f>E83-D83-D79-D86</f>
        <v>-200</v>
      </c>
    </row>
    <row r="89" spans="1:9" ht="19.5">
      <c r="A89" s="482" t="s">
        <v>288</v>
      </c>
      <c r="B89" s="482"/>
      <c r="D89" s="227" t="str">
        <f>IF(D88&lt;10,"t ≥ 10mm !","")</f>
        <v>t ≥ 10mm !</v>
      </c>
    </row>
    <row r="90" spans="1:9">
      <c r="B90" s="1">
        <f>(C91-C90)/2</f>
        <v>-40</v>
      </c>
      <c r="C90" s="36">
        <f>VLOOKUP(B28,Zwischenrechnung!A18:N27,14,FALSE)</f>
        <v>80</v>
      </c>
      <c r="D90" s="23">
        <f>(C91-C90)/2</f>
        <v>-40</v>
      </c>
    </row>
    <row r="91" spans="1:9" ht="18.75">
      <c r="B91" s="2" t="s">
        <v>287</v>
      </c>
      <c r="C91" s="40"/>
      <c r="D91" s="23" t="str">
        <f>IF(C91&lt;VLOOKUP(B77,Zwischenrechnung!A72:C81,2),"Bitte Breite BN erhöhen!","")</f>
        <v>Bitte Breite BN erhöhen!</v>
      </c>
    </row>
    <row r="94" spans="1:9" ht="23.25">
      <c r="A94" s="15" t="s">
        <v>473</v>
      </c>
    </row>
    <row r="95" spans="1:9" ht="23.25">
      <c r="A95" s="448" t="str">
        <f>IF(B34=90,"","Dieser Nachweis kann für einen schrägen Nebenträgeranschluss nicht berechnet werden!")</f>
        <v/>
      </c>
    </row>
    <row r="97" spans="1:9" ht="18.75">
      <c r="A97" s="11" t="s">
        <v>302</v>
      </c>
      <c r="B97" s="11" t="s">
        <v>344</v>
      </c>
      <c r="C97" s="11" t="s">
        <v>345</v>
      </c>
      <c r="D97" s="11" t="s">
        <v>303</v>
      </c>
      <c r="E97" s="11" t="s">
        <v>304</v>
      </c>
      <c r="F97" s="11" t="s">
        <v>305</v>
      </c>
    </row>
    <row r="98" spans="1:9">
      <c r="A98" s="269">
        <f>IF(B34=90,Ausklinkungsbemessung!B36,"")</f>
        <v>0</v>
      </c>
      <c r="B98" s="11">
        <f>IF(B34=90,Bemessung!B82,"")</f>
        <v>160</v>
      </c>
      <c r="C98" s="11">
        <f>IF(B34=90,A98/10*B98/10,"")</f>
        <v>0</v>
      </c>
      <c r="D98" s="328">
        <f>IF(B34=90,Ausklinkungsbemessung!B34,"")</f>
        <v>0.71399999999999997</v>
      </c>
      <c r="E98" s="328">
        <f>IF(B34=90,1,"")</f>
        <v>1</v>
      </c>
      <c r="F98" s="11">
        <f>IF(B34=90,Ausklinkungsbemessung!B33,"")</f>
        <v>3.5</v>
      </c>
    </row>
    <row r="100" spans="1:9" ht="19.5" thickBot="1">
      <c r="A100" s="26"/>
      <c r="E100" s="169" t="s">
        <v>259</v>
      </c>
      <c r="G100" s="29"/>
    </row>
    <row r="101" spans="1:9" ht="20.25">
      <c r="A101" s="146" t="s">
        <v>99</v>
      </c>
      <c r="B101" s="255" t="s">
        <v>260</v>
      </c>
      <c r="C101" s="271" t="s">
        <v>270</v>
      </c>
      <c r="D101" s="256" t="s">
        <v>261</v>
      </c>
      <c r="E101" s="270" t="s">
        <v>298</v>
      </c>
      <c r="F101" s="29"/>
    </row>
    <row r="102" spans="1:9" ht="19.5" thickBot="1">
      <c r="A102" s="151" t="s">
        <v>100</v>
      </c>
      <c r="B102" s="20">
        <f>C19</f>
        <v>0</v>
      </c>
      <c r="C102" s="177">
        <f>G19</f>
        <v>0.6</v>
      </c>
      <c r="D102" s="252">
        <f>IF(B34=90,$A$98/10*$B$98/10*$D$98*$E$98*$F$98/10*C102/(1.5*Ausklinkungsbemessung!$C$52),"")</f>
        <v>0</v>
      </c>
      <c r="E102" s="437" t="e">
        <f>IF(B34=90,B102/D102,0)</f>
        <v>#DIV/0!</v>
      </c>
      <c r="F102" s="268" t="e">
        <f>IF(E102&gt;1.03,"&gt;1,0",IF(E102&lt;=1,"≤ 1,0","~ 1,0"))</f>
        <v>#DIV/0!</v>
      </c>
      <c r="G102" s="276"/>
    </row>
    <row r="103" spans="1:9" ht="20.25" thickTop="1" thickBot="1">
      <c r="A103" s="151" t="s">
        <v>103</v>
      </c>
      <c r="B103" s="20">
        <f>C20</f>
        <v>0</v>
      </c>
      <c r="C103" s="177">
        <f>G20</f>
        <v>0.9</v>
      </c>
      <c r="D103" s="252">
        <f>IF(B34=90,$A$98/10*$B$98/10*$D$98*$E$98*$F$98/10*C103/(1.5*Ausklinkungsbemessung!$C$52),"")</f>
        <v>0</v>
      </c>
      <c r="E103" s="436" t="e">
        <f>IF(B34=90,B103/D103,0)</f>
        <v>#DIV/0!</v>
      </c>
      <c r="F103" s="268" t="e">
        <f t="shared" ref="F103:F105" si="0">IF(E103&gt;1.03,"&gt;1,0",IF(E103&lt;=1,"≤ 1,0","~ 1,0"))</f>
        <v>#DIV/0!</v>
      </c>
    </row>
    <row r="104" spans="1:9" ht="20.25" thickTop="1" thickBot="1">
      <c r="A104" s="151" t="s">
        <v>104</v>
      </c>
      <c r="B104" s="20">
        <f>C21</f>
        <v>0</v>
      </c>
      <c r="C104" s="177">
        <f>G21</f>
        <v>0.8</v>
      </c>
      <c r="D104" s="252">
        <f>IF(B34=90,$A$98/10*$B$98/10*$D$98*$E$98*$F$98/10*C104/(1.5*Ausklinkungsbemessung!$C$52),"")</f>
        <v>0</v>
      </c>
      <c r="E104" s="436" t="e">
        <f>IF(B34=90,B104/D104,0)</f>
        <v>#DIV/0!</v>
      </c>
      <c r="F104" s="268" t="e">
        <f t="shared" si="0"/>
        <v>#DIV/0!</v>
      </c>
    </row>
    <row r="105" spans="1:9" ht="20.25" thickTop="1" thickBot="1">
      <c r="A105" s="152" t="s">
        <v>105</v>
      </c>
      <c r="B105" s="253">
        <f>C22</f>
        <v>0</v>
      </c>
      <c r="C105" s="272">
        <f>G22</f>
        <v>0.9</v>
      </c>
      <c r="D105" s="254">
        <f>IF(B34=90,$A$98/10*$B$98/10*$D$98*$E$98*$F$98/10*C105/(1.5*Ausklinkungsbemessung!$C$52),"")</f>
        <v>0</v>
      </c>
      <c r="E105" s="436" t="e">
        <f>IF(B34=90,B105/D105,0)</f>
        <v>#DIV/0!</v>
      </c>
      <c r="F105" s="268" t="e">
        <f t="shared" si="0"/>
        <v>#DIV/0!</v>
      </c>
    </row>
    <row r="106" spans="1:9" ht="19.5">
      <c r="C106" s="324" t="s">
        <v>393</v>
      </c>
      <c r="D106" s="27">
        <f>Ausklinkungsbemessung!$C$52</f>
        <v>1.25</v>
      </c>
      <c r="E106" s="227" t="e">
        <f>IF(AND(E102&lt;=1,E103&lt;=1,E104&lt;=1,E105&lt;=1),"Nachweise erbracht !","Nachweise nicht erbracht !")</f>
        <v>#DIV/0!</v>
      </c>
      <c r="G106" s="29"/>
    </row>
    <row r="107" spans="1:9">
      <c r="G107" s="1" t="s">
        <v>471</v>
      </c>
    </row>
    <row r="109" spans="1:9" ht="23.25" customHeight="1">
      <c r="A109" s="475" t="s">
        <v>472</v>
      </c>
      <c r="B109" s="475"/>
      <c r="C109" s="475"/>
      <c r="D109" s="475"/>
      <c r="E109" s="475"/>
      <c r="F109" s="475"/>
      <c r="G109" s="475"/>
      <c r="H109" s="475"/>
      <c r="I109" s="475"/>
    </row>
    <row r="110" spans="1:9" ht="23.25" customHeight="1">
      <c r="A110" s="475"/>
      <c r="B110" s="475"/>
      <c r="C110" s="475"/>
      <c r="D110" s="475"/>
      <c r="E110" s="475"/>
      <c r="F110" s="475"/>
      <c r="G110" s="475"/>
      <c r="H110" s="475"/>
      <c r="I110" s="475"/>
    </row>
    <row r="111" spans="1:9">
      <c r="A111" s="26"/>
      <c r="D111" s="26"/>
      <c r="G111" s="26"/>
    </row>
    <row r="112" spans="1:9" ht="18.75">
      <c r="A112" s="11" t="s">
        <v>302</v>
      </c>
      <c r="B112" s="11" t="str">
        <f>IF(G126&gt;B82,"Höhe hef,Scr [mm]","Höhe hef [mm]")</f>
        <v>Höhe hef [mm]</v>
      </c>
      <c r="C112" s="11" t="s">
        <v>345</v>
      </c>
      <c r="D112" s="11" t="s">
        <v>303</v>
      </c>
      <c r="E112" s="11" t="s">
        <v>304</v>
      </c>
      <c r="F112" s="11" t="s">
        <v>305</v>
      </c>
      <c r="G112" s="26"/>
    </row>
    <row r="113" spans="1:9">
      <c r="A113" s="269">
        <f>IF(B34=90,Ausklinkungsbemessung!B36,"")</f>
        <v>0</v>
      </c>
      <c r="B113" s="11">
        <f>IF(B34=90,Ausklinkungsbemessung!B38,"")</f>
        <v>160</v>
      </c>
      <c r="C113" s="11">
        <f>IF(B34=90,A113/10*B113/10,"")</f>
        <v>0</v>
      </c>
      <c r="D113" s="328">
        <f>IF(B34=90,Ausklinkungsbemessung!B34,"")</f>
        <v>0.71399999999999997</v>
      </c>
      <c r="E113" s="328" t="e">
        <f>IF(B34=90,Ausklinkungsbemessung!B40,"")</f>
        <v>#DIV/0!</v>
      </c>
      <c r="F113" s="11">
        <f>IF(B34=90,Ausklinkungsbemessung!B33,"")</f>
        <v>3.5</v>
      </c>
      <c r="G113" s="26"/>
    </row>
    <row r="115" spans="1:9" ht="19.5" thickBot="1">
      <c r="A115" s="26"/>
      <c r="E115" s="169" t="s">
        <v>259</v>
      </c>
      <c r="G115" s="29"/>
    </row>
    <row r="116" spans="1:9" ht="20.25">
      <c r="A116" s="146" t="s">
        <v>99</v>
      </c>
      <c r="B116" s="255" t="s">
        <v>260</v>
      </c>
      <c r="C116" s="271" t="s">
        <v>270</v>
      </c>
      <c r="D116" s="256" t="s">
        <v>261</v>
      </c>
      <c r="E116" s="270" t="s">
        <v>298</v>
      </c>
      <c r="F116" s="29"/>
    </row>
    <row r="117" spans="1:9" ht="19.5" thickBot="1">
      <c r="A117" s="151" t="s">
        <v>100</v>
      </c>
      <c r="B117" s="20">
        <f>Ausklinkungsbemessung!B47</f>
        <v>0</v>
      </c>
      <c r="C117" s="177">
        <f>Ausklinkungsbemessung!C47</f>
        <v>0.6</v>
      </c>
      <c r="D117" s="252" t="e">
        <f>IF(B34=90,Ausklinkungsbemessung!D47,"")</f>
        <v>#DIV/0!</v>
      </c>
      <c r="E117" s="437" t="e">
        <f>IF(B34=90,Ausklinkungsbemessung!E47,0)</f>
        <v>#DIV/0!</v>
      </c>
      <c r="F117" s="268" t="e">
        <f>IF(E117&gt;1.03,"&gt;1,0",IF(E117&lt;=1,"≤ 1,0","~ 1,0"))</f>
        <v>#DIV/0!</v>
      </c>
    </row>
    <row r="118" spans="1:9" ht="20.25" thickTop="1" thickBot="1">
      <c r="A118" s="151" t="s">
        <v>103</v>
      </c>
      <c r="B118" s="20">
        <f>Ausklinkungsbemessung!B48</f>
        <v>0</v>
      </c>
      <c r="C118" s="177">
        <f>Ausklinkungsbemessung!C48</f>
        <v>0.9</v>
      </c>
      <c r="D118" s="252" t="e">
        <f>IF(B34=90,Ausklinkungsbemessung!D48,"")</f>
        <v>#DIV/0!</v>
      </c>
      <c r="E118" s="436" t="e">
        <f>IF(B34=90,Ausklinkungsbemessung!E48,0)</f>
        <v>#DIV/0!</v>
      </c>
      <c r="F118" s="268" t="e">
        <f t="shared" ref="F118:F120" si="1">IF(E118&gt;1.03,"&gt;1,0",IF(E118&lt;=1,"≤ 1,0","~ 1,0"))</f>
        <v>#DIV/0!</v>
      </c>
    </row>
    <row r="119" spans="1:9" ht="20.25" thickTop="1" thickBot="1">
      <c r="A119" s="151" t="s">
        <v>104</v>
      </c>
      <c r="B119" s="20">
        <f>Ausklinkungsbemessung!B49</f>
        <v>0</v>
      </c>
      <c r="C119" s="177">
        <f>Ausklinkungsbemessung!C49</f>
        <v>0.8</v>
      </c>
      <c r="D119" s="252" t="e">
        <f>IF(B34=90,Ausklinkungsbemessung!D49,"")</f>
        <v>#DIV/0!</v>
      </c>
      <c r="E119" s="436" t="e">
        <f>IF(B34=90,Ausklinkungsbemessung!E49,0)</f>
        <v>#DIV/0!</v>
      </c>
      <c r="F119" s="268" t="e">
        <f t="shared" si="1"/>
        <v>#DIV/0!</v>
      </c>
    </row>
    <row r="120" spans="1:9" ht="20.25" thickTop="1" thickBot="1">
      <c r="A120" s="152" t="s">
        <v>105</v>
      </c>
      <c r="B120" s="253">
        <f>Ausklinkungsbemessung!B50</f>
        <v>0</v>
      </c>
      <c r="C120" s="272">
        <f>Ausklinkungsbemessung!C50</f>
        <v>0.9</v>
      </c>
      <c r="D120" s="254" t="e">
        <f>IF(B34=90,Ausklinkungsbemessung!D50,"")</f>
        <v>#DIV/0!</v>
      </c>
      <c r="E120" s="436" t="e">
        <f>IF(B34=90,Ausklinkungsbemessung!E50,0)</f>
        <v>#DIV/0!</v>
      </c>
      <c r="F120" s="268" t="e">
        <f t="shared" si="1"/>
        <v>#DIV/0!</v>
      </c>
      <c r="G120" s="474" t="s">
        <v>474</v>
      </c>
      <c r="H120" s="474"/>
      <c r="I120" s="474"/>
    </row>
    <row r="121" spans="1:9" ht="19.5">
      <c r="C121" s="324" t="s">
        <v>393</v>
      </c>
      <c r="D121" s="27">
        <f>Ausklinkungsbemessung!$C$52</f>
        <v>1.25</v>
      </c>
      <c r="E121" s="227" t="e">
        <f>IF(AND(E117&lt;=1,E118&lt;=1,E119&lt;=1,E120&lt;=1),"Nachweise erbracht !","Nachweise nicht erbracht !")</f>
        <v>#DIV/0!</v>
      </c>
      <c r="G121" s="474"/>
      <c r="H121" s="474"/>
      <c r="I121" s="474"/>
    </row>
    <row r="122" spans="1:9" ht="18.75" customHeight="1">
      <c r="E122" s="461" t="e">
        <f>IF(AND(B113=B98,OR(E117&gt;1,E118&gt;1,E119&gt;1,E120&gt;1)),"Die Ausklinkungstragfähigkeit kann mit querzugverstärkenden Vollgewindeschrauben verbessert werden!","")</f>
        <v>#DIV/0!</v>
      </c>
      <c r="F122" s="461"/>
      <c r="G122" s="461"/>
      <c r="H122" s="461"/>
      <c r="I122" s="461"/>
    </row>
    <row r="123" spans="1:9" ht="15.75" customHeight="1">
      <c r="E123" s="461"/>
      <c r="F123" s="461"/>
      <c r="G123" s="461"/>
      <c r="H123" s="461"/>
      <c r="I123" s="461"/>
    </row>
    <row r="124" spans="1:9" ht="18.75">
      <c r="E124" s="321"/>
      <c r="F124" s="321"/>
      <c r="G124" s="325"/>
      <c r="H124" s="321"/>
    </row>
    <row r="125" spans="1:9" ht="19.5" thickBot="1">
      <c r="A125" s="227" t="str">
        <f>IF(B34=90,"","Dieser Nachweis für die Querzugverstärkung kann für einen schrägen Nebenträgeranschluss nicht berechnet werden!")</f>
        <v/>
      </c>
      <c r="E125" s="321"/>
      <c r="F125" s="321"/>
      <c r="G125" s="325"/>
      <c r="H125" s="321"/>
    </row>
    <row r="126" spans="1:9" ht="23.25">
      <c r="A126" s="133" t="s">
        <v>138</v>
      </c>
      <c r="B126" s="129"/>
      <c r="C126" s="134"/>
      <c r="D126" s="135" t="s">
        <v>4</v>
      </c>
      <c r="E126" s="136"/>
      <c r="F126" s="137"/>
      <c r="G126" s="138"/>
      <c r="H126" s="227" t="str">
        <f>IF(C126=0,"",IF(C130&gt;=B98,"",IF(G126&lt;=B98,"Bitte Schraubenlänge erhöhen oder Versenktiefe tv erhöhen!","")))</f>
        <v/>
      </c>
    </row>
    <row r="127" spans="1:9" ht="18.75">
      <c r="A127" s="130"/>
      <c r="B127" s="26" t="s">
        <v>136</v>
      </c>
      <c r="C127" s="438" t="s">
        <v>477</v>
      </c>
      <c r="D127" s="26" t="str">
        <f>IF(C127="Typ 1",Zwischenrechnung!B84,IF(C127="Typ 2",Zwischenrechnung!B88,Zwischenrechnung!B92))</f>
        <v>ASSY [ ETA-11/0190]</v>
      </c>
      <c r="F127" s="24"/>
      <c r="G127" s="139"/>
      <c r="H127" s="227" t="str">
        <f>IF(C126=0,"",IF(G126&gt;=E83,"Bitte kürzere Schraubenlänge wählen!",""))</f>
        <v/>
      </c>
    </row>
    <row r="128" spans="1:9" ht="18.75">
      <c r="A128" s="130"/>
      <c r="B128" s="439" t="s">
        <v>467</v>
      </c>
      <c r="C128" s="440">
        <f>5*F126</f>
        <v>0</v>
      </c>
      <c r="D128" s="26"/>
      <c r="E128" s="439" t="s">
        <v>463</v>
      </c>
      <c r="F128" s="439" t="str">
        <f>IF(OR(C127="Typ 1",C127="Typ 3"),"(min 3d) a2,c =","(min 4d) a2,c =")</f>
        <v>(min 3d) a2,c =</v>
      </c>
      <c r="G128" s="441"/>
      <c r="H128" s="227"/>
    </row>
    <row r="129" spans="1:8" ht="19.5">
      <c r="A129" s="130"/>
      <c r="B129" s="439" t="s">
        <v>470</v>
      </c>
      <c r="C129" s="440"/>
      <c r="D129" s="442" t="str">
        <f>IF(C126=0,"",IF(C130&gt;=E83,"Bitte Versenktiefe tv oder Schraubenlänge reduzieren!",""))</f>
        <v/>
      </c>
      <c r="F129" s="439"/>
      <c r="G129" s="139"/>
      <c r="H129" s="227"/>
    </row>
    <row r="130" spans="1:8" ht="18.75">
      <c r="A130" s="130"/>
      <c r="B130" s="439" t="s">
        <v>466</v>
      </c>
      <c r="C130" s="443">
        <f>C129+G126</f>
        <v>0</v>
      </c>
      <c r="D130" s="442" t="str">
        <f>IF(C126=0,"",IF(C130&gt;=E83,"Die Höhe hef &lt; HN sein!",""))</f>
        <v/>
      </c>
      <c r="F130" s="439"/>
      <c r="G130" s="139"/>
      <c r="H130" s="227"/>
    </row>
    <row r="131" spans="1:8" ht="16.5" thickBot="1">
      <c r="A131" s="140" t="s">
        <v>6</v>
      </c>
      <c r="B131" s="141"/>
      <c r="C131" s="142">
        <f>C91</f>
        <v>0</v>
      </c>
      <c r="D131" s="143">
        <f>E83</f>
        <v>0</v>
      </c>
      <c r="E131" s="144" t="str">
        <f>B35</f>
        <v>GL24h</v>
      </c>
      <c r="F131" s="132"/>
      <c r="G131" s="145"/>
    </row>
    <row r="133" spans="1:8" ht="18.75">
      <c r="B133" s="243" t="s">
        <v>248</v>
      </c>
      <c r="C133" s="261" t="str">
        <f>IF(B34=90,IF(C126=0,"",B82/E83),"")</f>
        <v/>
      </c>
    </row>
    <row r="134" spans="1:8" ht="19.5" customHeight="1">
      <c r="B134" s="2" t="s">
        <v>118</v>
      </c>
      <c r="C134" s="3" t="str">
        <f>IF(B34=90,IF(C126=0,"",Zwischenrechnung!D117),"")</f>
        <v/>
      </c>
      <c r="D134" s="1" t="str">
        <f>IF($B$34=90,IF($C$126=0,"","(Holzversagen der Schraubverbindung)"),"")</f>
        <v/>
      </c>
    </row>
    <row r="135" spans="1:8" ht="18.75">
      <c r="B135" s="2" t="s">
        <v>11</v>
      </c>
      <c r="C135" s="3" t="str">
        <f>IF($B$34=90,IF($C$126=0,"",1.3*C134*(1-3*($C$133^2)+2*$C$133^3)),"")</f>
        <v/>
      </c>
    </row>
    <row r="136" spans="1:8" ht="18.75">
      <c r="B136" s="2" t="s">
        <v>118</v>
      </c>
      <c r="C136" s="3" t="str">
        <f>IF(B34=90,IF(C126=0,"",MAX(C19:C22)),"")</f>
        <v/>
      </c>
      <c r="D136" s="1" t="str">
        <f>IF($B$34=90,IF($C$126=0,"","(Stahlversagen der Schraube)"),"")</f>
        <v/>
      </c>
    </row>
    <row r="137" spans="1:8" ht="18.75">
      <c r="B137" s="2" t="s">
        <v>11</v>
      </c>
      <c r="C137" s="3" t="str">
        <f>IF($B$34=90,IF($C$126=0,"",1.3*C136*(1-3*($C$133^2)+2*$C$133^3)),"")</f>
        <v/>
      </c>
    </row>
    <row r="138" spans="1:8" ht="18.75">
      <c r="B138" s="2" t="s">
        <v>464</v>
      </c>
      <c r="C138" s="13" t="str">
        <f>IF(B34=90,IF(C126=0,"",G126+C129),"")</f>
        <v/>
      </c>
    </row>
    <row r="139" spans="1:8" ht="18.75">
      <c r="B139" s="2" t="s">
        <v>462</v>
      </c>
      <c r="C139" s="13" t="str">
        <f>IF(B34=90,IF(C126=0,"",G126-B82+C129),"")</f>
        <v/>
      </c>
      <c r="D139" s="326"/>
    </row>
    <row r="140" spans="1:8" ht="18.75">
      <c r="B140" s="2" t="s">
        <v>126</v>
      </c>
      <c r="C140" s="38" t="str">
        <f>IF(B34=90,IF(C126=0,"",IF(C127="Typ 1",VLOOKUP(F126,Zwischenrechnung!A86:B87,2),IF(C127="Typ 2",VLOOKUP(F126,Zwischenrechnung!A90:B91,2),VLOOKUP(F126,Zwischenrechnung!A94:B95,2)))),"")</f>
        <v/>
      </c>
    </row>
    <row r="141" spans="1:8" ht="18.75">
      <c r="B141" s="324" t="s">
        <v>349</v>
      </c>
      <c r="C141" s="38" t="str">
        <f>IF(B34=90,IF(C126=0,"",1.3),"")</f>
        <v/>
      </c>
    </row>
    <row r="142" spans="1:8" ht="18.75">
      <c r="B142" s="2" t="s">
        <v>125</v>
      </c>
      <c r="C142" s="38" t="str">
        <f>IF(B34=90,IF(C126=0,"",C140/C141),"")</f>
        <v/>
      </c>
      <c r="D142" s="5"/>
      <c r="E142" s="5"/>
    </row>
    <row r="143" spans="1:8" ht="18.75">
      <c r="B143" s="2" t="s">
        <v>119</v>
      </c>
      <c r="C143" s="358" t="str">
        <f>IF(B34=90,IF(C126=0,"",IF(C127="Typ 1",VLOOKUP(F126,Zwischenrechnung!A86:C87,3),IF(C127="Typ 2",VLOOKUP(F126,Zwischenrechnung!A90:C91,3),VLOOKUP(F126,Zwischenrechnung!A94:C95,3)))),"")</f>
        <v/>
      </c>
    </row>
    <row r="144" spans="1:8" ht="18.75">
      <c r="B144" s="2" t="s">
        <v>137</v>
      </c>
      <c r="C144" s="33" t="str">
        <f>IF(B34=90,IF(C126=0,"",1),"")</f>
        <v/>
      </c>
      <c r="D144" s="1" t="str">
        <f>IF($B$34=90,IF($C$126=0,"","(a=45°-90°)"),"")</f>
        <v/>
      </c>
    </row>
    <row r="145" spans="1:12" ht="18.75">
      <c r="B145" s="2" t="s">
        <v>120</v>
      </c>
      <c r="C145" s="14" t="str">
        <f>IF(B34=90,IF(C126=0,"",C143*F126*C139*(B36/350)^0.8/1000),"")</f>
        <v/>
      </c>
    </row>
    <row r="147" spans="1:12" ht="18.75">
      <c r="B147" s="2" t="s">
        <v>121</v>
      </c>
      <c r="C147" s="357" t="str">
        <f>IF(B34=90,IF(C126=0,"",Zwischenrechnung!G117),"")</f>
        <v/>
      </c>
    </row>
    <row r="148" spans="1:12" ht="18.75">
      <c r="B148" s="324" t="s">
        <v>350</v>
      </c>
      <c r="C148" s="357" t="str">
        <f>IF(B34=90,IF(C126=0,"",Zwischenrechnung!C116),"")</f>
        <v/>
      </c>
    </row>
    <row r="149" spans="1:12" ht="18.75">
      <c r="B149" s="2" t="s">
        <v>351</v>
      </c>
      <c r="C149" s="3" t="str">
        <f>IF(B34=90,IF(C126=0,"",C145*C147/1.3),"")</f>
        <v/>
      </c>
    </row>
    <row r="151" spans="1:12" ht="19.5" thickBot="1">
      <c r="A151" s="169" t="s">
        <v>306</v>
      </c>
      <c r="C151" s="267" t="str">
        <f>IF(B34=90,IF($C$126=0,"",IF(G126&gt;E83,0,C137/(C126*C142))),0)</f>
        <v/>
      </c>
      <c r="D151" s="268" t="str">
        <f>IF($C$126&gt;0,IF(C151&gt;1,"&gt;1,0","≤ 1,0"),"")</f>
        <v/>
      </c>
      <c r="J151" s="5"/>
      <c r="K151" s="37"/>
      <c r="L151" s="37"/>
    </row>
    <row r="152" spans="1:12" ht="20.25" thickTop="1" thickBot="1">
      <c r="C152" s="267" t="str">
        <f>IF(B34=90,IF($C$126=0,"",IF(G126&gt;E83,0,C135/(C126*C149))),0)</f>
        <v/>
      </c>
      <c r="D152" s="268" t="str">
        <f>IF($C$126&gt;0,IF(C152&gt;1,"&gt;1,0","≤ 1,0"),"")</f>
        <v/>
      </c>
    </row>
    <row r="153" spans="1:12" ht="16.5" thickTop="1"/>
    <row r="157" spans="1:12" ht="23.25">
      <c r="A157" s="15" t="s">
        <v>271</v>
      </c>
    </row>
    <row r="159" spans="1:12">
      <c r="A159" s="1" t="s">
        <v>162</v>
      </c>
      <c r="B159" s="2" t="s">
        <v>163</v>
      </c>
      <c r="C159" s="170" t="str">
        <f>B35</f>
        <v>GL24h</v>
      </c>
    </row>
    <row r="160" spans="1:12" ht="18.75">
      <c r="B160" s="2" t="s">
        <v>75</v>
      </c>
      <c r="C160" s="171">
        <f>B36</f>
        <v>385</v>
      </c>
    </row>
    <row r="161" spans="1:9" ht="18.75">
      <c r="B161" s="2" t="s">
        <v>164</v>
      </c>
      <c r="C161" s="172">
        <f>VLOOKUP(C159,Zwischenrechnung!J2:L12,3,FALSE)</f>
        <v>0.7</v>
      </c>
    </row>
    <row r="162" spans="1:9">
      <c r="B162" s="2" t="s">
        <v>165</v>
      </c>
      <c r="C162" s="173">
        <v>0</v>
      </c>
    </row>
    <row r="163" spans="1:9" ht="18.75">
      <c r="B163" s="2" t="s">
        <v>166</v>
      </c>
      <c r="C163" s="174">
        <f>IF(C162=0,0,1)</f>
        <v>0</v>
      </c>
      <c r="D163" s="1" t="s">
        <v>167</v>
      </c>
    </row>
    <row r="164" spans="1:9" ht="18.75">
      <c r="B164" s="2" t="s">
        <v>168</v>
      </c>
      <c r="C164" s="175">
        <f>IF(C162=0,0,7)</f>
        <v>0</v>
      </c>
      <c r="D164" s="460" t="s">
        <v>169</v>
      </c>
      <c r="E164" s="460"/>
    </row>
    <row r="165" spans="1:9">
      <c r="C165" s="175"/>
      <c r="D165" s="460"/>
      <c r="E165" s="460"/>
    </row>
    <row r="166" spans="1:9" ht="18.75">
      <c r="B166" s="2" t="s">
        <v>170</v>
      </c>
      <c r="C166" s="175">
        <f>ROUND(IF(C162=0,0,C161*C162+C163*C164),0)</f>
        <v>0</v>
      </c>
    </row>
    <row r="168" spans="1:9">
      <c r="A168" s="26" t="s">
        <v>171</v>
      </c>
    </row>
    <row r="170" spans="1:9" ht="18.75">
      <c r="B170" s="2" t="s">
        <v>172</v>
      </c>
      <c r="C170" s="175">
        <f>B90</f>
        <v>-40</v>
      </c>
      <c r="D170" s="2" t="str">
        <f>IF(C170&lt;E170,"&lt; def =",IF(C170=E170,"= def =",IF(C170&gt;E170,"&gt; def =","")))</f>
        <v>&lt; def =</v>
      </c>
      <c r="E170" s="176">
        <f>$C$166</f>
        <v>0</v>
      </c>
    </row>
    <row r="171" spans="1:9" ht="18.75">
      <c r="B171" s="2" t="s">
        <v>173</v>
      </c>
      <c r="C171" s="175">
        <f>D90</f>
        <v>-40</v>
      </c>
      <c r="D171" s="2" t="str">
        <f>IF(C171&lt;E171,"&lt; def =",IF(C171=E171,"= def =",IF(C171&gt;E171,"&gt; def =","")))</f>
        <v>&lt; def =</v>
      </c>
      <c r="E171" s="176">
        <f>$C$166</f>
        <v>0</v>
      </c>
    </row>
    <row r="172" spans="1:9" ht="18.75">
      <c r="B172" s="2" t="s">
        <v>174</v>
      </c>
      <c r="C172" s="175">
        <f>D88</f>
        <v>-200</v>
      </c>
      <c r="D172" s="2" t="str">
        <f>IF(C172&lt;E172,"&lt; def =",IF(C172=E172,"= def =",IF(C172&gt;E172,"&gt; def =","")))</f>
        <v>&lt; def =</v>
      </c>
      <c r="E172" s="176">
        <f>$C$166</f>
        <v>0</v>
      </c>
    </row>
    <row r="173" spans="1:9" ht="18.75">
      <c r="E173" s="227" t="str">
        <f>IF(C162=0,"Kein Brandschutz ist gefordert !",IF(OR(C170&lt;E170,C171&lt;E171,C172&lt;E172),"Bitte Querschnitt erhöhen oder zusätzlich abdecken!","Brandüberdeckung nach EN 1995-1-2 ist erfüllt !"))</f>
        <v>Kein Brandschutz ist gefordert !</v>
      </c>
    </row>
    <row r="175" spans="1:9">
      <c r="A175" s="476" t="s">
        <v>12</v>
      </c>
      <c r="B175" s="476"/>
      <c r="C175" s="476"/>
      <c r="D175" s="476"/>
      <c r="E175" s="476"/>
      <c r="F175" s="476"/>
      <c r="G175" s="476"/>
      <c r="H175" s="476"/>
      <c r="I175" s="476"/>
    </row>
    <row r="176" spans="1:9">
      <c r="A176" s="477"/>
      <c r="B176" s="477"/>
      <c r="C176" s="477"/>
      <c r="D176" s="477"/>
      <c r="E176" s="477"/>
      <c r="F176" s="477"/>
      <c r="G176" s="477"/>
      <c r="H176" s="477"/>
      <c r="I176" s="477"/>
    </row>
    <row r="177" spans="1:9">
      <c r="A177" s="168"/>
      <c r="B177" s="168"/>
      <c r="C177" s="168"/>
      <c r="D177" s="168"/>
      <c r="E177" s="168"/>
      <c r="F177" s="168"/>
      <c r="G177" s="168"/>
      <c r="H177" s="168"/>
      <c r="I177" s="168"/>
    </row>
    <row r="183" spans="1:9" ht="15.75" customHeight="1"/>
  </sheetData>
  <sheetProtection algorithmName="SHA-512" hashValue="e5Fdubv0vZUvFcAZz5J0tjIVlK4aQFSQeXJO1lMy0powem4l/Z/mAsztwhpk76lgC45m8NDUJEdbysM6ZzgGjQ==" saltValue="aahs7/lIh1ojgG23RzvE5w==" spinCount="100000" sheet="1" objects="1" scenarios="1" selectLockedCells="1"/>
  <mergeCells count="44">
    <mergeCell ref="G120:I121"/>
    <mergeCell ref="A109:I110"/>
    <mergeCell ref="A175:I176"/>
    <mergeCell ref="D45:D47"/>
    <mergeCell ref="F83:I84"/>
    <mergeCell ref="A89:B89"/>
    <mergeCell ref="F42:F46"/>
    <mergeCell ref="G61:I61"/>
    <mergeCell ref="C67:D67"/>
    <mergeCell ref="E67:F67"/>
    <mergeCell ref="G67:I67"/>
    <mergeCell ref="C62:D62"/>
    <mergeCell ref="G66:I66"/>
    <mergeCell ref="C61:D61"/>
    <mergeCell ref="E61:F61"/>
    <mergeCell ref="C60:D60"/>
    <mergeCell ref="D164:E165"/>
    <mergeCell ref="E122:I123"/>
    <mergeCell ref="B7:D7"/>
    <mergeCell ref="B8:D8"/>
    <mergeCell ref="D19:D22"/>
    <mergeCell ref="A10:I11"/>
    <mergeCell ref="A43:E43"/>
    <mergeCell ref="E25:I26"/>
    <mergeCell ref="E64:F64"/>
    <mergeCell ref="G64:I64"/>
    <mergeCell ref="C66:D66"/>
    <mergeCell ref="E66:F66"/>
    <mergeCell ref="B29:C29"/>
    <mergeCell ref="E60:F60"/>
    <mergeCell ref="C64:D64"/>
    <mergeCell ref="D53:D56"/>
    <mergeCell ref="E62:F62"/>
    <mergeCell ref="G62:I62"/>
    <mergeCell ref="C63:D63"/>
    <mergeCell ref="E63:F63"/>
    <mergeCell ref="G63:I63"/>
    <mergeCell ref="G60:I60"/>
    <mergeCell ref="A1:H1"/>
    <mergeCell ref="A2:H2"/>
    <mergeCell ref="B5:D5"/>
    <mergeCell ref="B6:D6"/>
    <mergeCell ref="B4:D4"/>
    <mergeCell ref="B24:D25"/>
  </mergeCells>
  <phoneticPr fontId="5" type="noConversion"/>
  <conditionalFormatting sqref="B75">
    <cfRule type="cellIs" dxfId="77" priority="9" operator="equal">
      <formula>0.5</formula>
    </cfRule>
    <cfRule type="cellIs" dxfId="76" priority="10" operator="greaterThan">
      <formula>0.5</formula>
    </cfRule>
    <cfRule type="cellIs" dxfId="75" priority="11" operator="lessThan">
      <formula>0.5</formula>
    </cfRule>
    <cfRule type="cellIs" dxfId="74" priority="12" operator="greaterThan">
      <formula>0.5</formula>
    </cfRule>
    <cfRule type="cellIs" dxfId="73" priority="13" operator="lessThanOrEqual">
      <formula>0.5</formula>
    </cfRule>
    <cfRule type="cellIs" dxfId="72" priority="14" operator="greaterThan">
      <formula>0.5</formula>
    </cfRule>
    <cfRule type="cellIs" dxfId="71" priority="100" stopIfTrue="1" operator="equal">
      <formula>0.6</formula>
    </cfRule>
    <cfRule type="cellIs" dxfId="70" priority="101" stopIfTrue="1" operator="lessThan">
      <formula>0.6</formula>
    </cfRule>
    <cfRule type="cellIs" dxfId="69" priority="102" stopIfTrue="1" operator="greaterThan">
      <formula>0.6</formula>
    </cfRule>
  </conditionalFormatting>
  <conditionalFormatting sqref="C57 D53:D56">
    <cfRule type="cellIs" dxfId="68" priority="67" operator="greaterThan">
      <formula>1</formula>
    </cfRule>
  </conditionalFormatting>
  <conditionalFormatting sqref="B53:B57">
    <cfRule type="cellIs" dxfId="67" priority="62" operator="between">
      <formula>1.0001</formula>
      <formula>1.03</formula>
    </cfRule>
    <cfRule type="cellIs" dxfId="66" priority="65" stopIfTrue="1" operator="greaterThan">
      <formula>1</formula>
    </cfRule>
  </conditionalFormatting>
  <conditionalFormatting sqref="B53:B57">
    <cfRule type="cellIs" dxfId="65" priority="64" stopIfTrue="1" operator="lessThan">
      <formula>1</formula>
    </cfRule>
  </conditionalFormatting>
  <conditionalFormatting sqref="B53:B57">
    <cfRule type="cellIs" dxfId="64" priority="63" stopIfTrue="1" operator="equal">
      <formula>1</formula>
    </cfRule>
  </conditionalFormatting>
  <conditionalFormatting sqref="C53:C56">
    <cfRule type="cellIs" dxfId="63" priority="58" operator="between">
      <formula>1.0001</formula>
      <formula>1.03</formula>
    </cfRule>
    <cfRule type="cellIs" dxfId="62" priority="61" stopIfTrue="1" operator="greaterThan">
      <formula>1</formula>
    </cfRule>
  </conditionalFormatting>
  <conditionalFormatting sqref="C53:C56">
    <cfRule type="cellIs" dxfId="61" priority="60" stopIfTrue="1" operator="lessThan">
      <formula>1</formula>
    </cfRule>
  </conditionalFormatting>
  <conditionalFormatting sqref="C53:C56">
    <cfRule type="cellIs" dxfId="60" priority="59" stopIfTrue="1" operator="equal">
      <formula>1</formula>
    </cfRule>
  </conditionalFormatting>
  <conditionalFormatting sqref="D57">
    <cfRule type="cellIs" dxfId="59" priority="54" operator="between">
      <formula>1.0001</formula>
      <formula>1.03</formula>
    </cfRule>
    <cfRule type="cellIs" dxfId="58" priority="57" stopIfTrue="1" operator="greaterThan">
      <formula>1</formula>
    </cfRule>
  </conditionalFormatting>
  <conditionalFormatting sqref="D57">
    <cfRule type="cellIs" dxfId="57" priority="56" stopIfTrue="1" operator="lessThan">
      <formula>1</formula>
    </cfRule>
  </conditionalFormatting>
  <conditionalFormatting sqref="D57">
    <cfRule type="cellIs" dxfId="56" priority="55" stopIfTrue="1" operator="equal">
      <formula>1</formula>
    </cfRule>
  </conditionalFormatting>
  <conditionalFormatting sqref="E53:E57">
    <cfRule type="cellIs" dxfId="55" priority="50" operator="between">
      <formula>1.0001</formula>
      <formula>1.03</formula>
    </cfRule>
    <cfRule type="cellIs" dxfId="54" priority="53" stopIfTrue="1" operator="greaterThan">
      <formula>1</formula>
    </cfRule>
  </conditionalFormatting>
  <conditionalFormatting sqref="E53:E57">
    <cfRule type="cellIs" dxfId="53" priority="52" stopIfTrue="1" operator="lessThan">
      <formula>1</formula>
    </cfRule>
  </conditionalFormatting>
  <conditionalFormatting sqref="E53:E57">
    <cfRule type="cellIs" dxfId="52" priority="51" stopIfTrue="1" operator="equal">
      <formula>1</formula>
    </cfRule>
  </conditionalFormatting>
  <conditionalFormatting sqref="B61:B64">
    <cfRule type="cellIs" dxfId="51" priority="46" operator="between">
      <formula>1.0001</formula>
      <formula>1.03</formula>
    </cfRule>
    <cfRule type="cellIs" dxfId="50" priority="49" stopIfTrue="1" operator="greaterThan">
      <formula>1</formula>
    </cfRule>
  </conditionalFormatting>
  <conditionalFormatting sqref="B61:B64">
    <cfRule type="cellIs" dxfId="49" priority="48" stopIfTrue="1" operator="lessThan">
      <formula>1</formula>
    </cfRule>
  </conditionalFormatting>
  <conditionalFormatting sqref="B61:B64">
    <cfRule type="cellIs" dxfId="48" priority="47" stopIfTrue="1" operator="equal">
      <formula>1</formula>
    </cfRule>
  </conditionalFormatting>
  <conditionalFormatting sqref="C61:C64">
    <cfRule type="cellIs" dxfId="47" priority="42" operator="between">
      <formula>1.0001</formula>
      <formula>1.03</formula>
    </cfRule>
    <cfRule type="cellIs" dxfId="46" priority="45" stopIfTrue="1" operator="greaterThan">
      <formula>1</formula>
    </cfRule>
  </conditionalFormatting>
  <conditionalFormatting sqref="C61:C64">
    <cfRule type="cellIs" dxfId="45" priority="44" stopIfTrue="1" operator="lessThan">
      <formula>1</formula>
    </cfRule>
  </conditionalFormatting>
  <conditionalFormatting sqref="C61:C64">
    <cfRule type="cellIs" dxfId="44" priority="43" stopIfTrue="1" operator="equal">
      <formula>1</formula>
    </cfRule>
  </conditionalFormatting>
  <conditionalFormatting sqref="E61:E64">
    <cfRule type="cellIs" dxfId="43" priority="38" operator="between">
      <formula>1.0001</formula>
      <formula>1.03</formula>
    </cfRule>
    <cfRule type="cellIs" dxfId="42" priority="41" stopIfTrue="1" operator="greaterThan">
      <formula>1</formula>
    </cfRule>
  </conditionalFormatting>
  <conditionalFormatting sqref="E61:E64">
    <cfRule type="cellIs" dxfId="41" priority="40" stopIfTrue="1" operator="lessThan">
      <formula>1</formula>
    </cfRule>
  </conditionalFormatting>
  <conditionalFormatting sqref="E61:E64">
    <cfRule type="cellIs" dxfId="40" priority="39" stopIfTrue="1" operator="equal">
      <formula>1</formula>
    </cfRule>
  </conditionalFormatting>
  <conditionalFormatting sqref="G61:G64">
    <cfRule type="cellIs" dxfId="39" priority="34" operator="between">
      <formula>1.0001</formula>
      <formula>1.03</formula>
    </cfRule>
    <cfRule type="cellIs" dxfId="38" priority="37" stopIfTrue="1" operator="greaterThan">
      <formula>1</formula>
    </cfRule>
  </conditionalFormatting>
  <conditionalFormatting sqref="G61:G64">
    <cfRule type="cellIs" dxfId="37" priority="36" stopIfTrue="1" operator="lessThan">
      <formula>1</formula>
    </cfRule>
  </conditionalFormatting>
  <conditionalFormatting sqref="G61:G64">
    <cfRule type="cellIs" dxfId="36" priority="35" stopIfTrue="1" operator="equal">
      <formula>1</formula>
    </cfRule>
  </conditionalFormatting>
  <conditionalFormatting sqref="B67">
    <cfRule type="cellIs" dxfId="35" priority="30" operator="between">
      <formula>1.0001</formula>
      <formula>1.03</formula>
    </cfRule>
    <cfRule type="cellIs" dxfId="34" priority="33" stopIfTrue="1" operator="greaterThan">
      <formula>1</formula>
    </cfRule>
  </conditionalFormatting>
  <conditionalFormatting sqref="B67">
    <cfRule type="cellIs" dxfId="33" priority="32" stopIfTrue="1" operator="lessThan">
      <formula>1</formula>
    </cfRule>
  </conditionalFormatting>
  <conditionalFormatting sqref="B67">
    <cfRule type="cellIs" dxfId="32" priority="31" stopIfTrue="1" operator="equal">
      <formula>1</formula>
    </cfRule>
  </conditionalFormatting>
  <conditionalFormatting sqref="C67">
    <cfRule type="cellIs" dxfId="31" priority="26" operator="between">
      <formula>1.0001</formula>
      <formula>1.03</formula>
    </cfRule>
    <cfRule type="cellIs" dxfId="30" priority="29" stopIfTrue="1" operator="greaterThan">
      <formula>1</formula>
    </cfRule>
  </conditionalFormatting>
  <conditionalFormatting sqref="C67">
    <cfRule type="cellIs" dxfId="29" priority="28" stopIfTrue="1" operator="lessThan">
      <formula>1</formula>
    </cfRule>
  </conditionalFormatting>
  <conditionalFormatting sqref="C67">
    <cfRule type="cellIs" dxfId="28" priority="27" stopIfTrue="1" operator="equal">
      <formula>1</formula>
    </cfRule>
  </conditionalFormatting>
  <conditionalFormatting sqref="E67">
    <cfRule type="cellIs" dxfId="27" priority="22" operator="between">
      <formula>1.0001</formula>
      <formula>1.03</formula>
    </cfRule>
    <cfRule type="cellIs" dxfId="26" priority="25" stopIfTrue="1" operator="greaterThan">
      <formula>1</formula>
    </cfRule>
  </conditionalFormatting>
  <conditionalFormatting sqref="E67">
    <cfRule type="cellIs" dxfId="25" priority="24" stopIfTrue="1" operator="lessThan">
      <formula>1</formula>
    </cfRule>
  </conditionalFormatting>
  <conditionalFormatting sqref="E67">
    <cfRule type="cellIs" dxfId="24" priority="23" stopIfTrue="1" operator="equal">
      <formula>1</formula>
    </cfRule>
  </conditionalFormatting>
  <conditionalFormatting sqref="G67">
    <cfRule type="cellIs" dxfId="23" priority="18" operator="between">
      <formula>1.0001</formula>
      <formula>1.03</formula>
    </cfRule>
    <cfRule type="cellIs" dxfId="22" priority="21" stopIfTrue="1" operator="greaterThan">
      <formula>1</formula>
    </cfRule>
  </conditionalFormatting>
  <conditionalFormatting sqref="G67">
    <cfRule type="cellIs" dxfId="21" priority="20" stopIfTrue="1" operator="lessThan">
      <formula>1</formula>
    </cfRule>
  </conditionalFormatting>
  <conditionalFormatting sqref="G67">
    <cfRule type="cellIs" dxfId="20" priority="19" stopIfTrue="1" operator="equal">
      <formula>1</formula>
    </cfRule>
  </conditionalFormatting>
  <conditionalFormatting sqref="C151:C152">
    <cfRule type="cellIs" dxfId="19" priority="17" stopIfTrue="1" operator="greaterThan">
      <formula>1</formula>
    </cfRule>
  </conditionalFormatting>
  <conditionalFormatting sqref="C151:C152">
    <cfRule type="cellIs" dxfId="18" priority="16" stopIfTrue="1" operator="lessThan">
      <formula>1</formula>
    </cfRule>
  </conditionalFormatting>
  <conditionalFormatting sqref="C151:C152">
    <cfRule type="cellIs" dxfId="17" priority="15" stopIfTrue="1" operator="equal">
      <formula>1</formula>
    </cfRule>
  </conditionalFormatting>
  <conditionalFormatting sqref="E102:E105">
    <cfRule type="cellIs" dxfId="16" priority="5" operator="between">
      <formula>1.0001</formula>
      <formula>1.03</formula>
    </cfRule>
    <cfRule type="cellIs" dxfId="15" priority="8" stopIfTrue="1" operator="greaterThan">
      <formula>1</formula>
    </cfRule>
  </conditionalFormatting>
  <conditionalFormatting sqref="E102:E105">
    <cfRule type="cellIs" dxfId="14" priority="7" stopIfTrue="1" operator="lessThan">
      <formula>1</formula>
    </cfRule>
  </conditionalFormatting>
  <conditionalFormatting sqref="E102:E105">
    <cfRule type="cellIs" dxfId="13" priority="6" stopIfTrue="1" operator="equal">
      <formula>1</formula>
    </cfRule>
  </conditionalFormatting>
  <conditionalFormatting sqref="E117:E120">
    <cfRule type="cellIs" dxfId="12" priority="1" operator="between">
      <formula>1.0001</formula>
      <formula>1.03</formula>
    </cfRule>
    <cfRule type="cellIs" dxfId="11" priority="4" stopIfTrue="1" operator="greaterThan">
      <formula>1</formula>
    </cfRule>
  </conditionalFormatting>
  <conditionalFormatting sqref="E117:E120">
    <cfRule type="cellIs" dxfId="10" priority="3" stopIfTrue="1" operator="lessThan">
      <formula>1</formula>
    </cfRule>
  </conditionalFormatting>
  <conditionalFormatting sqref="E117:E120">
    <cfRule type="cellIs" dxfId="9" priority="2" stopIfTrue="1" operator="equal">
      <formula>1</formula>
    </cfRule>
  </conditionalFormatting>
  <dataValidations count="5">
    <dataValidation type="list" allowBlank="1" showInputMessage="1" showErrorMessage="1" sqref="C127" xr:uid="{00000000-0002-0000-0000-000002000000}">
      <formula1>"Typ 1,Typ 2, Typ 3"</formula1>
    </dataValidation>
    <dataValidation type="list" allowBlank="1" showInputMessage="1" showErrorMessage="1" sqref="F126" xr:uid="{00000000-0002-0000-0000-000003000000}">
      <formula1>"8,10"</formula1>
    </dataValidation>
    <dataValidation type="list" allowBlank="1" showInputMessage="1" showErrorMessage="1" sqref="C162" xr:uid="{00000000-0002-0000-0000-000004000000}">
      <formula1>"0,30,60,90"</formula1>
    </dataValidation>
    <dataValidation type="list" allowBlank="1" showInputMessage="1" showErrorMessage="1" sqref="P33:P38" xr:uid="{5DC93518-6347-4D07-9D28-59A2D1553A3B}">
      <formula1>"80,100,120"</formula1>
    </dataValidation>
    <dataValidation type="list" allowBlank="1" showInputMessage="1" showErrorMessage="1" sqref="P29:P32" xr:uid="{BD56DFBA-3442-4D14-90A6-C8E74F99C034}">
      <formula1>"80,120"</formula1>
    </dataValidation>
  </dataValidations>
  <printOptions horizontalCentered="1"/>
  <pageMargins left="0.59055118110236227" right="0.59055118110236227" top="0.98425196850393704" bottom="0.98425196850393704" header="0.51181102362204722" footer="0.51181102362204722"/>
  <pageSetup paperSize="9" scale="47" fitToHeight="3" orientation="portrait" blackAndWhite="1" horizontalDpi="1200" verticalDpi="1200" r:id="rId1"/>
  <headerFooter alignWithMargins="0">
    <oddFooter>&amp;C
KNAPP® GmbH I A-3324 Euratsfeld I Wassergasse 31 I AUSTRIA/EUROPE 
 Tel. +43(0)7474/79910 I Fax +43(0)7474/79910-99
eMail: info@knapp-verbinder.com I www.knapp-verbinder.com&amp;R&amp;P</oddFooter>
  </headerFooter>
  <rowBreaks count="2" manualBreakCount="2">
    <brk id="70" max="8" man="1"/>
    <brk id="156" max="8" man="1"/>
  </rowBreaks>
  <ignoredErrors>
    <ignoredError sqref="A32" formula="1"/>
  </ignoredErrors>
  <drawing r:id="rId2"/>
  <legacyDrawing r:id="rId3"/>
  <oleObjects>
    <mc:AlternateContent xmlns:mc="http://schemas.openxmlformats.org/markup-compatibility/2006">
      <mc:Choice Requires="x14">
        <oleObject progId="Equation.3" shapeId="7087" r:id="rId4">
          <objectPr defaultSize="0" autoPict="0" r:id="rId5">
            <anchor moveWithCells="1">
              <from>
                <xdr:col>0</xdr:col>
                <xdr:colOff>371475</xdr:colOff>
                <xdr:row>143</xdr:row>
                <xdr:rowOff>114300</xdr:rowOff>
              </from>
              <to>
                <xdr:col>1</xdr:col>
                <xdr:colOff>1343025</xdr:colOff>
                <xdr:row>145</xdr:row>
                <xdr:rowOff>152400</xdr:rowOff>
              </to>
            </anchor>
          </objectPr>
        </oleObject>
      </mc:Choice>
      <mc:Fallback>
        <oleObject progId="Equation.3" shapeId="7087" r:id="rId4"/>
      </mc:Fallback>
    </mc:AlternateContent>
    <mc:AlternateContent xmlns:mc="http://schemas.openxmlformats.org/markup-compatibility/2006">
      <mc:Choice Requires="x14">
        <oleObject progId="Equation.3" shapeId="8778" r:id="rId6">
          <objectPr defaultSize="0" autoPict="0" r:id="rId7">
            <anchor moveWithCells="1">
              <from>
                <xdr:col>1</xdr:col>
                <xdr:colOff>133350</xdr:colOff>
                <xdr:row>149</xdr:row>
                <xdr:rowOff>133350</xdr:rowOff>
              </from>
              <to>
                <xdr:col>1</xdr:col>
                <xdr:colOff>1838325</xdr:colOff>
                <xdr:row>153</xdr:row>
                <xdr:rowOff>9525</xdr:rowOff>
              </to>
            </anchor>
          </objectPr>
        </oleObject>
      </mc:Choice>
      <mc:Fallback>
        <oleObject progId="Equation.3" shapeId="8778" r:id="rId6"/>
      </mc:Fallback>
    </mc:AlternateContent>
    <mc:AlternateContent xmlns:mc="http://schemas.openxmlformats.org/markup-compatibility/2006">
      <mc:Choice Requires="x14">
        <oleObject progId="Equation.3" shapeId="13781" r:id="rId8">
          <objectPr defaultSize="0" autoPict="0" r:id="rId9">
            <anchor moveWithCells="1">
              <from>
                <xdr:col>3</xdr:col>
                <xdr:colOff>66675</xdr:colOff>
                <xdr:row>164</xdr:row>
                <xdr:rowOff>200025</xdr:rowOff>
              </from>
              <to>
                <xdr:col>4</xdr:col>
                <xdr:colOff>647700</xdr:colOff>
                <xdr:row>166</xdr:row>
                <xdr:rowOff>114300</xdr:rowOff>
              </to>
            </anchor>
          </objectPr>
        </oleObject>
      </mc:Choice>
      <mc:Fallback>
        <oleObject progId="Equation.3" shapeId="13781" r:id="rId8"/>
      </mc:Fallback>
    </mc:AlternateContent>
  </oleObjects>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000-000000000000}">
          <x14:formula1>
            <xm:f>Zwischenrechnung!$H$6:$H$7</xm:f>
          </x14:formula1>
          <xm:sqref>G20</xm:sqref>
        </x14:dataValidation>
        <x14:dataValidation type="list" allowBlank="1" showInputMessage="1" showErrorMessage="1" xr:uid="{00000000-0002-0000-0000-000001000000}">
          <x14:formula1>
            <xm:f>Zwischenrechnung!$H$5:$H$7</xm:f>
          </x14:formula1>
          <xm:sqref>G21</xm:sqref>
        </x14:dataValidation>
        <x14:dataValidation type="list" allowBlank="1" showInputMessage="1" showErrorMessage="1" xr:uid="{00000000-0002-0000-0000-000005000000}">
          <x14:formula1>
            <xm:f>Zwischenrechnung!$H$6:$H$8</xm:f>
          </x14:formula1>
          <xm:sqref>G22</xm:sqref>
        </x14:dataValidation>
        <x14:dataValidation type="list" allowBlank="1" showInputMessage="1" showErrorMessage="1" xr:uid="{00000000-0002-0000-0000-000006000000}">
          <x14:formula1>
            <xm:f>Zwischenrechnung!$H$7:$H$8</xm:f>
          </x14:formula1>
          <xm:sqref>G23</xm:sqref>
        </x14:dataValidation>
        <x14:dataValidation type="list" allowBlank="1" showInputMessage="1" showErrorMessage="1" xr:uid="{00000000-0002-0000-0000-00000D000000}">
          <x14:formula1>
            <xm:f>Schraubenlängen!$F$5:$F$25</xm:f>
          </x14:formula1>
          <xm:sqref>G126</xm:sqref>
        </x14:dataValidation>
        <x14:dataValidation type="list" allowBlank="1" showInputMessage="1" showErrorMessage="1" xr:uid="{00000000-0002-0000-0000-00000E000000}">
          <x14:formula1>
            <xm:f>Zwischenrechnung!$E$89:$E$91</xm:f>
          </x14:formula1>
          <xm:sqref>J127:J130</xm:sqref>
        </x14:dataValidation>
        <x14:dataValidation type="list" allowBlank="1" showInputMessage="1" showErrorMessage="1" xr:uid="{00000000-0002-0000-0000-00000F000000}">
          <x14:formula1>
            <xm:f>Zwischenrechnung!$J$2:$J$12</xm:f>
          </x14:formula1>
          <xm:sqref>B35 B37</xm:sqref>
        </x14:dataValidation>
        <x14:dataValidation type="list" allowBlank="1" showInputMessage="1" showErrorMessage="1" xr:uid="{00000000-0002-0000-0000-000010000000}">
          <x14:formula1>
            <xm:f>Zwischenrechnung!$A$18:$A$27</xm:f>
          </x14:formula1>
          <xm:sqref>B28</xm:sqref>
        </x14:dataValidation>
        <x14:dataValidation type="list" allowBlank="1" showInputMessage="1" showErrorMessage="1" xr:uid="{6316D117-8C5D-4F2B-A9C3-3B81BA227754}">
          <x14:formula1>
            <xm:f>Zwischenrechnung!$L$36:$L$37</xm:f>
          </x14:formula1>
          <xm:sqref>B29</xm:sqref>
        </x14:dataValidation>
        <x14:dataValidation type="list" allowBlank="1" showInputMessage="1" showErrorMessage="1" xr:uid="{3F740AA2-EEEB-4E06-B6E8-B5B6051BCBA7}">
          <x14:formula1>
            <xm:f>Schraubenlängen!$B$40:$B$45</xm:f>
          </x14:formula1>
          <xm:sqref>L39</xm:sqref>
        </x14:dataValidation>
        <x14:dataValidation type="list" allowBlank="1" showInputMessage="1" showErrorMessage="1" xr:uid="{0355C3E7-2AA4-402E-8396-48BAD539D24D}">
          <x14:formula1>
            <xm:f>Schraubenlängen!$B$40:$B$44</xm:f>
          </x14:formula1>
          <xm:sqref>P39</xm:sqref>
        </x14:dataValidation>
        <x14:dataValidation type="list" allowBlank="1" showInputMessage="1" showErrorMessage="1" xr:uid="{060B13D5-5C2C-415A-A4E7-D128557896B3}">
          <x14:formula1>
            <xm:f>Schraubenlängen!$B$40:$B$445</xm:f>
          </x14:formula1>
          <xm:sqref>N39</xm:sqref>
        </x14:dataValidation>
        <x14:dataValidation type="list" allowBlank="1" showInputMessage="1" showErrorMessage="1" xr:uid="{83DF74AB-C5F9-4029-9AF0-4E6B079CA536}">
          <x14:formula1>
            <xm:f>'Herleitung_HT-NT-Anschlüsse'!$P$57:$P$58</xm:f>
          </x14:formula1>
          <xm:sqref>N29:N32</xm:sqref>
        </x14:dataValidation>
        <x14:dataValidation type="list" allowBlank="1" showInputMessage="1" showErrorMessage="1" xr:uid="{EF31B50D-8927-4E7A-9E7E-B2E91134DC8C}">
          <x14:formula1>
            <xm:f>'Herleitung_HT-NT-Anschlüsse'!$P$61:$P$63</xm:f>
          </x14:formula1>
          <xm:sqref>N33:N38</xm:sqref>
        </x14:dataValidation>
        <x14:dataValidation type="list" allowBlank="1" showInputMessage="1" showErrorMessage="1" xr:uid="{BC8A17D5-2F45-4A64-BDBE-3C44EC3EA155}">
          <x14:formula1>
            <xm:f>'Herleitung_HT-NT-Anschlüsse'!$P$39:$P$41</xm:f>
          </x14:formula1>
          <xm:sqref>L29:L32</xm:sqref>
        </x14:dataValidation>
        <x14:dataValidation type="list" allowBlank="1" showInputMessage="1" showErrorMessage="1" xr:uid="{A2EF3452-E62B-47FE-8CF0-92CFDEAEF2F1}">
          <x14:formula1>
            <xm:f>'Herleitung_HT-NT-Anschlüsse'!$P$44:$P$46</xm:f>
          </x14:formula1>
          <xm:sqref>L33:L38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S142"/>
  <sheetViews>
    <sheetView showGridLines="0" showRowColHeaders="0" topLeftCell="A81" workbookViewId="0">
      <selection activeCell="B111" sqref="B111"/>
    </sheetView>
  </sheetViews>
  <sheetFormatPr baseColWidth="10" defaultColWidth="11.5" defaultRowHeight="15.75"/>
  <cols>
    <col min="1" max="1" width="21" customWidth="1"/>
    <col min="2" max="2" width="13.5" customWidth="1"/>
    <col min="3" max="5" width="14.25" customWidth="1"/>
    <col min="6" max="6" width="12.625" customWidth="1"/>
    <col min="7" max="7" width="14.125" customWidth="1"/>
    <col min="9" max="9" width="21.25" customWidth="1"/>
    <col min="10" max="10" width="12.875" customWidth="1"/>
    <col min="11" max="11" width="16.5" customWidth="1"/>
    <col min="12" max="14" width="13.625" customWidth="1"/>
    <col min="15" max="15" width="16.25" customWidth="1"/>
  </cols>
  <sheetData>
    <row r="1" spans="1:16" ht="18.75">
      <c r="A1" s="49" t="s">
        <v>83</v>
      </c>
      <c r="B1" s="50" t="s">
        <v>84</v>
      </c>
      <c r="C1" s="192"/>
      <c r="D1" s="1"/>
      <c r="E1" s="1"/>
      <c r="F1" s="1"/>
      <c r="G1" s="1"/>
      <c r="H1" s="1"/>
      <c r="I1" s="1"/>
      <c r="J1" s="10" t="s">
        <v>144</v>
      </c>
      <c r="K1" s="10" t="s">
        <v>145</v>
      </c>
      <c r="L1" s="10" t="s">
        <v>175</v>
      </c>
      <c r="M1" s="322" t="s">
        <v>348</v>
      </c>
      <c r="N1" s="484" t="s">
        <v>144</v>
      </c>
      <c r="O1" s="485"/>
    </row>
    <row r="2" spans="1:16">
      <c r="A2" s="1"/>
      <c r="B2" s="1"/>
      <c r="C2" s="1"/>
      <c r="D2" s="1"/>
      <c r="E2" s="1"/>
      <c r="F2" s="1"/>
      <c r="G2" s="1"/>
      <c r="H2" s="1"/>
      <c r="I2" s="1"/>
      <c r="J2" s="10" t="s">
        <v>146</v>
      </c>
      <c r="K2" s="11">
        <v>350</v>
      </c>
      <c r="L2" s="177">
        <v>0.8</v>
      </c>
      <c r="M2" s="323">
        <v>1.3</v>
      </c>
      <c r="N2" s="193" t="s">
        <v>209</v>
      </c>
      <c r="O2" s="194"/>
      <c r="P2" t="s">
        <v>207</v>
      </c>
    </row>
    <row r="3" spans="1:16">
      <c r="A3" s="195" t="s">
        <v>129</v>
      </c>
      <c r="B3" s="196"/>
      <c r="C3" s="196"/>
      <c r="D3" s="196"/>
      <c r="E3" s="196"/>
      <c r="F3" s="194"/>
      <c r="G3" s="1"/>
      <c r="H3" s="197" t="s">
        <v>1</v>
      </c>
      <c r="I3" s="197" t="s">
        <v>0</v>
      </c>
      <c r="J3" s="10" t="s">
        <v>147</v>
      </c>
      <c r="K3" s="11">
        <v>380</v>
      </c>
      <c r="L3" s="177">
        <v>0.8</v>
      </c>
      <c r="M3" s="323">
        <v>1.3</v>
      </c>
      <c r="N3" s="193" t="s">
        <v>209</v>
      </c>
      <c r="O3" s="194"/>
      <c r="P3" t="s">
        <v>208</v>
      </c>
    </row>
    <row r="4" spans="1:16" ht="18.75">
      <c r="A4" s="198" t="s">
        <v>127</v>
      </c>
      <c r="B4" s="196">
        <v>1.3</v>
      </c>
      <c r="C4" s="196" t="s">
        <v>116</v>
      </c>
      <c r="D4" s="196"/>
      <c r="E4" s="196"/>
      <c r="F4" s="194"/>
      <c r="G4" s="1"/>
      <c r="H4" s="27">
        <v>0.6</v>
      </c>
      <c r="I4" s="27" t="s">
        <v>2</v>
      </c>
      <c r="J4" s="10" t="s">
        <v>148</v>
      </c>
      <c r="K4" s="11">
        <v>365</v>
      </c>
      <c r="L4" s="177">
        <v>0.7</v>
      </c>
      <c r="M4" s="323">
        <v>1.25</v>
      </c>
      <c r="N4" s="10" t="s">
        <v>203</v>
      </c>
      <c r="O4" s="10"/>
    </row>
    <row r="5" spans="1:16" ht="18.75">
      <c r="A5" s="198" t="s">
        <v>128</v>
      </c>
      <c r="B5" s="196">
        <v>1.5</v>
      </c>
      <c r="C5" s="196" t="s">
        <v>117</v>
      </c>
      <c r="D5" s="196"/>
      <c r="E5" s="196"/>
      <c r="F5" s="194"/>
      <c r="G5" s="1"/>
      <c r="H5" s="27">
        <v>0.7</v>
      </c>
      <c r="I5" s="27" t="s">
        <v>110</v>
      </c>
      <c r="J5" s="10" t="s">
        <v>143</v>
      </c>
      <c r="K5" s="11">
        <v>385</v>
      </c>
      <c r="L5" s="177">
        <v>0.7</v>
      </c>
      <c r="M5" s="323">
        <v>1.25</v>
      </c>
      <c r="N5" s="10" t="s">
        <v>202</v>
      </c>
      <c r="O5" s="10"/>
    </row>
    <row r="6" spans="1:16">
      <c r="A6" s="195" t="s">
        <v>130</v>
      </c>
      <c r="B6" s="196"/>
      <c r="C6" s="196"/>
      <c r="D6" s="196"/>
      <c r="E6" s="196"/>
      <c r="F6" s="194"/>
      <c r="G6" s="1"/>
      <c r="H6" s="11">
        <v>0.8</v>
      </c>
      <c r="I6" s="11" t="s">
        <v>107</v>
      </c>
      <c r="J6" s="10" t="s">
        <v>149</v>
      </c>
      <c r="K6" s="11">
        <v>390</v>
      </c>
      <c r="L6" s="177">
        <v>0.7</v>
      </c>
      <c r="M6" s="323">
        <v>1.25</v>
      </c>
      <c r="N6" s="10" t="s">
        <v>203</v>
      </c>
      <c r="O6" s="10"/>
    </row>
    <row r="7" spans="1:16" ht="18.75">
      <c r="A7" s="198" t="s">
        <v>132</v>
      </c>
      <c r="B7" s="196">
        <v>0.6</v>
      </c>
      <c r="C7" s="196" t="s">
        <v>131</v>
      </c>
      <c r="D7" s="196"/>
      <c r="E7" s="196"/>
      <c r="F7" s="194"/>
      <c r="G7" s="1"/>
      <c r="H7" s="11">
        <v>0.9</v>
      </c>
      <c r="I7" s="11" t="s">
        <v>3</v>
      </c>
      <c r="J7" s="10" t="s">
        <v>198</v>
      </c>
      <c r="K7" s="11">
        <v>425</v>
      </c>
      <c r="L7" s="177">
        <v>0.7</v>
      </c>
      <c r="M7" s="323">
        <v>1.25</v>
      </c>
      <c r="N7" s="10" t="s">
        <v>202</v>
      </c>
      <c r="O7" s="10"/>
    </row>
    <row r="8" spans="1:16" ht="18.75">
      <c r="A8" s="198" t="s">
        <v>132</v>
      </c>
      <c r="B8" s="196">
        <v>0.5</v>
      </c>
      <c r="C8" s="196" t="s">
        <v>134</v>
      </c>
      <c r="D8" s="196"/>
      <c r="E8" s="196"/>
      <c r="F8" s="194"/>
      <c r="G8" s="1"/>
      <c r="H8" s="188">
        <v>1</v>
      </c>
      <c r="I8" s="11" t="s">
        <v>196</v>
      </c>
      <c r="J8" s="10" t="s">
        <v>197</v>
      </c>
      <c r="K8" s="11">
        <v>390</v>
      </c>
      <c r="L8" s="177">
        <v>0.7</v>
      </c>
      <c r="M8" s="323">
        <v>1.25</v>
      </c>
      <c r="N8" s="10" t="s">
        <v>203</v>
      </c>
      <c r="O8" s="10"/>
    </row>
    <row r="9" spans="1:16" ht="18.75">
      <c r="A9" s="198" t="s">
        <v>132</v>
      </c>
      <c r="B9" s="196">
        <v>0.7</v>
      </c>
      <c r="C9" s="196" t="s">
        <v>133</v>
      </c>
      <c r="D9" s="196"/>
      <c r="E9" s="196"/>
      <c r="F9" s="194"/>
      <c r="G9" s="1"/>
      <c r="H9" s="1"/>
      <c r="I9" s="1"/>
      <c r="J9" s="10" t="s">
        <v>199</v>
      </c>
      <c r="K9" s="11">
        <v>430</v>
      </c>
      <c r="L9" s="177">
        <v>0.7</v>
      </c>
      <c r="M9" s="323">
        <v>1.25</v>
      </c>
      <c r="N9" s="10" t="s">
        <v>202</v>
      </c>
      <c r="O9" s="10"/>
    </row>
    <row r="10" spans="1:16" ht="18.75">
      <c r="A10" s="198" t="s">
        <v>132</v>
      </c>
      <c r="B10" s="196">
        <v>0.7</v>
      </c>
      <c r="C10" s="196" t="s">
        <v>135</v>
      </c>
      <c r="D10" s="196"/>
      <c r="E10" s="196"/>
      <c r="F10" s="194"/>
      <c r="G10" s="1"/>
      <c r="H10" s="1"/>
      <c r="I10" s="1"/>
      <c r="J10" s="10" t="s">
        <v>221</v>
      </c>
      <c r="K10" s="11">
        <v>400</v>
      </c>
      <c r="L10" s="177">
        <v>0.7</v>
      </c>
      <c r="M10" s="323">
        <v>1.25</v>
      </c>
      <c r="N10" s="10" t="s">
        <v>203</v>
      </c>
      <c r="O10" s="10"/>
    </row>
    <row r="11" spans="1:16">
      <c r="A11" s="1"/>
      <c r="B11" s="1"/>
      <c r="C11" s="1"/>
      <c r="D11" s="1"/>
      <c r="E11" s="1"/>
      <c r="F11" s="1"/>
      <c r="G11" s="1"/>
      <c r="H11" s="1"/>
      <c r="I11" s="1"/>
      <c r="J11" s="10" t="s">
        <v>222</v>
      </c>
      <c r="K11" s="11">
        <v>440</v>
      </c>
      <c r="L11" s="177">
        <v>0.7</v>
      </c>
      <c r="M11" s="323">
        <v>1.25</v>
      </c>
      <c r="N11" s="10" t="s">
        <v>202</v>
      </c>
      <c r="O11" s="10"/>
    </row>
    <row r="12" spans="1:16">
      <c r="A12" s="199"/>
      <c r="B12" s="1"/>
      <c r="C12" s="1"/>
      <c r="D12" s="1"/>
      <c r="E12" s="1"/>
      <c r="F12" s="1"/>
      <c r="G12" s="1"/>
      <c r="H12" s="1"/>
      <c r="I12" s="1"/>
      <c r="J12" s="10" t="s">
        <v>223</v>
      </c>
      <c r="K12" s="11">
        <v>350</v>
      </c>
      <c r="L12" s="177">
        <v>0.7</v>
      </c>
      <c r="M12" s="323">
        <v>1.3</v>
      </c>
      <c r="N12" s="10" t="s">
        <v>224</v>
      </c>
      <c r="O12" s="10"/>
    </row>
    <row r="13" spans="1:16">
      <c r="A13" s="1"/>
      <c r="B13" s="1"/>
      <c r="C13" s="1"/>
      <c r="D13" s="1"/>
      <c r="E13" s="1"/>
      <c r="F13" s="1"/>
      <c r="G13" s="1"/>
      <c r="H13" s="1"/>
      <c r="I13" s="1"/>
      <c r="J13" s="10"/>
      <c r="K13" s="11"/>
      <c r="L13" s="177"/>
      <c r="M13" s="177"/>
      <c r="N13" s="10"/>
      <c r="O13" s="10"/>
    </row>
    <row r="14" spans="1:16">
      <c r="A14" s="1"/>
      <c r="B14" s="1"/>
      <c r="C14" s="1"/>
      <c r="D14" s="1"/>
      <c r="E14" s="1"/>
      <c r="F14" s="1"/>
      <c r="G14" s="1"/>
      <c r="H14" s="1"/>
      <c r="I14" s="1"/>
      <c r="J14" s="10"/>
      <c r="K14" s="11"/>
      <c r="L14" s="177"/>
      <c r="M14" s="177"/>
      <c r="N14" s="10"/>
      <c r="O14" s="10"/>
    </row>
    <row r="15" spans="1:16">
      <c r="A15" s="1"/>
      <c r="B15" s="1"/>
      <c r="C15" s="1"/>
      <c r="D15" s="1"/>
      <c r="E15" s="1"/>
      <c r="F15" s="1"/>
      <c r="G15" s="1"/>
      <c r="K15" s="178" t="s">
        <v>141</v>
      </c>
      <c r="L15" s="492" t="s">
        <v>142</v>
      </c>
      <c r="M15" s="492"/>
      <c r="N15" s="492"/>
      <c r="O15" s="492"/>
    </row>
    <row r="16" spans="1:16" ht="15.75" customHeight="1">
      <c r="A16" s="200" t="s">
        <v>97</v>
      </c>
      <c r="B16" s="484" t="s">
        <v>79</v>
      </c>
      <c r="C16" s="486"/>
      <c r="D16" s="485"/>
      <c r="E16" s="484" t="s">
        <v>81</v>
      </c>
      <c r="F16" s="486"/>
      <c r="G16" s="485"/>
      <c r="H16" s="484" t="s">
        <v>356</v>
      </c>
      <c r="I16" s="486"/>
      <c r="J16" s="485"/>
      <c r="K16" s="201" t="s">
        <v>85</v>
      </c>
      <c r="L16" s="201" t="s">
        <v>86</v>
      </c>
      <c r="M16" s="491" t="s">
        <v>191</v>
      </c>
      <c r="N16" s="205" t="s">
        <v>192</v>
      </c>
      <c r="O16" s="205" t="s">
        <v>227</v>
      </c>
    </row>
    <row r="17" spans="1:15" ht="18.75">
      <c r="A17" s="58"/>
      <c r="B17" s="10" t="s">
        <v>80</v>
      </c>
      <c r="C17" s="10" t="s">
        <v>193</v>
      </c>
      <c r="D17" s="10" t="s">
        <v>194</v>
      </c>
      <c r="E17" s="10" t="s">
        <v>80</v>
      </c>
      <c r="F17" s="10" t="s">
        <v>193</v>
      </c>
      <c r="G17" s="10" t="s">
        <v>194</v>
      </c>
      <c r="H17" s="10" t="s">
        <v>80</v>
      </c>
      <c r="I17" s="10" t="s">
        <v>193</v>
      </c>
      <c r="J17" s="10" t="s">
        <v>194</v>
      </c>
      <c r="K17" s="25" t="s">
        <v>189</v>
      </c>
      <c r="L17" s="25" t="s">
        <v>190</v>
      </c>
      <c r="M17" s="491"/>
      <c r="N17" s="205"/>
      <c r="O17" s="205" t="s">
        <v>226</v>
      </c>
    </row>
    <row r="18" spans="1:15">
      <c r="A18" s="62" t="s">
        <v>366</v>
      </c>
      <c r="B18" s="64">
        <f>Bemessung!M29</f>
        <v>7</v>
      </c>
      <c r="C18" s="64">
        <v>8</v>
      </c>
      <c r="D18" s="64">
        <f>Bemessung!N29</f>
        <v>80</v>
      </c>
      <c r="E18" s="64">
        <f>Bemessung!K29</f>
        <v>7</v>
      </c>
      <c r="F18" s="64">
        <v>8</v>
      </c>
      <c r="G18" s="64">
        <f>Bemessung!L29</f>
        <v>160</v>
      </c>
      <c r="H18" s="64">
        <f>Bemessung!O29</f>
        <v>6</v>
      </c>
      <c r="I18" s="64">
        <v>8</v>
      </c>
      <c r="J18" s="64">
        <f>Bemessung!P29</f>
        <v>80</v>
      </c>
      <c r="K18" s="64">
        <v>23</v>
      </c>
      <c r="L18" s="64">
        <v>20</v>
      </c>
      <c r="M18" s="64">
        <v>140</v>
      </c>
      <c r="N18" s="64">
        <v>60</v>
      </c>
      <c r="O18" s="64">
        <v>40</v>
      </c>
    </row>
    <row r="19" spans="1:15" ht="16.5" thickBot="1">
      <c r="A19" s="67" t="s">
        <v>365</v>
      </c>
      <c r="B19" s="69">
        <f>Bemessung!M30</f>
        <v>10</v>
      </c>
      <c r="C19" s="69">
        <v>8</v>
      </c>
      <c r="D19" s="69">
        <f>Bemessung!N30</f>
        <v>80</v>
      </c>
      <c r="E19" s="69">
        <f>Bemessung!K30</f>
        <v>10</v>
      </c>
      <c r="F19" s="69">
        <v>8</v>
      </c>
      <c r="G19" s="69">
        <f>Bemessung!L30</f>
        <v>160</v>
      </c>
      <c r="H19" s="69">
        <f>Bemessung!O30</f>
        <v>8</v>
      </c>
      <c r="I19" s="69">
        <v>8</v>
      </c>
      <c r="J19" s="69">
        <f>Bemessung!P30</f>
        <v>80</v>
      </c>
      <c r="K19" s="69">
        <v>23</v>
      </c>
      <c r="L19" s="69">
        <v>20</v>
      </c>
      <c r="M19" s="69">
        <v>140</v>
      </c>
      <c r="N19" s="69">
        <v>60</v>
      </c>
      <c r="O19" s="69">
        <v>40</v>
      </c>
    </row>
    <row r="20" spans="1:15">
      <c r="A20" s="331" t="s">
        <v>358</v>
      </c>
      <c r="B20" s="332">
        <f>Bemessung!M31</f>
        <v>8</v>
      </c>
      <c r="C20" s="332">
        <v>8</v>
      </c>
      <c r="D20" s="332">
        <f>Bemessung!N31</f>
        <v>80</v>
      </c>
      <c r="E20" s="332">
        <f>Bemessung!K31</f>
        <v>8</v>
      </c>
      <c r="F20" s="332">
        <v>8</v>
      </c>
      <c r="G20" s="332">
        <f>Bemessung!L31</f>
        <v>160</v>
      </c>
      <c r="H20" s="332">
        <f>Bemessung!O31</f>
        <v>9</v>
      </c>
      <c r="I20" s="332">
        <v>8</v>
      </c>
      <c r="J20" s="332">
        <f>Bemessung!P31</f>
        <v>80</v>
      </c>
      <c r="K20" s="332">
        <v>23</v>
      </c>
      <c r="L20" s="332">
        <v>20</v>
      </c>
      <c r="M20" s="332">
        <v>200</v>
      </c>
      <c r="N20" s="332">
        <v>60</v>
      </c>
      <c r="O20" s="332">
        <v>40</v>
      </c>
    </row>
    <row r="21" spans="1:15" ht="16.5" thickBot="1">
      <c r="A21" s="73" t="s">
        <v>359</v>
      </c>
      <c r="B21" s="75">
        <f>Bemessung!M32</f>
        <v>16</v>
      </c>
      <c r="C21" s="75">
        <v>8</v>
      </c>
      <c r="D21" s="75">
        <f>Bemessung!N32</f>
        <v>80</v>
      </c>
      <c r="E21" s="75">
        <f>Bemessung!K32</f>
        <v>16</v>
      </c>
      <c r="F21" s="75">
        <v>8</v>
      </c>
      <c r="G21" s="75">
        <f>Bemessung!L32</f>
        <v>160</v>
      </c>
      <c r="H21" s="75">
        <f>Bemessung!O32</f>
        <v>13</v>
      </c>
      <c r="I21" s="75">
        <v>8</v>
      </c>
      <c r="J21" s="75">
        <f>Bemessung!P32</f>
        <v>80</v>
      </c>
      <c r="K21" s="75">
        <v>23</v>
      </c>
      <c r="L21" s="75">
        <v>20</v>
      </c>
      <c r="M21" s="75">
        <v>200</v>
      </c>
      <c r="N21" s="75">
        <v>60</v>
      </c>
      <c r="O21" s="75">
        <v>40</v>
      </c>
    </row>
    <row r="22" spans="1:15">
      <c r="A22" s="76" t="s">
        <v>360</v>
      </c>
      <c r="B22" s="78">
        <f>Bemessung!M33</f>
        <v>8</v>
      </c>
      <c r="C22" s="78">
        <v>10</v>
      </c>
      <c r="D22" s="78">
        <f>Bemessung!N33</f>
        <v>100</v>
      </c>
      <c r="E22" s="78">
        <f>Bemessung!K33</f>
        <v>8</v>
      </c>
      <c r="F22" s="78">
        <v>10</v>
      </c>
      <c r="G22" s="78">
        <f>Bemessung!L33</f>
        <v>200</v>
      </c>
      <c r="H22" s="78">
        <f>Bemessung!O33</f>
        <v>9</v>
      </c>
      <c r="I22" s="78">
        <v>10</v>
      </c>
      <c r="J22" s="78">
        <f>Bemessung!P33</f>
        <v>100</v>
      </c>
      <c r="K22" s="78">
        <v>32</v>
      </c>
      <c r="L22" s="78">
        <v>35</v>
      </c>
      <c r="M22" s="78">
        <v>200</v>
      </c>
      <c r="N22" s="78">
        <v>80</v>
      </c>
      <c r="O22" s="78">
        <v>40</v>
      </c>
    </row>
    <row r="23" spans="1:15" ht="16.5" thickBot="1">
      <c r="A23" s="67" t="s">
        <v>361</v>
      </c>
      <c r="B23" s="69">
        <f>Bemessung!M34</f>
        <v>16</v>
      </c>
      <c r="C23" s="69">
        <v>10</v>
      </c>
      <c r="D23" s="69">
        <f>Bemessung!N34</f>
        <v>100</v>
      </c>
      <c r="E23" s="69">
        <f>Bemessung!K34</f>
        <v>16</v>
      </c>
      <c r="F23" s="69">
        <v>10</v>
      </c>
      <c r="G23" s="69">
        <f>Bemessung!L34</f>
        <v>300</v>
      </c>
      <c r="H23" s="69">
        <f>Bemessung!O34</f>
        <v>13</v>
      </c>
      <c r="I23" s="69">
        <v>10</v>
      </c>
      <c r="J23" s="69">
        <f>Bemessung!P34</f>
        <v>100</v>
      </c>
      <c r="K23" s="69">
        <v>32</v>
      </c>
      <c r="L23" s="69">
        <v>35</v>
      </c>
      <c r="M23" s="69">
        <v>200</v>
      </c>
      <c r="N23" s="69">
        <v>80</v>
      </c>
      <c r="O23" s="69">
        <v>40</v>
      </c>
    </row>
    <row r="24" spans="1:15">
      <c r="A24" s="331" t="s">
        <v>362</v>
      </c>
      <c r="B24" s="332">
        <f>Bemessung!M35</f>
        <v>8</v>
      </c>
      <c r="C24" s="332">
        <v>10</v>
      </c>
      <c r="D24" s="332">
        <f>Bemessung!N35</f>
        <v>100</v>
      </c>
      <c r="E24" s="332">
        <f>Bemessung!K35</f>
        <v>8</v>
      </c>
      <c r="F24" s="332">
        <v>10</v>
      </c>
      <c r="G24" s="332">
        <f>Bemessung!L35</f>
        <v>200</v>
      </c>
      <c r="H24" s="332">
        <f>Bemessung!O35</f>
        <v>13</v>
      </c>
      <c r="I24" s="332">
        <v>10</v>
      </c>
      <c r="J24" s="332">
        <f>Bemessung!P35</f>
        <v>100</v>
      </c>
      <c r="K24" s="332">
        <v>32</v>
      </c>
      <c r="L24" s="332">
        <v>35</v>
      </c>
      <c r="M24" s="332">
        <v>290</v>
      </c>
      <c r="N24" s="332">
        <v>80</v>
      </c>
      <c r="O24" s="332">
        <v>40</v>
      </c>
    </row>
    <row r="25" spans="1:15" ht="16.5" thickBot="1">
      <c r="A25" s="73" t="s">
        <v>363</v>
      </c>
      <c r="B25" s="75">
        <f>Bemessung!M36</f>
        <v>25</v>
      </c>
      <c r="C25" s="75">
        <v>10</v>
      </c>
      <c r="D25" s="75">
        <f>Bemessung!N36</f>
        <v>100</v>
      </c>
      <c r="E25" s="75">
        <f>Bemessung!K36</f>
        <v>25</v>
      </c>
      <c r="F25" s="75">
        <v>10</v>
      </c>
      <c r="G25" s="75">
        <f>Bemessung!L36</f>
        <v>100</v>
      </c>
      <c r="H25" s="75">
        <f>Bemessung!O36</f>
        <v>20</v>
      </c>
      <c r="I25" s="75">
        <v>10</v>
      </c>
      <c r="J25" s="75">
        <f>Bemessung!P36</f>
        <v>100</v>
      </c>
      <c r="K25" s="75">
        <v>32</v>
      </c>
      <c r="L25" s="75">
        <v>35</v>
      </c>
      <c r="M25" s="75">
        <v>290</v>
      </c>
      <c r="N25" s="75">
        <v>80</v>
      </c>
      <c r="O25" s="75">
        <v>40</v>
      </c>
    </row>
    <row r="26" spans="1:15">
      <c r="A26" s="76" t="s">
        <v>211</v>
      </c>
      <c r="B26" s="78">
        <f>Bemessung!M37</f>
        <v>28</v>
      </c>
      <c r="C26" s="78">
        <v>10</v>
      </c>
      <c r="D26" s="78">
        <f>Bemessung!N37</f>
        <v>100</v>
      </c>
      <c r="E26" s="78">
        <f>Bemessung!K37</f>
        <v>28</v>
      </c>
      <c r="F26" s="78">
        <v>10</v>
      </c>
      <c r="G26" s="78">
        <f>Bemessung!L37</f>
        <v>200</v>
      </c>
      <c r="H26" s="78">
        <f>Bemessung!O37</f>
        <v>23</v>
      </c>
      <c r="I26" s="78">
        <v>10</v>
      </c>
      <c r="J26" s="78">
        <f>Bemessung!P37</f>
        <v>100</v>
      </c>
      <c r="K26" s="78">
        <v>32</v>
      </c>
      <c r="L26" s="78">
        <v>35</v>
      </c>
      <c r="M26" s="78">
        <v>390</v>
      </c>
      <c r="N26" s="78">
        <v>80</v>
      </c>
      <c r="O26" s="78">
        <v>60</v>
      </c>
    </row>
    <row r="27" spans="1:15">
      <c r="A27" s="62" t="s">
        <v>215</v>
      </c>
      <c r="B27" s="64">
        <f>Bemessung!M38</f>
        <v>28</v>
      </c>
      <c r="C27" s="64">
        <v>10</v>
      </c>
      <c r="D27" s="64">
        <f>Bemessung!N38</f>
        <v>100</v>
      </c>
      <c r="E27" s="64">
        <f>Bemessung!K38</f>
        <v>28</v>
      </c>
      <c r="F27" s="64">
        <v>10</v>
      </c>
      <c r="G27" s="64">
        <f>Bemessung!L38</f>
        <v>200</v>
      </c>
      <c r="H27" s="64">
        <f>Bemessung!O38</f>
        <v>23</v>
      </c>
      <c r="I27" s="64">
        <v>10</v>
      </c>
      <c r="J27" s="64">
        <f>Bemessung!P38</f>
        <v>100</v>
      </c>
      <c r="K27" s="64">
        <v>32</v>
      </c>
      <c r="L27" s="64">
        <v>35</v>
      </c>
      <c r="M27" s="64">
        <v>390</v>
      </c>
      <c r="N27" s="64">
        <v>80</v>
      </c>
      <c r="O27" s="64">
        <v>60</v>
      </c>
    </row>
    <row r="28" spans="1:15">
      <c r="A28" s="117"/>
      <c r="B28" s="64">
        <f>Bemessung!M39</f>
        <v>2</v>
      </c>
      <c r="C28" s="64">
        <v>10</v>
      </c>
      <c r="D28" s="64">
        <f>Bemessung!N39</f>
        <v>400</v>
      </c>
      <c r="E28" s="64">
        <f>Bemessung!K39</f>
        <v>2</v>
      </c>
      <c r="F28" s="64">
        <v>10</v>
      </c>
      <c r="G28" s="64">
        <f>Bemessung!L39</f>
        <v>450</v>
      </c>
      <c r="H28" s="64">
        <f>Bemessung!O39</f>
        <v>2</v>
      </c>
      <c r="I28" s="64">
        <v>10</v>
      </c>
      <c r="J28" s="64">
        <f>Bemessung!P39</f>
        <v>400</v>
      </c>
      <c r="K28" s="369"/>
      <c r="L28" s="369"/>
      <c r="M28" s="369"/>
      <c r="N28" s="369"/>
      <c r="O28" s="369"/>
    </row>
    <row r="29" spans="1:15">
      <c r="A29" s="1"/>
      <c r="B29" s="1"/>
      <c r="C29" s="1"/>
      <c r="D29" s="1"/>
      <c r="E29" s="1"/>
      <c r="F29" s="1"/>
      <c r="G29" s="1"/>
      <c r="H29" s="1"/>
      <c r="I29" s="1"/>
      <c r="J29" s="1"/>
      <c r="K29" s="1"/>
      <c r="L29" s="1"/>
      <c r="M29" s="21"/>
      <c r="N29" s="1"/>
      <c r="O29" s="1"/>
    </row>
    <row r="30" spans="1:15" ht="18.75">
      <c r="A30" s="200" t="s">
        <v>97</v>
      </c>
      <c r="B30" s="487" t="s">
        <v>185</v>
      </c>
      <c r="C30" s="488"/>
      <c r="D30" s="488"/>
      <c r="E30" s="488"/>
      <c r="F30" s="489"/>
      <c r="G30" s="201" t="s">
        <v>187</v>
      </c>
      <c r="H30" s="1"/>
      <c r="I30" s="1"/>
      <c r="J30" s="1"/>
      <c r="K30" s="1"/>
      <c r="L30" s="1"/>
      <c r="M30" s="1"/>
      <c r="N30" s="1"/>
      <c r="O30" s="1"/>
    </row>
    <row r="31" spans="1:15" ht="18.75">
      <c r="A31" s="58"/>
      <c r="B31" s="202">
        <v>0.6</v>
      </c>
      <c r="C31" s="202">
        <v>0.7</v>
      </c>
      <c r="D31" s="202">
        <v>0.8</v>
      </c>
      <c r="E31" s="202">
        <v>0.9</v>
      </c>
      <c r="F31" s="202">
        <v>1</v>
      </c>
      <c r="G31" s="166" t="s">
        <v>188</v>
      </c>
      <c r="H31" s="1"/>
      <c r="I31" s="1"/>
      <c r="J31" s="1"/>
      <c r="K31" s="1"/>
      <c r="L31" s="1"/>
      <c r="M31" s="1"/>
      <c r="N31" s="1"/>
      <c r="O31" s="1"/>
    </row>
    <row r="32" spans="1:15">
      <c r="A32" s="62" t="s">
        <v>366</v>
      </c>
      <c r="B32" s="65">
        <f>IF(Bemessung!$B$29=Zwischenrechnung!$L$36,'Herleitung_HT-NT-Anschlüsse'!O10,'Herleitung_Stützen-Anschlüsse'!O10)</f>
        <v>0</v>
      </c>
      <c r="C32" s="65">
        <f>IF(Bemessung!$B$29=Zwischenrechnung!$L$36,'Herleitung_HT-NT-Anschlüsse'!P10,'Herleitung_Stützen-Anschlüsse'!P10)</f>
        <v>0</v>
      </c>
      <c r="D32" s="65">
        <f>IF(Bemessung!$B$29=Zwischenrechnung!$L$36,'Herleitung_HT-NT-Anschlüsse'!Q10,'Herleitung_Stützen-Anschlüsse'!Q10)</f>
        <v>0</v>
      </c>
      <c r="E32" s="65">
        <f>IF(Bemessung!$B$29=Zwischenrechnung!$L$36,'Herleitung_HT-NT-Anschlüsse'!R10,'Herleitung_Stützen-Anschlüsse'!R10)</f>
        <v>0</v>
      </c>
      <c r="F32" s="65">
        <f>IF(Bemessung!$B$29=Zwischenrechnung!$L$36,'Herleitung_HT-NT-Anschlüsse'!S10,'Herleitung_Stützen-Anschlüsse'!S10)</f>
        <v>0</v>
      </c>
      <c r="G32" s="65">
        <f>IF(Bemessung!$B$29=Zwischenrechnung!$L$36,'Herleitung_HT-NT-Anschlüsse'!Q26,'Herleitung_Stützen-Anschlüsse'!Q26)</f>
        <v>0</v>
      </c>
      <c r="H32" s="1"/>
      <c r="I32" s="1"/>
      <c r="J32" s="1"/>
      <c r="K32" s="1"/>
      <c r="L32" s="1"/>
      <c r="M32" s="1"/>
      <c r="N32" s="1"/>
      <c r="O32" s="1"/>
    </row>
    <row r="33" spans="1:15" ht="16.5" thickBot="1">
      <c r="A33" s="67" t="s">
        <v>365</v>
      </c>
      <c r="B33" s="70">
        <f>IF(Bemessung!$B$29=Zwischenrechnung!$L$36,'Herleitung_HT-NT-Anschlüsse'!O11,'Herleitung_Stützen-Anschlüsse'!O11)</f>
        <v>0</v>
      </c>
      <c r="C33" s="70">
        <f>IF(Bemessung!$B$29=Zwischenrechnung!$L$36,'Herleitung_HT-NT-Anschlüsse'!P11,'Herleitung_Stützen-Anschlüsse'!P11)</f>
        <v>0</v>
      </c>
      <c r="D33" s="70">
        <f>IF(Bemessung!$B$29=Zwischenrechnung!$L$36,'Herleitung_HT-NT-Anschlüsse'!Q11,'Herleitung_Stützen-Anschlüsse'!Q11)</f>
        <v>0</v>
      </c>
      <c r="E33" s="70">
        <f>IF(Bemessung!$B$29=Zwischenrechnung!$L$36,'Herleitung_HT-NT-Anschlüsse'!R11,'Herleitung_Stützen-Anschlüsse'!R11)</f>
        <v>0</v>
      </c>
      <c r="F33" s="70">
        <f>IF(Bemessung!$B$29=Zwischenrechnung!$L$36,'Herleitung_HT-NT-Anschlüsse'!S11,'Herleitung_Stützen-Anschlüsse'!S11)</f>
        <v>0</v>
      </c>
      <c r="G33" s="70">
        <f>IF(Bemessung!$B$29=Zwischenrechnung!$L$36,'Herleitung_HT-NT-Anschlüsse'!Q27,'Herleitung_Stützen-Anschlüsse'!Q27)</f>
        <v>0</v>
      </c>
      <c r="H33" s="1"/>
      <c r="I33" s="2"/>
      <c r="J33" s="1" t="s">
        <v>195</v>
      </c>
      <c r="K33" s="1"/>
      <c r="L33" s="1"/>
      <c r="M33" s="1"/>
      <c r="N33" s="1"/>
      <c r="O33" s="1"/>
    </row>
    <row r="34" spans="1:15">
      <c r="A34" s="331" t="s">
        <v>358</v>
      </c>
      <c r="B34" s="338">
        <f>IF(Bemessung!$B$29=Zwischenrechnung!$L$36,'Herleitung_HT-NT-Anschlüsse'!O12,'Herleitung_Stützen-Anschlüsse'!O12)</f>
        <v>0</v>
      </c>
      <c r="C34" s="338">
        <f>IF(Bemessung!$B$29=Zwischenrechnung!$L$36,'Herleitung_HT-NT-Anschlüsse'!P12,'Herleitung_Stützen-Anschlüsse'!P12)</f>
        <v>0</v>
      </c>
      <c r="D34" s="338">
        <f>IF(Bemessung!$B$29=Zwischenrechnung!$L$36,'Herleitung_HT-NT-Anschlüsse'!Q12,'Herleitung_Stützen-Anschlüsse'!Q12)</f>
        <v>0</v>
      </c>
      <c r="E34" s="338">
        <f>IF(Bemessung!$B$29=Zwischenrechnung!$L$36,'Herleitung_HT-NT-Anschlüsse'!R12,'Herleitung_Stützen-Anschlüsse'!R12)</f>
        <v>0</v>
      </c>
      <c r="F34" s="338">
        <f>IF(Bemessung!$B$29=Zwischenrechnung!$L$36,'Herleitung_HT-NT-Anschlüsse'!S12,'Herleitung_Stützen-Anschlüsse'!S12)</f>
        <v>0</v>
      </c>
      <c r="G34" s="338">
        <f>IF(Bemessung!$B$29=Zwischenrechnung!$L$36,'Herleitung_HT-NT-Anschlüsse'!Q28,'Herleitung_Stützen-Anschlüsse'!Q28)</f>
        <v>0</v>
      </c>
      <c r="H34" s="1"/>
      <c r="I34" s="2"/>
      <c r="J34" s="1"/>
      <c r="K34" s="1"/>
      <c r="L34" s="1"/>
      <c r="M34" s="1"/>
      <c r="N34" s="1"/>
      <c r="O34" s="1"/>
    </row>
    <row r="35" spans="1:15" ht="16.5" thickBot="1">
      <c r="A35" s="73" t="s">
        <v>359</v>
      </c>
      <c r="B35" s="339">
        <f>IF(Bemessung!$B$29=Zwischenrechnung!$L$36,'Herleitung_HT-NT-Anschlüsse'!O13,'Herleitung_Stützen-Anschlüsse'!O13)</f>
        <v>0</v>
      </c>
      <c r="C35" s="339">
        <f>IF(Bemessung!$B$29=Zwischenrechnung!$L$36,'Herleitung_HT-NT-Anschlüsse'!P13,'Herleitung_Stützen-Anschlüsse'!P13)</f>
        <v>0</v>
      </c>
      <c r="D35" s="339">
        <f>IF(Bemessung!$B$29=Zwischenrechnung!$L$36,'Herleitung_HT-NT-Anschlüsse'!Q13,'Herleitung_Stützen-Anschlüsse'!Q13)</f>
        <v>0</v>
      </c>
      <c r="E35" s="339">
        <f>IF(Bemessung!$B$29=Zwischenrechnung!$L$36,'Herleitung_HT-NT-Anschlüsse'!R13,'Herleitung_Stützen-Anschlüsse'!R13)</f>
        <v>0</v>
      </c>
      <c r="F35" s="339">
        <f>IF(Bemessung!$B$29=Zwischenrechnung!$L$36,'Herleitung_HT-NT-Anschlüsse'!S13,'Herleitung_Stützen-Anschlüsse'!S13)</f>
        <v>0</v>
      </c>
      <c r="G35" s="339">
        <f>IF(Bemessung!$B$29=Zwischenrechnung!$L$36,'Herleitung_HT-NT-Anschlüsse'!Q29,'Herleitung_Stützen-Anschlüsse'!Q29)</f>
        <v>0</v>
      </c>
      <c r="H35" s="1"/>
      <c r="I35" s="1"/>
      <c r="J35" s="1"/>
      <c r="K35" s="1"/>
      <c r="L35" s="1"/>
      <c r="M35" s="1"/>
      <c r="N35" s="1"/>
      <c r="O35" s="1"/>
    </row>
    <row r="36" spans="1:15">
      <c r="A36" s="76" t="s">
        <v>360</v>
      </c>
      <c r="B36" s="79">
        <f>IF(Bemessung!$B$29=Zwischenrechnung!$L$36,'Herleitung_HT-NT-Anschlüsse'!O14,'Herleitung_Stützen-Anschlüsse'!O14)</f>
        <v>0</v>
      </c>
      <c r="C36" s="79">
        <f>IF(Bemessung!$B$29=Zwischenrechnung!$L$36,'Herleitung_HT-NT-Anschlüsse'!P14,'Herleitung_Stützen-Anschlüsse'!P14)</f>
        <v>0</v>
      </c>
      <c r="D36" s="79">
        <f>IF(Bemessung!$B$29=Zwischenrechnung!$L$36,'Herleitung_HT-NT-Anschlüsse'!Q14,'Herleitung_Stützen-Anschlüsse'!Q14)</f>
        <v>0</v>
      </c>
      <c r="E36" s="79">
        <f>IF(Bemessung!$B$29=Zwischenrechnung!$L$36,'Herleitung_HT-NT-Anschlüsse'!R14,'Herleitung_Stützen-Anschlüsse'!R14)</f>
        <v>0</v>
      </c>
      <c r="F36" s="79">
        <f>IF(Bemessung!$B$29=Zwischenrechnung!$L$36,'Herleitung_HT-NT-Anschlüsse'!S14,'Herleitung_Stützen-Anschlüsse'!S14)</f>
        <v>0</v>
      </c>
      <c r="G36" s="79">
        <f>IF(Bemessung!$B$29=Zwischenrechnung!$L$36,'Herleitung_HT-NT-Anschlüsse'!Q30,'Herleitung_Stützen-Anschlüsse'!Q30)</f>
        <v>0</v>
      </c>
      <c r="H36" s="1"/>
      <c r="I36" s="1"/>
      <c r="J36" s="1"/>
      <c r="K36" s="1"/>
      <c r="L36" s="1" t="s">
        <v>375</v>
      </c>
      <c r="M36" s="1"/>
      <c r="N36" s="1" t="s">
        <v>108</v>
      </c>
      <c r="O36" s="1"/>
    </row>
    <row r="37" spans="1:15" ht="16.5" thickBot="1">
      <c r="A37" s="67" t="s">
        <v>361</v>
      </c>
      <c r="B37" s="70">
        <f>IF(Bemessung!$B$29=Zwischenrechnung!$L$36,'Herleitung_HT-NT-Anschlüsse'!O15,'Herleitung_Stützen-Anschlüsse'!O15)</f>
        <v>7.2635364041984101</v>
      </c>
      <c r="C37" s="70">
        <f>IF(Bemessung!$B$29=Zwischenrechnung!$L$36,'Herleitung_HT-NT-Anschlüsse'!P15,'Herleitung_Stützen-Anschlüsse'!P15)</f>
        <v>8.4741258048981472</v>
      </c>
      <c r="D37" s="70">
        <f>IF(Bemessung!$B$29=Zwischenrechnung!$L$36,'Herleitung_HT-NT-Anschlüsse'!Q15,'Herleitung_Stützen-Anschlüsse'!Q15)</f>
        <v>9.6847152055978825</v>
      </c>
      <c r="E37" s="70">
        <f>IF(Bemessung!$B$29=Zwischenrechnung!$L$36,'Herleitung_HT-NT-Anschlüsse'!R15,'Herleitung_Stützen-Anschlüsse'!R15)</f>
        <v>10.895304606297618</v>
      </c>
      <c r="F37" s="70">
        <f>IF(Bemessung!$B$29=Zwischenrechnung!$L$36,'Herleitung_HT-NT-Anschlüsse'!S15,'Herleitung_Stützen-Anschlüsse'!S15)</f>
        <v>12.105894006997353</v>
      </c>
      <c r="G37" s="70">
        <f>IF(Bemessung!$B$29=Zwischenrechnung!$L$36,'Herleitung_HT-NT-Anschlüsse'!Q31,'Herleitung_Stützen-Anschlüsse'!Q31)</f>
        <v>1.5</v>
      </c>
      <c r="H37" s="1"/>
      <c r="I37" s="1"/>
      <c r="J37" s="1"/>
      <c r="K37" s="1"/>
      <c r="L37" s="1" t="s">
        <v>374</v>
      </c>
      <c r="M37" s="1"/>
      <c r="N37" s="1" t="s">
        <v>376</v>
      </c>
      <c r="O37" s="1"/>
    </row>
    <row r="38" spans="1:15">
      <c r="A38" s="331" t="s">
        <v>362</v>
      </c>
      <c r="B38" s="338">
        <f>IF(Bemessung!$B$29=Zwischenrechnung!$L$36,'Herleitung_HT-NT-Anschlüsse'!O16,'Herleitung_Stützen-Anschlüsse'!O16)</f>
        <v>0</v>
      </c>
      <c r="C38" s="338">
        <f>IF(Bemessung!$B$29=Zwischenrechnung!$L$36,'Herleitung_HT-NT-Anschlüsse'!P16,'Herleitung_Stützen-Anschlüsse'!P16)</f>
        <v>0</v>
      </c>
      <c r="D38" s="338">
        <f>IF(Bemessung!$B$29=Zwischenrechnung!$L$36,'Herleitung_HT-NT-Anschlüsse'!Q16,'Herleitung_Stützen-Anschlüsse'!Q16)</f>
        <v>0</v>
      </c>
      <c r="E38" s="338">
        <f>IF(Bemessung!$B$29=Zwischenrechnung!$L$36,'Herleitung_HT-NT-Anschlüsse'!R16,'Herleitung_Stützen-Anschlüsse'!R16)</f>
        <v>0</v>
      </c>
      <c r="F38" s="338">
        <f>IF(Bemessung!$B$29=Zwischenrechnung!$L$36,'Herleitung_HT-NT-Anschlüsse'!S16,'Herleitung_Stützen-Anschlüsse'!S16)</f>
        <v>0</v>
      </c>
      <c r="G38" s="338">
        <f>IF(Bemessung!$B$29=Zwischenrechnung!$L$36,'Herleitung_HT-NT-Anschlüsse'!Q32,'Herleitung_Stützen-Anschlüsse'!Q32)</f>
        <v>0</v>
      </c>
      <c r="H38" s="1"/>
      <c r="I38" s="1"/>
      <c r="J38" s="1"/>
      <c r="K38" s="1"/>
      <c r="L38" s="1"/>
      <c r="M38" s="1"/>
      <c r="N38" s="1"/>
      <c r="O38" s="1"/>
    </row>
    <row r="39" spans="1:15" ht="16.5" thickBot="1">
      <c r="A39" s="73" t="s">
        <v>363</v>
      </c>
      <c r="B39" s="339">
        <f>IF(Bemessung!$B$29=Zwischenrechnung!$L$36,'Herleitung_HT-NT-Anschlüsse'!O17,'Herleitung_Stützen-Anschlüsse'!O17)</f>
        <v>0</v>
      </c>
      <c r="C39" s="339">
        <f>IF(Bemessung!$B$29=Zwischenrechnung!$L$36,'Herleitung_HT-NT-Anschlüsse'!P17,'Herleitung_Stützen-Anschlüsse'!P17)</f>
        <v>0</v>
      </c>
      <c r="D39" s="339">
        <f>IF(Bemessung!$B$29=Zwischenrechnung!$L$36,'Herleitung_HT-NT-Anschlüsse'!Q17,'Herleitung_Stützen-Anschlüsse'!Q17)</f>
        <v>0</v>
      </c>
      <c r="E39" s="339">
        <f>IF(Bemessung!$B$29=Zwischenrechnung!$L$36,'Herleitung_HT-NT-Anschlüsse'!R17,'Herleitung_Stützen-Anschlüsse'!R17)</f>
        <v>0</v>
      </c>
      <c r="F39" s="339">
        <f>IF(Bemessung!$B$29=Zwischenrechnung!$L$36,'Herleitung_HT-NT-Anschlüsse'!S17,'Herleitung_Stützen-Anschlüsse'!S17)</f>
        <v>0</v>
      </c>
      <c r="G39" s="339">
        <f>IF(Bemessung!$B$29=Zwischenrechnung!$L$36,'Herleitung_HT-NT-Anschlüsse'!Q33,'Herleitung_Stützen-Anschlüsse'!Q33)</f>
        <v>0</v>
      </c>
      <c r="H39" s="1"/>
      <c r="I39" s="1"/>
      <c r="J39" s="1"/>
      <c r="K39" s="1"/>
      <c r="L39" s="1"/>
      <c r="M39" s="1"/>
      <c r="N39" s="1"/>
      <c r="O39" s="1"/>
    </row>
    <row r="40" spans="1:15">
      <c r="A40" s="76" t="s">
        <v>211</v>
      </c>
      <c r="B40" s="79">
        <f>IF(Bemessung!$B$29=Zwischenrechnung!$L$36,'Herleitung_HT-NT-Anschlüsse'!O18,'Herleitung_Stützen-Anschlüsse'!O18)</f>
        <v>0</v>
      </c>
      <c r="C40" s="79">
        <f>IF(Bemessung!$B$29=Zwischenrechnung!$L$36,'Herleitung_HT-NT-Anschlüsse'!P18,'Herleitung_Stützen-Anschlüsse'!P18)</f>
        <v>0</v>
      </c>
      <c r="D40" s="79">
        <f>IF(Bemessung!$B$29=Zwischenrechnung!$L$36,'Herleitung_HT-NT-Anschlüsse'!Q18,'Herleitung_Stützen-Anschlüsse'!Q18)</f>
        <v>0</v>
      </c>
      <c r="E40" s="79">
        <f>IF(Bemessung!$B$29=Zwischenrechnung!$L$36,'Herleitung_HT-NT-Anschlüsse'!R18,'Herleitung_Stützen-Anschlüsse'!R18)</f>
        <v>0</v>
      </c>
      <c r="F40" s="79">
        <f>IF(Bemessung!$B$29=Zwischenrechnung!$L$36,'Herleitung_HT-NT-Anschlüsse'!S18,'Herleitung_Stützen-Anschlüsse'!S18)</f>
        <v>0</v>
      </c>
      <c r="G40" s="79">
        <f>IF(Bemessung!$B$29=Zwischenrechnung!$L$36,'Herleitung_HT-NT-Anschlüsse'!Q34,'Herleitung_Stützen-Anschlüsse'!Q34)</f>
        <v>0</v>
      </c>
      <c r="H40" s="1"/>
      <c r="I40" s="1"/>
      <c r="J40" s="1"/>
      <c r="K40" s="1"/>
      <c r="L40" s="1"/>
      <c r="M40" s="1"/>
      <c r="N40" s="1"/>
      <c r="O40" s="1"/>
    </row>
    <row r="41" spans="1:15">
      <c r="A41" s="62" t="s">
        <v>215</v>
      </c>
      <c r="B41" s="65">
        <f>IF(Bemessung!$B$29=Zwischenrechnung!$L$36,'Herleitung_HT-NT-Anschlüsse'!O19,'Herleitung_Stützen-Anschlüsse'!O19)</f>
        <v>0</v>
      </c>
      <c r="C41" s="65">
        <f>IF(Bemessung!$B$29=Zwischenrechnung!$L$36,'Herleitung_HT-NT-Anschlüsse'!P19,'Herleitung_Stützen-Anschlüsse'!P19)</f>
        <v>0</v>
      </c>
      <c r="D41" s="65">
        <f>IF(Bemessung!$B$29=Zwischenrechnung!$L$36,'Herleitung_HT-NT-Anschlüsse'!Q19,'Herleitung_Stützen-Anschlüsse'!Q19)</f>
        <v>0</v>
      </c>
      <c r="E41" s="65">
        <f>IF(Bemessung!$B$29=Zwischenrechnung!$L$36,'Herleitung_HT-NT-Anschlüsse'!R19,'Herleitung_Stützen-Anschlüsse'!R19)</f>
        <v>0</v>
      </c>
      <c r="F41" s="65">
        <f>IF(Bemessung!$B$29=Zwischenrechnung!$L$36,'Herleitung_HT-NT-Anschlüsse'!S19,'Herleitung_Stützen-Anschlüsse'!S19)</f>
        <v>0</v>
      </c>
      <c r="G41" s="65">
        <f>IF(Bemessung!$B$29=Zwischenrechnung!$L$36,'Herleitung_HT-NT-Anschlüsse'!Q35,'Herleitung_Stützen-Anschlüsse'!Q35)</f>
        <v>0</v>
      </c>
      <c r="H41" s="1"/>
      <c r="I41" s="1"/>
      <c r="J41" s="1"/>
      <c r="K41" s="1"/>
      <c r="L41" s="1"/>
      <c r="M41" s="1"/>
      <c r="N41" s="1"/>
      <c r="O41" s="1"/>
    </row>
    <row r="42" spans="1:15">
      <c r="A42" s="1"/>
      <c r="B42" s="1"/>
      <c r="C42" s="1"/>
      <c r="D42" s="1"/>
      <c r="E42" s="1"/>
      <c r="F42" s="1"/>
      <c r="G42" s="1"/>
      <c r="H42" s="1"/>
      <c r="I42" s="1"/>
      <c r="J42" s="1"/>
      <c r="K42" s="1"/>
      <c r="L42" s="1"/>
      <c r="M42" s="1"/>
      <c r="N42" s="1"/>
      <c r="O42" s="1"/>
    </row>
    <row r="43" spans="1:15">
      <c r="A43" s="1" t="s">
        <v>373</v>
      </c>
      <c r="B43" s="1"/>
      <c r="C43" s="1"/>
      <c r="D43" s="1"/>
      <c r="E43" s="1"/>
      <c r="F43" s="1"/>
      <c r="G43" s="1"/>
      <c r="H43" s="1"/>
      <c r="I43" s="1" t="s">
        <v>374</v>
      </c>
      <c r="J43" s="1"/>
      <c r="K43" s="1"/>
      <c r="L43" s="1"/>
      <c r="M43" s="1"/>
      <c r="N43" s="1"/>
      <c r="O43" s="1"/>
    </row>
    <row r="44" spans="1:15" ht="18.75">
      <c r="A44" s="200" t="s">
        <v>97</v>
      </c>
      <c r="B44" s="490" t="s">
        <v>370</v>
      </c>
      <c r="C44" s="488"/>
      <c r="D44" s="488"/>
      <c r="E44" s="488"/>
      <c r="F44" s="489"/>
      <c r="G44" s="1"/>
      <c r="H44" s="1"/>
      <c r="I44" s="200" t="s">
        <v>97</v>
      </c>
      <c r="J44" s="490" t="s">
        <v>371</v>
      </c>
      <c r="K44" s="488"/>
      <c r="L44" s="488"/>
      <c r="M44" s="488"/>
      <c r="N44" s="489"/>
      <c r="O44" s="1"/>
    </row>
    <row r="45" spans="1:15">
      <c r="A45" s="58"/>
      <c r="B45" s="202">
        <v>0.6</v>
      </c>
      <c r="C45" s="202">
        <v>0.7</v>
      </c>
      <c r="D45" s="202">
        <v>0.8</v>
      </c>
      <c r="E45" s="202">
        <v>0.9</v>
      </c>
      <c r="F45" s="202">
        <v>1</v>
      </c>
      <c r="G45" s="1"/>
      <c r="H45" s="1"/>
      <c r="I45" s="58"/>
      <c r="J45" s="202">
        <v>0.6</v>
      </c>
      <c r="K45" s="202">
        <v>0.7</v>
      </c>
      <c r="L45" s="202">
        <v>0.8</v>
      </c>
      <c r="M45" s="202">
        <v>0.9</v>
      </c>
      <c r="N45" s="202">
        <v>1</v>
      </c>
      <c r="O45" s="1"/>
    </row>
    <row r="46" spans="1:15">
      <c r="A46" s="62" t="s">
        <v>366</v>
      </c>
      <c r="B46" s="65">
        <f>'Herleitung_HT-NT-Anschlüsse'!O74</f>
        <v>12.41874760453287</v>
      </c>
      <c r="C46" s="65">
        <f>'Herleitung_HT-NT-Anschlüsse'!P74</f>
        <v>14.488538871955015</v>
      </c>
      <c r="D46" s="65">
        <f>'Herleitung_HT-NT-Anschlüsse'!Q74</f>
        <v>16.558330139377162</v>
      </c>
      <c r="E46" s="65">
        <f>'Herleitung_HT-NT-Anschlüsse'!R74</f>
        <v>18.628121406799306</v>
      </c>
      <c r="F46" s="65">
        <f>'Herleitung_HT-NT-Anschlüsse'!S74</f>
        <v>20.697912674221449</v>
      </c>
      <c r="G46" s="1"/>
      <c r="H46" s="1"/>
      <c r="I46" s="62" t="s">
        <v>366</v>
      </c>
      <c r="J46" s="65">
        <f>'Herleitung_Stützen-Anschlüsse'!O130</f>
        <v>12.41874760453287</v>
      </c>
      <c r="K46" s="65">
        <f>'Herleitung_Stützen-Anschlüsse'!P130</f>
        <v>14.488538871955015</v>
      </c>
      <c r="L46" s="65">
        <f>'Herleitung_Stützen-Anschlüsse'!Q130</f>
        <v>16.558330139377162</v>
      </c>
      <c r="M46" s="65">
        <f>'Herleitung_Stützen-Anschlüsse'!R130</f>
        <v>18.628121406799306</v>
      </c>
      <c r="N46" s="65">
        <f>'Herleitung_Stützen-Anschlüsse'!S130</f>
        <v>20.697912674221449</v>
      </c>
      <c r="O46" s="1"/>
    </row>
    <row r="47" spans="1:15" ht="16.5" thickBot="1">
      <c r="A47" s="67" t="s">
        <v>365</v>
      </c>
      <c r="B47" s="70">
        <f>'Herleitung_HT-NT-Anschlüsse'!O75</f>
        <v>17.11944041212379</v>
      </c>
      <c r="C47" s="70">
        <f>'Herleitung_HT-NT-Anschlüsse'!P75</f>
        <v>19.972680480811086</v>
      </c>
      <c r="D47" s="70">
        <f>'Herleitung_HT-NT-Anschlüsse'!Q75</f>
        <v>22.825920549498388</v>
      </c>
      <c r="E47" s="70">
        <f>'Herleitung_HT-NT-Anschlüsse'!R75</f>
        <v>25.679160618185687</v>
      </c>
      <c r="F47" s="70">
        <f>'Herleitung_HT-NT-Anschlüsse'!S75</f>
        <v>28.532400686872982</v>
      </c>
      <c r="G47" s="1"/>
      <c r="H47" s="1"/>
      <c r="I47" s="67" t="s">
        <v>365</v>
      </c>
      <c r="J47" s="70">
        <f>'Herleitung_Stützen-Anschlüsse'!O131</f>
        <v>13.727815263736939</v>
      </c>
      <c r="K47" s="70">
        <f>'Herleitung_Stützen-Anschlüsse'!P131</f>
        <v>16.015784474359762</v>
      </c>
      <c r="L47" s="70">
        <f>'Herleitung_Stützen-Anschlüsse'!Q131</f>
        <v>18.303753684982588</v>
      </c>
      <c r="M47" s="70">
        <f>'Herleitung_Stützen-Anschlüsse'!R131</f>
        <v>20.591722895605411</v>
      </c>
      <c r="N47" s="70">
        <f>'Herleitung_Stützen-Anschlüsse'!S131</f>
        <v>22.879692106228234</v>
      </c>
      <c r="O47" s="1"/>
    </row>
    <row r="48" spans="1:15">
      <c r="A48" s="331" t="s">
        <v>358</v>
      </c>
      <c r="B48" s="338">
        <f>'Herleitung_HT-NT-Anschlüsse'!O76</f>
        <v>14.004594968327648</v>
      </c>
      <c r="C48" s="338">
        <f>'Herleitung_HT-NT-Anschlüsse'!P76</f>
        <v>16.338694129715591</v>
      </c>
      <c r="D48" s="338">
        <f>'Herleitung_HT-NT-Anschlüsse'!Q76</f>
        <v>18.672793291103535</v>
      </c>
      <c r="E48" s="338">
        <f>'Herleitung_HT-NT-Anschlüsse'!R76</f>
        <v>21.006892452491478</v>
      </c>
      <c r="F48" s="338">
        <f>'Herleitung_HT-NT-Anschlüsse'!S76</f>
        <v>23.340991613879417</v>
      </c>
      <c r="G48" s="1"/>
      <c r="H48" s="1"/>
      <c r="I48" s="331" t="s">
        <v>358</v>
      </c>
      <c r="J48" s="338">
        <f>'Herleitung_Stützen-Anschlüsse'!O132</f>
        <v>14.004594968327648</v>
      </c>
      <c r="K48" s="338">
        <f>'Herleitung_Stützen-Anschlüsse'!P132</f>
        <v>16.338694129715591</v>
      </c>
      <c r="L48" s="338">
        <f>'Herleitung_Stützen-Anschlüsse'!Q132</f>
        <v>18.672793291103535</v>
      </c>
      <c r="M48" s="338">
        <f>'Herleitung_Stützen-Anschlüsse'!R132</f>
        <v>21.006892452491478</v>
      </c>
      <c r="N48" s="338">
        <f>'Herleitung_Stützen-Anschlüsse'!S132</f>
        <v>23.340991613879417</v>
      </c>
      <c r="O48" s="1"/>
    </row>
    <row r="49" spans="1:15" ht="16.5" thickBot="1">
      <c r="A49" s="73" t="s">
        <v>359</v>
      </c>
      <c r="B49" s="339">
        <f>'Herleitung_HT-NT-Anschlüsse'!O77</f>
        <v>26.13349827712014</v>
      </c>
      <c r="C49" s="339">
        <f>'Herleitung_HT-NT-Anschlüsse'!P77</f>
        <v>30.489081323306827</v>
      </c>
      <c r="D49" s="339">
        <f>'Herleitung_HT-NT-Anschlüsse'!Q77</f>
        <v>34.844664369493522</v>
      </c>
      <c r="E49" s="339">
        <f>'Herleitung_HT-NT-Anschlüsse'!R77</f>
        <v>39.200247415680209</v>
      </c>
      <c r="F49" s="339">
        <f>'Herleitung_HT-NT-Anschlüsse'!S77</f>
        <v>43.555830461866897</v>
      </c>
      <c r="G49" s="1"/>
      <c r="H49" s="1"/>
      <c r="I49" s="73" t="s">
        <v>359</v>
      </c>
      <c r="J49" s="339">
        <f>'Herleitung_Stützen-Anschlüsse'!O133</f>
        <v>23.843767692502883</v>
      </c>
      <c r="K49" s="339">
        <f>'Herleitung_Stützen-Anschlüsse'!P133</f>
        <v>27.817728974586696</v>
      </c>
      <c r="L49" s="339">
        <f>'Herleitung_Stützen-Anschlüsse'!Q133</f>
        <v>31.79169025667051</v>
      </c>
      <c r="M49" s="339">
        <f>'Herleitung_Stützen-Anschlüsse'!R133</f>
        <v>35.765651538754327</v>
      </c>
      <c r="N49" s="339">
        <f>'Herleitung_Stützen-Anschlüsse'!S133</f>
        <v>39.73961282083814</v>
      </c>
      <c r="O49" s="1"/>
    </row>
    <row r="50" spans="1:15">
      <c r="A50" s="76" t="s">
        <v>360</v>
      </c>
      <c r="B50" s="79">
        <f>'Herleitung_HT-NT-Anschlüsse'!O78</f>
        <v>19.538906812723059</v>
      </c>
      <c r="C50" s="79">
        <f>'Herleitung_HT-NT-Anschlüsse'!P78</f>
        <v>22.795391281510234</v>
      </c>
      <c r="D50" s="79">
        <f>'Herleitung_HT-NT-Anschlüsse'!Q78</f>
        <v>26.051875750297416</v>
      </c>
      <c r="E50" s="79">
        <f>'Herleitung_HT-NT-Anschlüsse'!R78</f>
        <v>29.308360219084591</v>
      </c>
      <c r="F50" s="79">
        <f>'Herleitung_HT-NT-Anschlüsse'!S78</f>
        <v>32.564844687871769</v>
      </c>
      <c r="G50" s="1"/>
      <c r="H50" s="1"/>
      <c r="I50" s="76" t="s">
        <v>360</v>
      </c>
      <c r="J50" s="79">
        <f>'Herleitung_Stützen-Anschlüsse'!O134</f>
        <v>19.538906812723059</v>
      </c>
      <c r="K50" s="79">
        <f>'Herleitung_Stützen-Anschlüsse'!P134</f>
        <v>22.795391281510234</v>
      </c>
      <c r="L50" s="79">
        <f>'Herleitung_Stützen-Anschlüsse'!Q134</f>
        <v>26.051875750297416</v>
      </c>
      <c r="M50" s="79">
        <f>'Herleitung_Stützen-Anschlüsse'!R134</f>
        <v>29.308360219084591</v>
      </c>
      <c r="N50" s="79">
        <f>'Herleitung_Stützen-Anschlüsse'!S134</f>
        <v>32.564844687871769</v>
      </c>
      <c r="O50" s="1"/>
    </row>
    <row r="51" spans="1:15" ht="16.5" thickBot="1">
      <c r="A51" s="67" t="s">
        <v>361</v>
      </c>
      <c r="B51" s="70">
        <f>'Herleitung_HT-NT-Anschlüsse'!O79</f>
        <v>42.653338680003927</v>
      </c>
      <c r="C51" s="70">
        <f>'Herleitung_HT-NT-Anschlüsse'!P79</f>
        <v>49.762228460004579</v>
      </c>
      <c r="D51" s="70">
        <f>'Herleitung_HT-NT-Anschlüsse'!Q79</f>
        <v>56.871118240005231</v>
      </c>
      <c r="E51" s="70">
        <f>'Herleitung_HT-NT-Anschlüsse'!R79</f>
        <v>63.980008020005883</v>
      </c>
      <c r="F51" s="70">
        <f>'Herleitung_HT-NT-Anschlüsse'!S79</f>
        <v>71.088897800006535</v>
      </c>
      <c r="G51" s="1"/>
      <c r="H51" s="1"/>
      <c r="I51" s="67" t="s">
        <v>361</v>
      </c>
      <c r="J51" s="70">
        <f>'Herleitung_Stützen-Anschlüsse'!O135</f>
        <v>31.519599969587883</v>
      </c>
      <c r="K51" s="70">
        <f>'Herleitung_Stützen-Anschlüsse'!P135</f>
        <v>36.772866631185863</v>
      </c>
      <c r="L51" s="70">
        <f>'Herleitung_Stützen-Anschlüsse'!Q135</f>
        <v>42.026133292783847</v>
      </c>
      <c r="M51" s="70">
        <f>'Herleitung_Stützen-Anschlüsse'!R135</f>
        <v>47.279399954381823</v>
      </c>
      <c r="N51" s="70">
        <f>'Herleitung_Stützen-Anschlüsse'!S135</f>
        <v>52.532666615979807</v>
      </c>
      <c r="O51" s="1"/>
    </row>
    <row r="52" spans="1:15">
      <c r="A52" s="331" t="s">
        <v>362</v>
      </c>
      <c r="B52" s="338">
        <f>'Herleitung_HT-NT-Anschlüsse'!O80</f>
        <v>19.538906812723059</v>
      </c>
      <c r="C52" s="338">
        <f>'Herleitung_HT-NT-Anschlüsse'!P80</f>
        <v>22.795391281510234</v>
      </c>
      <c r="D52" s="338">
        <f>'Herleitung_HT-NT-Anschlüsse'!Q80</f>
        <v>26.051875750297416</v>
      </c>
      <c r="E52" s="338">
        <f>'Herleitung_HT-NT-Anschlüsse'!R80</f>
        <v>29.308360219084591</v>
      </c>
      <c r="F52" s="338">
        <f>'Herleitung_HT-NT-Anschlüsse'!S80</f>
        <v>32.564844687871769</v>
      </c>
      <c r="G52" s="1"/>
      <c r="H52" s="1"/>
      <c r="I52" s="331" t="s">
        <v>362</v>
      </c>
      <c r="J52" s="338">
        <f>'Herleitung_Stützen-Anschlüsse'!O136</f>
        <v>19.538906812723059</v>
      </c>
      <c r="K52" s="338">
        <f>'Herleitung_Stützen-Anschlüsse'!P136</f>
        <v>22.795391281510234</v>
      </c>
      <c r="L52" s="338">
        <f>'Herleitung_Stützen-Anschlüsse'!Q136</f>
        <v>26.051875750297416</v>
      </c>
      <c r="M52" s="338">
        <f>'Herleitung_Stützen-Anschlüsse'!R136</f>
        <v>29.308360219084591</v>
      </c>
      <c r="N52" s="338">
        <f>'Herleitung_Stützen-Anschlüsse'!S136</f>
        <v>32.564844687871769</v>
      </c>
      <c r="O52" s="1"/>
    </row>
    <row r="53" spans="1:15" ht="16.5" thickBot="1">
      <c r="A53" s="73" t="s">
        <v>363</v>
      </c>
      <c r="B53" s="339">
        <f>'Herleitung_HT-NT-Anschlüsse'!O81</f>
        <v>29.912214705042324</v>
      </c>
      <c r="C53" s="339">
        <f>'Herleitung_HT-NT-Anschlüsse'!P81</f>
        <v>34.897583822549379</v>
      </c>
      <c r="D53" s="339">
        <f>'Herleitung_HT-NT-Anschlüsse'!Q81</f>
        <v>39.882952940056441</v>
      </c>
      <c r="E53" s="339">
        <f>'Herleitung_HT-NT-Anschlüsse'!R81</f>
        <v>44.868322057563489</v>
      </c>
      <c r="F53" s="339">
        <f>'Herleitung_HT-NT-Anschlüsse'!S81</f>
        <v>49.853691175070544</v>
      </c>
      <c r="G53" s="1"/>
      <c r="H53" s="1"/>
      <c r="I53" s="73" t="s">
        <v>363</v>
      </c>
      <c r="J53" s="339">
        <f>'Herleitung_Stützen-Anschlüsse'!O137</f>
        <v>29.912214705042324</v>
      </c>
      <c r="K53" s="339">
        <f>'Herleitung_Stützen-Anschlüsse'!P137</f>
        <v>34.897583822549379</v>
      </c>
      <c r="L53" s="339">
        <f>'Herleitung_Stützen-Anschlüsse'!Q137</f>
        <v>39.882952940056441</v>
      </c>
      <c r="M53" s="339">
        <f>'Herleitung_Stützen-Anschlüsse'!R137</f>
        <v>44.868322057563489</v>
      </c>
      <c r="N53" s="339">
        <f>'Herleitung_Stützen-Anschlüsse'!S137</f>
        <v>49.853691175070544</v>
      </c>
      <c r="O53" s="1"/>
    </row>
    <row r="54" spans="1:15">
      <c r="A54" s="76" t="s">
        <v>211</v>
      </c>
      <c r="B54" s="79">
        <f>'Herleitung_HT-NT-Anschlüsse'!O82</f>
        <v>60.257112530846904</v>
      </c>
      <c r="C54" s="79">
        <f>'Herleitung_HT-NT-Anschlüsse'!P82</f>
        <v>70.299964619321401</v>
      </c>
      <c r="D54" s="79">
        <f>'Herleitung_HT-NT-Anschlüsse'!Q82</f>
        <v>80.342816707795876</v>
      </c>
      <c r="E54" s="79">
        <f>'Herleitung_HT-NT-Anschlüsse'!R82</f>
        <v>90.385668796270366</v>
      </c>
      <c r="F54" s="79">
        <f>'Herleitung_HT-NT-Anschlüsse'!S82</f>
        <v>100.42852088474486</v>
      </c>
      <c r="G54" s="1"/>
      <c r="H54" s="1"/>
      <c r="I54" s="76" t="s">
        <v>211</v>
      </c>
      <c r="J54" s="79">
        <f>'Herleitung_Stützen-Anschlüsse'!O138</f>
        <v>57.597472520372627</v>
      </c>
      <c r="K54" s="79">
        <f>'Herleitung_Stützen-Anschlüsse'!P138</f>
        <v>67.197051273768068</v>
      </c>
      <c r="L54" s="79">
        <f>'Herleitung_Stützen-Anschlüsse'!Q138</f>
        <v>76.796630027163502</v>
      </c>
      <c r="M54" s="79">
        <f>'Herleitung_Stützen-Anschlüsse'!R138</f>
        <v>86.39620878055895</v>
      </c>
      <c r="N54" s="79">
        <f>'Herleitung_Stützen-Anschlüsse'!S138</f>
        <v>95.995787533954385</v>
      </c>
      <c r="O54" s="1"/>
    </row>
    <row r="55" spans="1:15">
      <c r="A55" s="62" t="s">
        <v>215</v>
      </c>
      <c r="B55" s="65">
        <f>'Herleitung_HT-NT-Anschlüsse'!O83</f>
        <v>78.718650992385363</v>
      </c>
      <c r="C55" s="65">
        <f>'Herleitung_HT-NT-Anschlüsse'!P83</f>
        <v>91.838426157782934</v>
      </c>
      <c r="D55" s="65">
        <f>'Herleitung_HT-NT-Anschlüsse'!Q83</f>
        <v>104.9582013231805</v>
      </c>
      <c r="E55" s="65">
        <f>'Herleitung_HT-NT-Anschlüsse'!R83</f>
        <v>118.07797648857806</v>
      </c>
      <c r="F55" s="65">
        <f>'Herleitung_HT-NT-Anschlüsse'!S83</f>
        <v>131.19775165397562</v>
      </c>
      <c r="G55" s="1"/>
      <c r="H55" s="1"/>
      <c r="I55" s="62" t="s">
        <v>215</v>
      </c>
      <c r="J55" s="65">
        <f>'Herleitung_Stützen-Anschlüsse'!O139</f>
        <v>76.059010981911086</v>
      </c>
      <c r="K55" s="65">
        <f>'Herleitung_Stützen-Anschlüsse'!P139</f>
        <v>88.735512812229601</v>
      </c>
      <c r="L55" s="65">
        <f>'Herleitung_Stützen-Anschlüsse'!Q139</f>
        <v>101.41201464254812</v>
      </c>
      <c r="M55" s="65">
        <f>'Herleitung_Stützen-Anschlüsse'!R139</f>
        <v>114.08851647286664</v>
      </c>
      <c r="N55" s="65">
        <f>'Herleitung_Stützen-Anschlüsse'!S139</f>
        <v>126.76501830318514</v>
      </c>
      <c r="O55" s="1"/>
    </row>
    <row r="56" spans="1:15">
      <c r="A56" s="1"/>
      <c r="B56" s="1"/>
      <c r="C56" s="1"/>
      <c r="D56" s="1"/>
      <c r="E56" s="1"/>
      <c r="F56" s="1"/>
      <c r="G56" s="1"/>
      <c r="H56" s="1"/>
      <c r="I56" s="1"/>
      <c r="J56" s="1"/>
      <c r="K56" s="1"/>
      <c r="L56" s="1"/>
      <c r="M56" s="1"/>
      <c r="N56" s="1"/>
      <c r="O56" s="1"/>
    </row>
    <row r="57" spans="1:15" ht="18.75">
      <c r="A57" s="200" t="s">
        <v>97</v>
      </c>
      <c r="B57" s="487" t="s">
        <v>98</v>
      </c>
      <c r="C57" s="488"/>
      <c r="D57" s="488"/>
      <c r="E57" s="488"/>
      <c r="F57" s="489"/>
      <c r="G57" s="1"/>
      <c r="H57" s="1"/>
      <c r="I57" s="1"/>
      <c r="J57" s="1"/>
      <c r="K57" s="1"/>
      <c r="L57" s="1"/>
      <c r="M57" s="1"/>
      <c r="N57" s="1"/>
      <c r="O57" s="1"/>
    </row>
    <row r="58" spans="1:15">
      <c r="A58" s="58"/>
      <c r="B58" s="202">
        <v>0.6</v>
      </c>
      <c r="C58" s="202">
        <v>0.7</v>
      </c>
      <c r="D58" s="202">
        <v>0.8</v>
      </c>
      <c r="E58" s="202">
        <v>0.9</v>
      </c>
      <c r="F58" s="202">
        <v>1</v>
      </c>
      <c r="G58" s="1"/>
      <c r="H58" s="1"/>
      <c r="I58" s="1"/>
      <c r="J58" s="1"/>
      <c r="K58" s="1"/>
      <c r="L58" s="1"/>
      <c r="M58" s="1"/>
      <c r="N58" s="1"/>
      <c r="O58" s="1"/>
    </row>
    <row r="59" spans="1:15">
      <c r="A59" s="62" t="s">
        <v>366</v>
      </c>
      <c r="B59" s="65">
        <f>'Herleitung_HT-NT-Anschlüsse'!O177</f>
        <v>4.9474167565719291</v>
      </c>
      <c r="C59" s="65">
        <f>'Herleitung_HT-NT-Anschlüsse'!P177</f>
        <v>5.7719862160005837</v>
      </c>
      <c r="D59" s="65">
        <f>'Herleitung_HT-NT-Anschlüsse'!Q177</f>
        <v>6.5965556754292392</v>
      </c>
      <c r="E59" s="65">
        <f>'Herleitung_HT-NT-Anschlüsse'!R177</f>
        <v>7.4211251348578937</v>
      </c>
      <c r="F59" s="65">
        <f>'Herleitung_HT-NT-Anschlüsse'!S177</f>
        <v>8.2456945942865492</v>
      </c>
      <c r="G59" s="1"/>
      <c r="H59" s="1"/>
      <c r="I59" s="1"/>
      <c r="J59" s="1"/>
      <c r="K59" s="1"/>
      <c r="L59" s="1"/>
      <c r="M59" s="1"/>
      <c r="N59" s="1"/>
      <c r="O59" s="1"/>
    </row>
    <row r="60" spans="1:15" ht="16.5" thickBot="1">
      <c r="A60" s="67" t="s">
        <v>365</v>
      </c>
      <c r="B60" s="70">
        <f>'Herleitung_HT-NT-Anschlüsse'!O178</f>
        <v>6.4464824305846919</v>
      </c>
      <c r="C60" s="70">
        <f>'Herleitung_HT-NT-Anschlüsse'!P178</f>
        <v>7.5208961690154732</v>
      </c>
      <c r="D60" s="70">
        <f>'Herleitung_HT-NT-Anschlüsse'!Q178</f>
        <v>8.5953099074462571</v>
      </c>
      <c r="E60" s="70">
        <f>'Herleitung_HT-NT-Anschlüsse'!R178</f>
        <v>9.6697236458770384</v>
      </c>
      <c r="F60" s="70">
        <f>'Herleitung_HT-NT-Anschlüsse'!S178</f>
        <v>10.74413738430782</v>
      </c>
      <c r="G60" s="1"/>
      <c r="H60" s="1"/>
      <c r="I60" s="1"/>
      <c r="J60" s="1"/>
      <c r="K60" s="1"/>
      <c r="L60" s="1"/>
      <c r="M60" s="1"/>
      <c r="N60" s="1"/>
      <c r="O60" s="1"/>
    </row>
    <row r="61" spans="1:15">
      <c r="A61" s="331" t="s">
        <v>358</v>
      </c>
      <c r="B61" s="338">
        <f>'Herleitung_HT-NT-Anschlüsse'!O179</f>
        <v>4.7438614803899277</v>
      </c>
      <c r="C61" s="338">
        <f>'Herleitung_HT-NT-Anschlüsse'!P179</f>
        <v>5.534505060454916</v>
      </c>
      <c r="D61" s="338">
        <f>'Herleitung_HT-NT-Anschlüsse'!Q179</f>
        <v>6.3251486405199051</v>
      </c>
      <c r="E61" s="338">
        <f>'Herleitung_HT-NT-Anschlüsse'!R179</f>
        <v>7.1157922205848916</v>
      </c>
      <c r="F61" s="338">
        <f>'Herleitung_HT-NT-Anschlüsse'!S179</f>
        <v>7.9064358006498798</v>
      </c>
      <c r="G61" s="1"/>
      <c r="H61" s="1"/>
      <c r="I61" s="1"/>
      <c r="J61" s="1"/>
      <c r="K61" s="1"/>
      <c r="L61" s="1"/>
      <c r="M61" s="1"/>
      <c r="N61" s="1"/>
      <c r="O61" s="1"/>
    </row>
    <row r="62" spans="1:15" ht="16.5" thickBot="1">
      <c r="A62" s="73" t="s">
        <v>359</v>
      </c>
      <c r="B62" s="339">
        <f>'Herleitung_HT-NT-Anschlüsse'!O180</f>
        <v>9.7440997455142906</v>
      </c>
      <c r="C62" s="339">
        <f>'Herleitung_HT-NT-Anschlüsse'!P180</f>
        <v>11.368116369766669</v>
      </c>
      <c r="D62" s="339">
        <f>'Herleitung_HT-NT-Anschlüsse'!Q180</f>
        <v>12.992132994019054</v>
      </c>
      <c r="E62" s="339">
        <f>'Herleitung_HT-NT-Anschlüsse'!R180</f>
        <v>14.616149618271436</v>
      </c>
      <c r="F62" s="339">
        <f>'Herleitung_HT-NT-Anschlüsse'!S180</f>
        <v>16.240166242523816</v>
      </c>
      <c r="G62" s="1"/>
      <c r="H62" s="1"/>
      <c r="I62" s="1"/>
      <c r="J62" s="1"/>
      <c r="K62" s="1"/>
      <c r="L62" s="1"/>
      <c r="M62" s="1"/>
      <c r="N62" s="1"/>
      <c r="O62" s="1"/>
    </row>
    <row r="63" spans="1:15">
      <c r="A63" s="76" t="s">
        <v>360</v>
      </c>
      <c r="B63" s="79">
        <f>'Herleitung_HT-NT-Anschlüsse'!O181</f>
        <v>5.9419098423315129</v>
      </c>
      <c r="C63" s="79">
        <f>'Herleitung_HT-NT-Anschlüsse'!P181</f>
        <v>6.9322281493867646</v>
      </c>
      <c r="D63" s="79">
        <f>'Herleitung_HT-NT-Anschlüsse'!Q181</f>
        <v>7.922546456442018</v>
      </c>
      <c r="E63" s="79">
        <f>'Herleitung_HT-NT-Anschlüsse'!R181</f>
        <v>8.9128647634972697</v>
      </c>
      <c r="F63" s="79">
        <f>'Herleitung_HT-NT-Anschlüsse'!S181</f>
        <v>9.9031830705525223</v>
      </c>
      <c r="G63" s="1"/>
      <c r="H63" s="1"/>
      <c r="I63" s="1"/>
      <c r="J63" s="1"/>
      <c r="K63" s="1"/>
      <c r="L63" s="1"/>
      <c r="M63" s="1"/>
      <c r="N63" s="1"/>
      <c r="O63" s="1"/>
    </row>
    <row r="64" spans="1:15" ht="16.5" thickBot="1">
      <c r="A64" s="67" t="s">
        <v>361</v>
      </c>
      <c r="B64" s="70">
        <f>'Herleitung_HT-NT-Anschlüsse'!O182</f>
        <v>14.708719502345069</v>
      </c>
      <c r="C64" s="70">
        <f>'Herleitung_HT-NT-Anschlüsse'!P182</f>
        <v>17.16017275273591</v>
      </c>
      <c r="D64" s="70">
        <f>'Herleitung_HT-NT-Anschlüsse'!Q182</f>
        <v>19.611626003126759</v>
      </c>
      <c r="E64" s="70">
        <f>'Herleitung_HT-NT-Anschlüsse'!R182</f>
        <v>22.063079253517603</v>
      </c>
      <c r="F64" s="70">
        <f>'Herleitung_HT-NT-Anschlüsse'!S182</f>
        <v>24.514532503908448</v>
      </c>
      <c r="G64" s="1"/>
      <c r="H64" s="1"/>
      <c r="I64" s="1"/>
      <c r="J64" s="1"/>
      <c r="K64" s="1"/>
      <c r="L64" s="1"/>
      <c r="M64" s="1"/>
      <c r="N64" s="1"/>
      <c r="O64" s="1"/>
    </row>
    <row r="65" spans="1:15">
      <c r="A65" s="331" t="s">
        <v>362</v>
      </c>
      <c r="B65" s="338">
        <f>'Herleitung_HT-NT-Anschlüsse'!O183</f>
        <v>6.5220420737539806</v>
      </c>
      <c r="C65" s="338">
        <f>'Herleitung_HT-NT-Anschlüsse'!P183</f>
        <v>7.6090490860463103</v>
      </c>
      <c r="D65" s="338">
        <f>'Herleitung_HT-NT-Anschlüsse'!Q183</f>
        <v>8.6960560983386408</v>
      </c>
      <c r="E65" s="338">
        <f>'Herleitung_HT-NT-Anschlüsse'!R183</f>
        <v>9.7830631106309713</v>
      </c>
      <c r="F65" s="338">
        <f>'Herleitung_HT-NT-Anschlüsse'!S183</f>
        <v>10.8700701229233</v>
      </c>
      <c r="G65" s="1"/>
      <c r="H65" s="1"/>
      <c r="I65" s="1"/>
      <c r="J65" s="1"/>
      <c r="K65" s="1"/>
      <c r="L65" s="1"/>
      <c r="M65" s="1"/>
      <c r="N65" s="1"/>
      <c r="O65" s="1"/>
    </row>
    <row r="66" spans="1:15" ht="16.5" thickBot="1">
      <c r="A66" s="73" t="s">
        <v>363</v>
      </c>
      <c r="B66" s="339">
        <f>'Herleitung_HT-NT-Anschlüsse'!O184</f>
        <v>9.7743422831526221</v>
      </c>
      <c r="C66" s="339">
        <f>'Herleitung_HT-NT-Anschlüsse'!P184</f>
        <v>11.403399330344726</v>
      </c>
      <c r="D66" s="339">
        <f>'Herleitung_HT-NT-Anschlüsse'!Q184</f>
        <v>13.032456377536832</v>
      </c>
      <c r="E66" s="339">
        <f>'Herleitung_HT-NT-Anschlüsse'!R184</f>
        <v>14.661513424728934</v>
      </c>
      <c r="F66" s="339">
        <f>'Herleitung_HT-NT-Anschlüsse'!S184</f>
        <v>16.290570471921036</v>
      </c>
      <c r="G66" s="1"/>
      <c r="H66" s="1"/>
      <c r="I66" s="1"/>
      <c r="J66" s="1"/>
      <c r="K66" s="1"/>
      <c r="L66" s="1"/>
      <c r="M66" s="1"/>
      <c r="N66" s="1"/>
      <c r="O66" s="1"/>
    </row>
    <row r="67" spans="1:15">
      <c r="A67" s="76" t="s">
        <v>211</v>
      </c>
      <c r="B67" s="79">
        <f>'Herleitung_HT-NT-Anschlüsse'!O185</f>
        <v>16.058567003309172</v>
      </c>
      <c r="C67" s="79">
        <f>'Herleitung_HT-NT-Anschlüsse'!P185</f>
        <v>18.734994837194034</v>
      </c>
      <c r="D67" s="79">
        <f>'Herleitung_HT-NT-Anschlüsse'!Q185</f>
        <v>21.411422671078896</v>
      </c>
      <c r="E67" s="79">
        <f>'Herleitung_HT-NT-Anschlüsse'!R185</f>
        <v>24.087850504963757</v>
      </c>
      <c r="F67" s="79">
        <f>'Herleitung_HT-NT-Anschlüsse'!S185</f>
        <v>26.764278338848623</v>
      </c>
      <c r="G67" s="1"/>
      <c r="H67" s="1"/>
      <c r="I67" s="1"/>
      <c r="J67" s="1"/>
      <c r="K67" s="1"/>
      <c r="L67" s="1"/>
      <c r="M67" s="1"/>
      <c r="N67" s="1"/>
      <c r="O67" s="1"/>
    </row>
    <row r="68" spans="1:15">
      <c r="A68" s="62" t="s">
        <v>215</v>
      </c>
      <c r="B68" s="65">
        <f>'Herleitung_HT-NT-Anschlüsse'!O186</f>
        <v>16.058567003309172</v>
      </c>
      <c r="C68" s="65">
        <f>'Herleitung_HT-NT-Anschlüsse'!P186</f>
        <v>18.734994837194034</v>
      </c>
      <c r="D68" s="65">
        <f>'Herleitung_HT-NT-Anschlüsse'!Q186</f>
        <v>21.411422671078896</v>
      </c>
      <c r="E68" s="65">
        <f>'Herleitung_HT-NT-Anschlüsse'!R186</f>
        <v>24.087850504963757</v>
      </c>
      <c r="F68" s="65">
        <f>'Herleitung_HT-NT-Anschlüsse'!S186</f>
        <v>26.764278338848623</v>
      </c>
      <c r="G68" s="1"/>
      <c r="H68" s="1"/>
      <c r="I68" s="1"/>
      <c r="J68" s="1"/>
      <c r="K68" s="1"/>
      <c r="L68" s="1"/>
      <c r="M68" s="1"/>
      <c r="N68" s="1"/>
      <c r="O68" s="1"/>
    </row>
    <row r="69" spans="1:15">
      <c r="A69" s="1"/>
      <c r="B69" s="1"/>
      <c r="C69" s="1"/>
      <c r="D69" s="1"/>
      <c r="E69" s="1"/>
      <c r="F69" s="1"/>
      <c r="G69" s="1"/>
      <c r="H69" s="1"/>
      <c r="I69" s="1"/>
      <c r="J69" s="1"/>
      <c r="K69" s="1"/>
      <c r="L69" s="1"/>
      <c r="M69" s="1"/>
      <c r="N69" s="1"/>
      <c r="O69" s="1"/>
    </row>
    <row r="70" spans="1:15">
      <c r="A70" s="200" t="s">
        <v>97</v>
      </c>
      <c r="B70" s="484" t="s">
        <v>157</v>
      </c>
      <c r="C70" s="485"/>
      <c r="D70" s="1"/>
      <c r="E70" s="1"/>
      <c r="F70" s="1"/>
      <c r="G70" s="1"/>
      <c r="H70" s="1"/>
      <c r="I70" s="1"/>
      <c r="J70" s="1"/>
      <c r="K70" s="1"/>
      <c r="L70" s="1"/>
      <c r="M70" s="1"/>
      <c r="N70" s="1"/>
      <c r="O70" s="1"/>
    </row>
    <row r="71" spans="1:15" ht="18.75">
      <c r="A71" s="58"/>
      <c r="B71" s="10" t="s">
        <v>177</v>
      </c>
      <c r="C71" s="10" t="s">
        <v>178</v>
      </c>
      <c r="D71" s="1"/>
      <c r="E71" s="1"/>
      <c r="F71" s="1"/>
      <c r="G71" s="1"/>
      <c r="H71" s="1"/>
      <c r="I71" s="1"/>
      <c r="J71" s="1"/>
      <c r="K71" s="1"/>
      <c r="L71" s="1"/>
      <c r="M71" s="1"/>
      <c r="N71" s="1"/>
      <c r="O71" s="1"/>
    </row>
    <row r="72" spans="1:15">
      <c r="A72" s="62" t="s">
        <v>366</v>
      </c>
      <c r="B72" s="64">
        <v>100</v>
      </c>
      <c r="C72" s="64">
        <v>160</v>
      </c>
      <c r="D72" s="1"/>
      <c r="E72" s="1"/>
      <c r="F72" s="1"/>
      <c r="G72" s="1"/>
      <c r="H72" s="1"/>
      <c r="I72" s="1"/>
      <c r="J72" s="1"/>
      <c r="K72" s="1"/>
      <c r="L72" s="1"/>
      <c r="M72" s="1"/>
      <c r="N72" s="1"/>
      <c r="O72" s="1"/>
    </row>
    <row r="73" spans="1:15" ht="16.5" thickBot="1">
      <c r="A73" s="67" t="s">
        <v>365</v>
      </c>
      <c r="B73" s="69">
        <v>100</v>
      </c>
      <c r="C73" s="69">
        <v>160</v>
      </c>
      <c r="D73" s="1"/>
      <c r="E73" s="1"/>
      <c r="F73" s="1"/>
      <c r="G73" s="1"/>
      <c r="H73" s="1"/>
      <c r="I73" s="1"/>
      <c r="J73" s="1"/>
      <c r="K73" s="1"/>
      <c r="L73" s="1"/>
      <c r="M73" s="1"/>
      <c r="N73" s="1"/>
      <c r="O73" s="1"/>
    </row>
    <row r="74" spans="1:15">
      <c r="A74" s="331" t="s">
        <v>358</v>
      </c>
      <c r="B74" s="332">
        <v>100</v>
      </c>
      <c r="C74" s="332">
        <v>220</v>
      </c>
      <c r="D74" s="1"/>
      <c r="E74" s="1"/>
      <c r="F74" s="1"/>
      <c r="G74" s="1"/>
      <c r="H74" s="1"/>
      <c r="I74" s="1"/>
      <c r="J74" s="1"/>
      <c r="K74" s="1"/>
      <c r="L74" s="1"/>
      <c r="M74" s="1"/>
      <c r="N74" s="1"/>
      <c r="O74" s="1"/>
    </row>
    <row r="75" spans="1:15" ht="16.5" thickBot="1">
      <c r="A75" s="73" t="s">
        <v>359</v>
      </c>
      <c r="B75" s="75">
        <v>100</v>
      </c>
      <c r="C75" s="75">
        <v>220</v>
      </c>
      <c r="D75" s="1"/>
      <c r="E75" s="1"/>
      <c r="F75" s="1"/>
      <c r="G75" s="1"/>
      <c r="H75" s="1"/>
      <c r="I75" s="1"/>
      <c r="J75" s="1"/>
      <c r="K75" s="1"/>
      <c r="L75" s="1"/>
      <c r="M75" s="1"/>
      <c r="N75" s="1"/>
      <c r="O75" s="1"/>
    </row>
    <row r="76" spans="1:15">
      <c r="A76" s="76" t="s">
        <v>360</v>
      </c>
      <c r="B76" s="78">
        <v>120</v>
      </c>
      <c r="C76" s="78">
        <v>230</v>
      </c>
      <c r="D76" s="1"/>
      <c r="E76" s="1"/>
      <c r="F76" s="1"/>
      <c r="G76" s="1"/>
      <c r="H76" s="1"/>
      <c r="I76" s="1"/>
      <c r="J76" s="1"/>
      <c r="K76" s="1"/>
      <c r="L76" s="1"/>
      <c r="M76" s="1"/>
      <c r="N76" s="1"/>
      <c r="O76" s="1"/>
    </row>
    <row r="77" spans="1:15" ht="16.5" thickBot="1">
      <c r="A77" s="67" t="s">
        <v>361</v>
      </c>
      <c r="B77" s="69">
        <v>120</v>
      </c>
      <c r="C77" s="69">
        <v>230</v>
      </c>
      <c r="D77" s="1"/>
      <c r="E77" s="1"/>
      <c r="F77" s="1"/>
      <c r="G77" s="1"/>
      <c r="H77" s="1"/>
      <c r="I77" s="1"/>
      <c r="J77" s="1"/>
      <c r="K77" s="1"/>
      <c r="L77" s="1"/>
      <c r="M77" s="1"/>
      <c r="N77" s="1"/>
      <c r="O77" s="1"/>
    </row>
    <row r="78" spans="1:15">
      <c r="A78" s="331" t="s">
        <v>362</v>
      </c>
      <c r="B78" s="332">
        <v>120</v>
      </c>
      <c r="C78" s="332">
        <v>320</v>
      </c>
      <c r="D78" s="1"/>
      <c r="E78" s="1"/>
      <c r="F78" s="1"/>
      <c r="G78" s="1"/>
      <c r="H78" s="1"/>
      <c r="I78" s="1"/>
      <c r="J78" s="1"/>
      <c r="K78" s="1"/>
      <c r="L78" s="1"/>
      <c r="M78" s="1"/>
      <c r="N78" s="1"/>
      <c r="O78" s="1"/>
    </row>
    <row r="79" spans="1:15" ht="16.5" thickBot="1">
      <c r="A79" s="73" t="s">
        <v>363</v>
      </c>
      <c r="B79" s="75">
        <v>120</v>
      </c>
      <c r="C79" s="75">
        <v>320</v>
      </c>
      <c r="D79" s="1"/>
      <c r="E79" s="1"/>
      <c r="F79" s="1"/>
      <c r="G79" s="1"/>
      <c r="H79" s="1"/>
      <c r="I79" s="1"/>
      <c r="J79" s="1"/>
      <c r="K79" s="1"/>
      <c r="L79" s="1"/>
      <c r="M79" s="1"/>
      <c r="N79" s="1"/>
      <c r="O79" s="1"/>
    </row>
    <row r="80" spans="1:15">
      <c r="A80" s="76" t="s">
        <v>211</v>
      </c>
      <c r="B80" s="78">
        <v>120</v>
      </c>
      <c r="C80" s="78">
        <v>440</v>
      </c>
      <c r="D80" s="203"/>
      <c r="E80" s="203"/>
      <c r="F80" s="203"/>
      <c r="G80" s="203"/>
      <c r="H80" s="203"/>
      <c r="I80" s="203"/>
      <c r="J80" s="1"/>
      <c r="K80" s="1"/>
      <c r="L80" s="1"/>
      <c r="M80" s="1"/>
      <c r="N80" s="1"/>
      <c r="O80" s="1"/>
    </row>
    <row r="81" spans="1:15">
      <c r="A81" s="62" t="s">
        <v>215</v>
      </c>
      <c r="B81" s="64">
        <v>120</v>
      </c>
      <c r="C81" s="64">
        <v>480</v>
      </c>
      <c r="D81" s="203"/>
      <c r="E81" s="203"/>
      <c r="F81" s="203"/>
      <c r="G81" s="203"/>
      <c r="H81" s="203"/>
      <c r="I81" s="203"/>
      <c r="J81" s="1"/>
      <c r="K81" s="1"/>
      <c r="L81" s="1"/>
      <c r="M81" s="1"/>
      <c r="N81" s="1"/>
      <c r="O81" s="1"/>
    </row>
    <row r="82" spans="1:15">
      <c r="A82" s="203"/>
      <c r="B82" s="203"/>
      <c r="C82" s="203"/>
      <c r="D82" s="203"/>
      <c r="E82" s="203"/>
      <c r="F82" s="203"/>
      <c r="G82" s="203"/>
      <c r="H82" s="203"/>
      <c r="I82" s="203"/>
      <c r="J82" s="1"/>
      <c r="K82" s="1"/>
      <c r="L82" s="1"/>
      <c r="M82" s="1"/>
      <c r="N82" s="1"/>
      <c r="O82" s="1"/>
    </row>
    <row r="83" spans="1:15">
      <c r="A83" s="1"/>
      <c r="B83" s="1"/>
      <c r="C83" s="1"/>
      <c r="D83" s="1"/>
      <c r="E83" s="1"/>
      <c r="F83" s="1"/>
      <c r="G83" s="1"/>
      <c r="H83" s="1"/>
      <c r="I83" s="1"/>
      <c r="J83" s="1"/>
      <c r="K83" s="1"/>
      <c r="L83" s="1"/>
      <c r="M83" s="1"/>
      <c r="N83" s="1"/>
      <c r="O83" s="1"/>
    </row>
    <row r="84" spans="1:15" ht="31.5">
      <c r="A84" s="204">
        <v>1</v>
      </c>
      <c r="B84" s="189" t="s">
        <v>281</v>
      </c>
      <c r="C84" s="231"/>
      <c r="D84" s="205" t="s">
        <v>151</v>
      </c>
      <c r="E84" s="205" t="s">
        <v>469</v>
      </c>
      <c r="F84" s="1"/>
      <c r="G84" s="1"/>
      <c r="H84" s="1"/>
      <c r="I84" s="1"/>
      <c r="J84" s="1"/>
      <c r="K84" s="1"/>
      <c r="L84" s="1"/>
      <c r="M84" s="1"/>
      <c r="N84" s="1"/>
      <c r="O84" s="1"/>
    </row>
    <row r="85" spans="1:15" ht="18.75">
      <c r="A85" s="206" t="s">
        <v>122</v>
      </c>
      <c r="B85" s="11" t="s">
        <v>123</v>
      </c>
      <c r="C85" s="11" t="s">
        <v>124</v>
      </c>
      <c r="D85" s="205"/>
      <c r="E85" s="11" t="s">
        <v>468</v>
      </c>
      <c r="F85" s="1"/>
      <c r="G85" s="1"/>
      <c r="H85" s="1"/>
      <c r="I85" s="1"/>
      <c r="J85" s="1"/>
      <c r="K85" s="1"/>
      <c r="L85" s="1"/>
      <c r="M85" s="1"/>
      <c r="N85" s="1"/>
      <c r="O85" s="1"/>
    </row>
    <row r="86" spans="1:15">
      <c r="A86" s="11">
        <v>8</v>
      </c>
      <c r="B86" s="177">
        <v>22</v>
      </c>
      <c r="C86" s="177">
        <v>11</v>
      </c>
      <c r="D86" s="11">
        <v>160</v>
      </c>
      <c r="E86" s="11">
        <f>3*A86</f>
        <v>24</v>
      </c>
      <c r="F86" s="1">
        <f>E86</f>
        <v>24</v>
      </c>
      <c r="G86" s="1"/>
      <c r="H86" s="1"/>
      <c r="I86" s="1"/>
      <c r="J86" s="1"/>
      <c r="K86" s="1"/>
      <c r="L86" s="1"/>
      <c r="M86" s="1"/>
      <c r="N86" s="1"/>
      <c r="O86" s="1"/>
    </row>
    <row r="87" spans="1:15">
      <c r="A87" s="11">
        <v>10</v>
      </c>
      <c r="B87" s="177">
        <v>33</v>
      </c>
      <c r="C87" s="177">
        <v>11</v>
      </c>
      <c r="D87" s="11">
        <v>160</v>
      </c>
      <c r="E87" s="11">
        <f>3*A87</f>
        <v>30</v>
      </c>
      <c r="F87" s="1">
        <f>E87</f>
        <v>30</v>
      </c>
      <c r="G87" s="1"/>
      <c r="H87" s="1"/>
      <c r="I87" s="1"/>
      <c r="J87" s="1"/>
      <c r="K87" s="1"/>
      <c r="L87" s="1"/>
      <c r="M87" s="1"/>
      <c r="N87" s="1"/>
      <c r="O87" s="1"/>
    </row>
    <row r="88" spans="1:15">
      <c r="A88" s="204">
        <v>2</v>
      </c>
      <c r="B88" s="189" t="s">
        <v>282</v>
      </c>
      <c r="C88" s="190"/>
      <c r="D88" s="191"/>
      <c r="E88" s="10"/>
      <c r="F88" s="1">
        <f>E90</f>
        <v>32</v>
      </c>
      <c r="G88" s="1"/>
      <c r="H88" s="1"/>
      <c r="I88" s="1"/>
      <c r="J88" s="1"/>
      <c r="K88" s="1"/>
      <c r="L88" s="1"/>
      <c r="M88" s="1"/>
      <c r="N88" s="1"/>
      <c r="O88" s="1"/>
    </row>
    <row r="89" spans="1:15" ht="18.75">
      <c r="A89" s="206" t="s">
        <v>122</v>
      </c>
      <c r="B89" s="11" t="s">
        <v>123</v>
      </c>
      <c r="C89" s="11" t="s">
        <v>124</v>
      </c>
      <c r="D89" s="11" t="s">
        <v>152</v>
      </c>
      <c r="E89" s="11" t="s">
        <v>468</v>
      </c>
      <c r="F89" s="1">
        <f>E91</f>
        <v>40</v>
      </c>
      <c r="G89" s="1"/>
      <c r="H89" s="1"/>
      <c r="I89" s="1"/>
      <c r="J89" s="1"/>
      <c r="K89" s="1"/>
      <c r="L89" s="1"/>
      <c r="M89" s="1"/>
      <c r="N89" s="1"/>
      <c r="O89" s="1"/>
    </row>
    <row r="90" spans="1:15">
      <c r="A90" s="11">
        <v>8</v>
      </c>
      <c r="B90" s="177">
        <v>24.1</v>
      </c>
      <c r="C90" s="177">
        <v>13.1</v>
      </c>
      <c r="D90" s="11">
        <v>160</v>
      </c>
      <c r="E90" s="11">
        <f>4*A90</f>
        <v>32</v>
      </c>
      <c r="F90" s="1"/>
      <c r="G90" s="1"/>
      <c r="H90" s="1"/>
      <c r="I90" s="1"/>
      <c r="J90" s="1"/>
      <c r="K90" s="1"/>
      <c r="L90" s="1"/>
      <c r="M90" s="1"/>
      <c r="N90" s="1"/>
      <c r="O90" s="1"/>
    </row>
    <row r="91" spans="1:15">
      <c r="A91" s="11">
        <v>10</v>
      </c>
      <c r="B91" s="177">
        <v>40</v>
      </c>
      <c r="C91" s="177">
        <v>12.5</v>
      </c>
      <c r="D91" s="11">
        <v>160</v>
      </c>
      <c r="E91" s="11">
        <f>4*A91</f>
        <v>40</v>
      </c>
      <c r="F91" s="1"/>
      <c r="G91" s="1"/>
      <c r="H91" s="1"/>
      <c r="I91" s="1"/>
      <c r="J91" s="1"/>
      <c r="K91" s="1"/>
      <c r="L91" s="1"/>
      <c r="M91" s="1"/>
      <c r="N91" s="1"/>
      <c r="O91" s="1"/>
    </row>
    <row r="92" spans="1:15">
      <c r="A92" s="204">
        <v>3</v>
      </c>
      <c r="B92" s="189" t="s">
        <v>283</v>
      </c>
      <c r="C92" s="190"/>
      <c r="D92" s="191"/>
      <c r="E92" s="10"/>
      <c r="F92" s="1"/>
      <c r="G92" s="1"/>
      <c r="H92" s="1"/>
      <c r="I92" s="1"/>
      <c r="J92" s="1"/>
      <c r="K92" s="1"/>
      <c r="L92" s="1"/>
      <c r="M92" s="1"/>
      <c r="N92" s="1"/>
      <c r="O92" s="1"/>
    </row>
    <row r="93" spans="1:15" ht="18.75">
      <c r="A93" s="206" t="s">
        <v>122</v>
      </c>
      <c r="B93" s="11" t="s">
        <v>123</v>
      </c>
      <c r="C93" s="11" t="s">
        <v>124</v>
      </c>
      <c r="D93" s="11" t="s">
        <v>152</v>
      </c>
      <c r="E93" s="11" t="s">
        <v>468</v>
      </c>
      <c r="F93" s="1"/>
      <c r="G93" s="1"/>
      <c r="H93" s="1"/>
      <c r="I93" s="1"/>
      <c r="J93" s="1"/>
      <c r="K93" s="1"/>
      <c r="L93" s="1"/>
      <c r="M93" s="1"/>
      <c r="N93" s="1"/>
      <c r="O93" s="1"/>
    </row>
    <row r="94" spans="1:15">
      <c r="A94" s="11">
        <v>8</v>
      </c>
      <c r="B94" s="177">
        <v>21</v>
      </c>
      <c r="C94" s="177">
        <v>11</v>
      </c>
      <c r="D94" s="11">
        <v>160</v>
      </c>
      <c r="E94" s="11">
        <f>3*A94</f>
        <v>24</v>
      </c>
      <c r="F94" s="1"/>
      <c r="G94" s="1"/>
      <c r="H94" s="1"/>
      <c r="I94" s="1"/>
      <c r="J94" s="1"/>
      <c r="K94" s="1"/>
      <c r="L94" s="1"/>
      <c r="M94" s="1"/>
      <c r="N94" s="1"/>
      <c r="O94" s="1"/>
    </row>
    <row r="95" spans="1:15">
      <c r="A95" s="11">
        <v>10</v>
      </c>
      <c r="B95" s="177">
        <v>27</v>
      </c>
      <c r="C95" s="177">
        <v>10</v>
      </c>
      <c r="D95" s="11">
        <v>200</v>
      </c>
      <c r="E95" s="11">
        <f>3*A95</f>
        <v>30</v>
      </c>
      <c r="F95" s="1"/>
      <c r="G95" s="1"/>
      <c r="H95" s="1"/>
      <c r="I95" s="1"/>
      <c r="J95" s="1"/>
      <c r="K95" s="1"/>
      <c r="L95" s="1"/>
      <c r="M95" s="1"/>
      <c r="N95" s="1"/>
      <c r="O95" s="1"/>
    </row>
    <row r="96" spans="1:15">
      <c r="E96" s="1"/>
      <c r="F96" s="1"/>
      <c r="G96" s="1"/>
      <c r="H96" s="1"/>
      <c r="I96" s="1"/>
      <c r="J96" s="1"/>
      <c r="K96" s="1"/>
      <c r="L96" s="1"/>
      <c r="M96" s="1"/>
      <c r="N96" s="1"/>
      <c r="O96" s="1"/>
    </row>
    <row r="97" spans="1:19">
      <c r="E97" s="1"/>
      <c r="F97" s="1"/>
      <c r="G97" s="1"/>
      <c r="H97" s="1"/>
      <c r="I97" s="1"/>
      <c r="J97" s="1"/>
      <c r="K97" s="1"/>
      <c r="L97" s="1"/>
      <c r="M97" s="1"/>
      <c r="N97" s="1"/>
      <c r="O97" s="1"/>
    </row>
    <row r="98" spans="1:19">
      <c r="A98" s="165" t="s">
        <v>319</v>
      </c>
      <c r="E98" s="1"/>
      <c r="F98" s="1"/>
      <c r="G98" s="1"/>
      <c r="H98" s="1"/>
      <c r="I98" s="1"/>
      <c r="J98" s="1"/>
      <c r="K98" s="1"/>
      <c r="L98" s="1"/>
      <c r="M98" s="1"/>
      <c r="N98" s="1"/>
      <c r="O98" s="1"/>
    </row>
    <row r="99" spans="1:19">
      <c r="E99" s="1"/>
      <c r="I99" s="1"/>
      <c r="J99" s="1"/>
      <c r="K99" s="1"/>
      <c r="L99" s="1"/>
      <c r="M99" s="1"/>
      <c r="N99" s="1"/>
      <c r="O99" s="1"/>
    </row>
    <row r="100" spans="1:19">
      <c r="A100" s="7" t="s">
        <v>343</v>
      </c>
      <c r="B100" s="7"/>
      <c r="C100" s="7"/>
      <c r="E100" s="2" t="str">
        <f>Bemessung!B28</f>
        <v>RICON S 200/80 VS st</v>
      </c>
      <c r="I100" s="1"/>
      <c r="J100" s="1"/>
      <c r="K100" s="1"/>
      <c r="L100" s="1"/>
      <c r="M100" s="1"/>
      <c r="N100" s="1"/>
      <c r="O100" s="1"/>
    </row>
    <row r="101" spans="1:19" ht="18.75">
      <c r="A101" s="11" t="s">
        <v>1</v>
      </c>
      <c r="B101" s="20" t="s">
        <v>76</v>
      </c>
      <c r="C101" s="20" t="s">
        <v>21</v>
      </c>
      <c r="D101" s="20" t="s">
        <v>101</v>
      </c>
      <c r="E101" s="20" t="s">
        <v>77</v>
      </c>
      <c r="I101" s="1"/>
      <c r="J101" s="1"/>
      <c r="K101" s="1"/>
      <c r="L101" s="1"/>
      <c r="M101" s="1"/>
      <c r="N101" s="1"/>
      <c r="O101" s="1"/>
    </row>
    <row r="102" spans="1:19">
      <c r="A102" s="11">
        <v>0.6</v>
      </c>
      <c r="B102" s="20">
        <f>VLOOKUP(Bemessung!$B$28,Zwischenrechnung!$A$32:$F$41,2,FALSE)</f>
        <v>7.2635364041984101</v>
      </c>
      <c r="C102" s="20">
        <f>IF(Bemessung!$B$29=Zwischenrechnung!$L$36,VLOOKUP(Bemessung!$B$28,Zwischenrechnung!$A$46:$F$55,2,FALSE),VLOOKUP(Bemessung!$B$28,Zwischenrechnung!$I$46:$N$55,2,FALSE))</f>
        <v>42.653338680003927</v>
      </c>
      <c r="D102" s="478"/>
      <c r="E102" s="20">
        <f>IF(Bemessung!$B$29=Zwischenrechnung!$L$36,VLOOKUP(Bemessung!$B$28,Zwischenrechnung!$A$59:$F$68,2,FALSE),0)</f>
        <v>14.708719502345069</v>
      </c>
      <c r="I102" s="1"/>
      <c r="J102" s="1"/>
      <c r="K102" s="1"/>
      <c r="L102" s="1"/>
      <c r="M102" s="1"/>
      <c r="N102" s="1"/>
      <c r="O102" s="1"/>
    </row>
    <row r="103" spans="1:19">
      <c r="A103" s="11">
        <v>0.7</v>
      </c>
      <c r="B103" s="20">
        <f>VLOOKUP(Bemessung!$B$28,Zwischenrechnung!$A$32:$F$41,3,FALSE)</f>
        <v>8.4741258048981472</v>
      </c>
      <c r="C103" s="20">
        <f>IF(Bemessung!$B$29=Zwischenrechnung!$L$36,VLOOKUP(Bemessung!$B$28,Zwischenrechnung!$A$46:$F$55,3,FALSE),VLOOKUP(Bemessung!$B$28,Zwischenrechnung!$I$46:$N$55,3,FALSE))</f>
        <v>49.762228460004579</v>
      </c>
      <c r="D103" s="479"/>
      <c r="E103" s="20">
        <f>IF(Bemessung!$B$29=Zwischenrechnung!$L$36,VLOOKUP(Bemessung!$B$28,Zwischenrechnung!$A$59:$F$68,3,FALSE),0)</f>
        <v>17.16017275273591</v>
      </c>
      <c r="I103" s="1"/>
      <c r="J103" s="1"/>
      <c r="K103" s="1"/>
      <c r="L103" s="1"/>
      <c r="M103" s="1"/>
      <c r="N103" s="1"/>
      <c r="O103" s="1"/>
    </row>
    <row r="104" spans="1:19">
      <c r="A104" s="11">
        <v>0.8</v>
      </c>
      <c r="B104" s="20">
        <f>VLOOKUP(Bemessung!$B$28,Zwischenrechnung!$A$32:$F$41,4,FALSE)</f>
        <v>9.6847152055978825</v>
      </c>
      <c r="C104" s="20">
        <f>IF(Bemessung!$B$29=Zwischenrechnung!$L$36,VLOOKUP(Bemessung!$B$28,Zwischenrechnung!$A$46:$F$55,4,FALSE),VLOOKUP(Bemessung!$B$28,Zwischenrechnung!$I$46:$N$55,4,FALSE))</f>
        <v>56.871118240005231</v>
      </c>
      <c r="D104" s="480"/>
      <c r="E104" s="20">
        <f>IF(Bemessung!$B$29=Zwischenrechnung!$L$36,VLOOKUP(Bemessung!$B$28,Zwischenrechnung!$A$59:$F$68,4,FALSE),0)</f>
        <v>19.611626003126759</v>
      </c>
      <c r="I104" s="1"/>
      <c r="J104" s="1"/>
      <c r="K104" s="1"/>
      <c r="L104" s="1"/>
      <c r="M104" s="1"/>
      <c r="N104" s="1"/>
      <c r="O104" s="1"/>
    </row>
    <row r="105" spans="1:19">
      <c r="A105" s="11">
        <v>0.9</v>
      </c>
      <c r="B105" s="20">
        <f>VLOOKUP(Bemessung!$B$28,Zwischenrechnung!$A$32:$F$41,5,FALSE)</f>
        <v>10.895304606297618</v>
      </c>
      <c r="C105" s="20">
        <f>IF(Bemessung!$B$29=Zwischenrechnung!$L$36,VLOOKUP(Bemessung!$B$28,Zwischenrechnung!$A$46:$F$55,5,FALSE),VLOOKUP(Bemessung!$B$28,Zwischenrechnung!$I$46:$N$55,5,FALSE))</f>
        <v>63.980008020005883</v>
      </c>
      <c r="D105" s="32">
        <f>18/1.25</f>
        <v>14.4</v>
      </c>
      <c r="E105" s="20">
        <f>IF(Bemessung!$B$29=Zwischenrechnung!$L$36,VLOOKUP(Bemessung!$B$28,Zwischenrechnung!$A$59:$F$68,5,FALSE),0)</f>
        <v>22.063079253517603</v>
      </c>
      <c r="I105" s="1"/>
      <c r="J105" s="1"/>
      <c r="K105" s="1"/>
      <c r="L105" s="1"/>
      <c r="M105" s="1"/>
      <c r="N105" s="1"/>
      <c r="O105" s="1"/>
    </row>
    <row r="106" spans="1:19">
      <c r="A106" s="188">
        <v>1</v>
      </c>
      <c r="B106" s="20">
        <f>VLOOKUP(Bemessung!$B$28,Zwischenrechnung!$A$32:$F$41,6,FALSE)</f>
        <v>12.105894006997353</v>
      </c>
      <c r="C106" s="20">
        <f>IF(Bemessung!$B$29=Zwischenrechnung!$L$36,VLOOKUP(Bemessung!$B$28,Zwischenrechnung!$A$46:$F$55,6,FALSE),VLOOKUP(Bemessung!$B$28,Zwischenrechnung!$I$46:$N$55,6,FALSE))</f>
        <v>71.088897800006535</v>
      </c>
      <c r="D106" s="32">
        <f>18/1.25</f>
        <v>14.4</v>
      </c>
      <c r="E106" s="20">
        <f>IF(Bemessung!$B$29=Zwischenrechnung!$L$36,VLOOKUP(Bemessung!$B$28,Zwischenrechnung!$A$59:$F$68,6,FALSE),0)</f>
        <v>24.514532503908448</v>
      </c>
      <c r="F106" s="317"/>
      <c r="G106" s="1"/>
      <c r="H106" s="1"/>
      <c r="I106" s="1"/>
      <c r="J106" s="1"/>
      <c r="K106" s="1"/>
      <c r="L106" s="1"/>
      <c r="M106" s="1"/>
      <c r="N106" s="1"/>
      <c r="O106" s="1"/>
    </row>
    <row r="107" spans="1:19">
      <c r="A107" s="1"/>
      <c r="B107" s="2"/>
      <c r="C107" s="4"/>
      <c r="D107" s="1"/>
      <c r="E107" s="1"/>
      <c r="F107" s="1"/>
      <c r="G107" s="1"/>
      <c r="H107" s="1"/>
      <c r="I107" s="1"/>
      <c r="J107" s="1"/>
      <c r="K107" s="1"/>
      <c r="L107" s="1"/>
      <c r="M107" s="1"/>
      <c r="N107" s="1"/>
      <c r="O107" s="1"/>
    </row>
    <row r="108" spans="1:19" ht="23.25">
      <c r="A108" s="15" t="s">
        <v>5</v>
      </c>
      <c r="B108" s="1"/>
      <c r="C108" s="1"/>
      <c r="D108" s="1"/>
      <c r="E108" s="1"/>
      <c r="F108" s="1"/>
      <c r="G108" s="1"/>
      <c r="H108" s="1"/>
    </row>
    <row r="109" spans="1:19" ht="16.5" thickBot="1">
      <c r="A109" s="1" t="s">
        <v>341</v>
      </c>
      <c r="B109" s="1"/>
      <c r="C109" s="1"/>
      <c r="D109" s="1"/>
      <c r="E109" s="1"/>
      <c r="F109" s="493"/>
      <c r="G109" s="493"/>
      <c r="H109" s="1"/>
    </row>
    <row r="110" spans="1:19" ht="50.25">
      <c r="A110" s="281" t="s">
        <v>113</v>
      </c>
      <c r="B110" s="282" t="s">
        <v>186</v>
      </c>
      <c r="C110" s="282" t="s">
        <v>384</v>
      </c>
      <c r="D110" s="282" t="s">
        <v>112</v>
      </c>
      <c r="E110" s="282" t="s">
        <v>115</v>
      </c>
      <c r="F110" s="282" t="s">
        <v>320</v>
      </c>
      <c r="G110" s="283" t="s">
        <v>1</v>
      </c>
      <c r="H110" s="1"/>
      <c r="L110" s="1"/>
      <c r="M110" s="1"/>
      <c r="N110" s="287"/>
      <c r="O110" s="288"/>
      <c r="P110" s="288"/>
      <c r="Q110" s="289"/>
      <c r="R110" s="289"/>
      <c r="S110" s="1"/>
    </row>
    <row r="111" spans="1:19" ht="18.75">
      <c r="A111" s="150" t="s">
        <v>100</v>
      </c>
      <c r="B111" s="277">
        <f>Bemessung!B19</f>
        <v>0</v>
      </c>
      <c r="C111" s="354">
        <f>D111*$C$116/G111</f>
        <v>0</v>
      </c>
      <c r="D111" s="277">
        <f>Bemessung!C19</f>
        <v>0</v>
      </c>
      <c r="E111" s="350"/>
      <c r="F111" s="277">
        <f>Bemessung!E19</f>
        <v>0</v>
      </c>
      <c r="G111" s="312">
        <f>Bemessung!G19</f>
        <v>0.6</v>
      </c>
      <c r="H111" s="1"/>
      <c r="L111" s="1"/>
      <c r="M111" s="1"/>
      <c r="N111" s="290"/>
      <c r="O111" s="290"/>
      <c r="P111" s="291"/>
      <c r="Q111" s="290"/>
      <c r="R111" s="292"/>
      <c r="S111" s="293"/>
    </row>
    <row r="112" spans="1:19" ht="18.75">
      <c r="A112" s="150" t="s">
        <v>103</v>
      </c>
      <c r="B112" s="277">
        <f>Bemessung!B20</f>
        <v>0</v>
      </c>
      <c r="C112" s="354">
        <f>D112*$C$116/G112</f>
        <v>0</v>
      </c>
      <c r="D112" s="277">
        <f>Bemessung!C20</f>
        <v>0</v>
      </c>
      <c r="E112" s="351"/>
      <c r="F112" s="277">
        <f>Bemessung!E20</f>
        <v>0</v>
      </c>
      <c r="G112" s="312">
        <f>Bemessung!G20</f>
        <v>0.9</v>
      </c>
      <c r="H112" s="1"/>
      <c r="L112" s="1"/>
      <c r="M112" s="1"/>
      <c r="N112" s="290"/>
      <c r="O112" s="290"/>
      <c r="P112" s="291"/>
      <c r="Q112" s="290"/>
      <c r="R112" s="292"/>
      <c r="S112" s="293"/>
    </row>
    <row r="113" spans="1:19" ht="18.75">
      <c r="A113" s="151" t="s">
        <v>104</v>
      </c>
      <c r="B113" s="277">
        <f>Bemessung!B21</f>
        <v>0</v>
      </c>
      <c r="C113" s="354">
        <f>D113*$C$116/G113</f>
        <v>0</v>
      </c>
      <c r="D113" s="277">
        <f>Bemessung!C21</f>
        <v>0</v>
      </c>
      <c r="E113" s="351"/>
      <c r="F113" s="277">
        <f>Bemessung!E21</f>
        <v>0</v>
      </c>
      <c r="G113" s="312">
        <f>Bemessung!G21</f>
        <v>0.8</v>
      </c>
      <c r="H113" s="1"/>
      <c r="L113" s="1"/>
      <c r="M113" s="1"/>
      <c r="N113" s="290"/>
      <c r="O113" s="290"/>
      <c r="P113" s="291"/>
      <c r="Q113" s="290"/>
      <c r="R113" s="292"/>
      <c r="S113" s="293"/>
    </row>
    <row r="114" spans="1:19" ht="18.75">
      <c r="A114" s="151" t="s">
        <v>105</v>
      </c>
      <c r="B114" s="277">
        <f>Bemessung!B22</f>
        <v>0</v>
      </c>
      <c r="C114" s="354">
        <f>D114*$C$116/G114</f>
        <v>0</v>
      </c>
      <c r="D114" s="277">
        <f>Bemessung!C22</f>
        <v>0</v>
      </c>
      <c r="E114" s="352"/>
      <c r="F114" s="277">
        <f>Bemessung!E22</f>
        <v>0</v>
      </c>
      <c r="G114" s="312">
        <f>Bemessung!G22</f>
        <v>0.9</v>
      </c>
      <c r="H114" s="1"/>
      <c r="L114" s="1"/>
      <c r="M114" s="1"/>
      <c r="N114" s="290"/>
      <c r="O114" s="290"/>
      <c r="P114" s="291"/>
      <c r="Q114" s="290"/>
      <c r="R114" s="292"/>
      <c r="S114" s="293"/>
    </row>
    <row r="115" spans="1:19" ht="19.5" thickBot="1">
      <c r="A115" s="152" t="s">
        <v>106</v>
      </c>
      <c r="B115" s="279">
        <f>Bemessung!B23</f>
        <v>0</v>
      </c>
      <c r="C115" s="355"/>
      <c r="D115" s="280"/>
      <c r="E115" s="279">
        <f>Bemessung!D23</f>
        <v>0</v>
      </c>
      <c r="F115" s="279">
        <f>Bemessung!E23</f>
        <v>0</v>
      </c>
      <c r="G115" s="315">
        <f>Bemessung!G23</f>
        <v>0.9</v>
      </c>
      <c r="H115" s="1"/>
      <c r="L115" s="1"/>
      <c r="M115" s="1"/>
      <c r="N115" s="290"/>
      <c r="O115" s="290"/>
      <c r="P115" s="290"/>
      <c r="Q115" s="290"/>
      <c r="R115" s="292"/>
      <c r="S115" s="293"/>
    </row>
    <row r="116" spans="1:19" ht="18.75">
      <c r="A116" s="1"/>
      <c r="B116" s="353" t="s">
        <v>383</v>
      </c>
      <c r="C116" s="450">
        <f>Bemessung!G24</f>
        <v>1.3</v>
      </c>
      <c r="D116" s="313"/>
      <c r="E116" s="313"/>
      <c r="H116" s="1"/>
      <c r="L116" s="1"/>
      <c r="M116" s="1"/>
      <c r="N116" s="290"/>
      <c r="O116" s="290"/>
      <c r="P116" s="290"/>
      <c r="Q116" s="290"/>
      <c r="R116" s="292"/>
      <c r="S116" s="293"/>
    </row>
    <row r="117" spans="1:19" ht="18.75">
      <c r="A117" s="1"/>
      <c r="B117" s="353" t="s">
        <v>385</v>
      </c>
      <c r="C117" s="356">
        <f>MAX(C111:C114)</f>
        <v>0</v>
      </c>
      <c r="D117" s="313">
        <f>VLOOKUP(C117,C111:D115,2,FALSE)</f>
        <v>0</v>
      </c>
      <c r="E117" s="313"/>
      <c r="F117" s="237" t="s">
        <v>386</v>
      </c>
      <c r="G117">
        <f>VLOOKUP(C117,C111:G115,5,FALSE)</f>
        <v>0.6</v>
      </c>
      <c r="H117" s="1"/>
      <c r="L117" s="1"/>
      <c r="M117" s="1"/>
      <c r="N117" s="290"/>
      <c r="O117" s="290"/>
      <c r="P117" s="290"/>
      <c r="Q117" s="290"/>
      <c r="R117" s="292"/>
      <c r="S117" s="293"/>
    </row>
    <row r="118" spans="1:19" ht="16.5" thickBot="1">
      <c r="A118" s="1" t="s">
        <v>342</v>
      </c>
      <c r="H118" s="1"/>
      <c r="L118" s="1"/>
      <c r="M118" s="1"/>
      <c r="N118" s="1"/>
      <c r="O118" s="1"/>
      <c r="P118" s="5"/>
      <c r="Q118" s="1"/>
      <c r="R118" s="26"/>
      <c r="S118" s="1"/>
    </row>
    <row r="119" spans="1:19" ht="18.75">
      <c r="A119" s="146" t="s">
        <v>99</v>
      </c>
      <c r="B119" s="147" t="s">
        <v>76</v>
      </c>
      <c r="C119" s="148" t="s">
        <v>21</v>
      </c>
      <c r="D119" s="148" t="s">
        <v>101</v>
      </c>
      <c r="E119" s="149" t="s">
        <v>77</v>
      </c>
    </row>
    <row r="120" spans="1:19">
      <c r="A120" s="150" t="s">
        <v>100</v>
      </c>
      <c r="B120" s="277">
        <f>VLOOKUP(G111,$A$102:$B$106,2,FALSE)</f>
        <v>7.2635364041984101</v>
      </c>
      <c r="C120" s="277">
        <f>VLOOKUP(G111,$A$102:$C$106,3,FALSE)</f>
        <v>42.653338680003927</v>
      </c>
      <c r="D120" s="465"/>
      <c r="E120" s="278">
        <f>VLOOKUP(G111,$A$102:$E$106,5,FALSE)</f>
        <v>14.708719502345069</v>
      </c>
    </row>
    <row r="121" spans="1:19">
      <c r="A121" s="150" t="s">
        <v>103</v>
      </c>
      <c r="B121" s="277">
        <f>VLOOKUP(G112,$A$102:$B$106,2,FALSE)</f>
        <v>10.895304606297618</v>
      </c>
      <c r="C121" s="277">
        <f>VLOOKUP(G112,$A$102:$C$106,3,FALSE)</f>
        <v>63.980008020005883</v>
      </c>
      <c r="D121" s="466"/>
      <c r="E121" s="278">
        <f>VLOOKUP(G112,$A$102:$E$106,5,FALSE)</f>
        <v>22.063079253517603</v>
      </c>
    </row>
    <row r="122" spans="1:19">
      <c r="A122" s="151" t="s">
        <v>104</v>
      </c>
      <c r="B122" s="277">
        <f>VLOOKUP(G113,$A$102:$B$106,2,FALSE)</f>
        <v>9.6847152055978825</v>
      </c>
      <c r="C122" s="277">
        <f>VLOOKUP(G113,$A$102:$C$106,3,FALSE)</f>
        <v>56.871118240005231</v>
      </c>
      <c r="D122" s="466"/>
      <c r="E122" s="278">
        <f>VLOOKUP(G113,$A$102:$E$106,5,FALSE)</f>
        <v>19.611626003126759</v>
      </c>
    </row>
    <row r="123" spans="1:19">
      <c r="A123" s="151" t="s">
        <v>105</v>
      </c>
      <c r="B123" s="277">
        <f>VLOOKUP(G114,$A$102:$B$106,2,FALSE)</f>
        <v>10.895304606297618</v>
      </c>
      <c r="C123" s="277">
        <f>VLOOKUP(G114,$A$102:$C$106,3,FALSE)</f>
        <v>63.980008020005883</v>
      </c>
      <c r="D123" s="467"/>
      <c r="E123" s="278">
        <f>VLOOKUP(G114,$A$102:$E$106,5,FALSE)</f>
        <v>22.063079253517603</v>
      </c>
    </row>
    <row r="124" spans="1:19" ht="16.5" thickBot="1">
      <c r="A124" s="152" t="s">
        <v>106</v>
      </c>
      <c r="B124" s="314">
        <f>VLOOKUP(G115,$A$102:$B$106,2,FALSE)</f>
        <v>10.895304606297618</v>
      </c>
      <c r="C124" s="280"/>
      <c r="D124" s="279">
        <f>VLOOKUP(G115,$A$102:$D$106,4,FALSE)</f>
        <v>14.4</v>
      </c>
      <c r="E124" s="278">
        <f>VLOOKUP(G115,$A$102:$E$106,5,FALSE)</f>
        <v>22.063079253517603</v>
      </c>
    </row>
    <row r="126" spans="1:19" ht="16.5" thickBot="1">
      <c r="A126" s="1" t="s">
        <v>321</v>
      </c>
    </row>
    <row r="127" spans="1:19" ht="18.75">
      <c r="A127" s="146" t="s">
        <v>99</v>
      </c>
      <c r="B127" s="147" t="s">
        <v>322</v>
      </c>
      <c r="C127" s="148" t="s">
        <v>323</v>
      </c>
      <c r="D127" s="148" t="s">
        <v>324</v>
      </c>
      <c r="E127" s="149" t="s">
        <v>325</v>
      </c>
    </row>
    <row r="128" spans="1:19">
      <c r="A128" s="150" t="s">
        <v>100</v>
      </c>
      <c r="B128" s="177">
        <f>B111/B120</f>
        <v>0</v>
      </c>
      <c r="C128" s="177">
        <f>D111/C120</f>
        <v>0</v>
      </c>
      <c r="D128" s="465"/>
      <c r="E128" s="284">
        <f>IF(Bemessung!$B$29=Zwischenrechnung!$L$37,0,F111/E120)</f>
        <v>0</v>
      </c>
    </row>
    <row r="129" spans="1:15">
      <c r="A129" s="150" t="s">
        <v>103</v>
      </c>
      <c r="B129" s="177">
        <f>B112/B121</f>
        <v>0</v>
      </c>
      <c r="C129" s="177">
        <f>D112/C121</f>
        <v>0</v>
      </c>
      <c r="D129" s="466"/>
      <c r="E129" s="284">
        <f>IF(Bemessung!$B$29=Zwischenrechnung!$L$37,0,F112/E121)</f>
        <v>0</v>
      </c>
    </row>
    <row r="130" spans="1:15">
      <c r="A130" s="151" t="s">
        <v>104</v>
      </c>
      <c r="B130" s="177">
        <f>B113/B122</f>
        <v>0</v>
      </c>
      <c r="C130" s="177">
        <f>D113/C122</f>
        <v>0</v>
      </c>
      <c r="D130" s="466"/>
      <c r="E130" s="284">
        <f>IF(Bemessung!$B$29=Zwischenrechnung!$L$37,0,F113/E122)</f>
        <v>0</v>
      </c>
    </row>
    <row r="131" spans="1:15">
      <c r="A131" s="151" t="s">
        <v>105</v>
      </c>
      <c r="B131" s="177">
        <f>B114/B123</f>
        <v>0</v>
      </c>
      <c r="C131" s="177">
        <f>D114/C123</f>
        <v>0</v>
      </c>
      <c r="D131" s="467"/>
      <c r="E131" s="284">
        <f>IF(Bemessung!$B$29=Zwischenrechnung!$L$37,0,F114/E123)</f>
        <v>0</v>
      </c>
    </row>
    <row r="132" spans="1:15" ht="16.5" thickBot="1">
      <c r="A132" s="152" t="s">
        <v>106</v>
      </c>
      <c r="B132" s="272">
        <f>B115/B124</f>
        <v>0</v>
      </c>
      <c r="C132" s="280"/>
      <c r="D132" s="272">
        <f>-E115/D124</f>
        <v>0</v>
      </c>
      <c r="E132" s="285">
        <f>IF(Bemessung!$B$29=Zwischenrechnung!$L$37,0,F115/E124)</f>
        <v>0</v>
      </c>
    </row>
    <row r="134" spans="1:15" ht="16.5" thickBot="1">
      <c r="A134" s="1" t="s">
        <v>340</v>
      </c>
    </row>
    <row r="135" spans="1:15" ht="18.75">
      <c r="A135" s="297" t="s">
        <v>99</v>
      </c>
      <c r="B135" s="298" t="s">
        <v>102</v>
      </c>
      <c r="C135" s="299" t="s">
        <v>326</v>
      </c>
      <c r="D135" s="498"/>
      <c r="E135" s="300" t="s">
        <v>328</v>
      </c>
      <c r="F135" s="300" t="s">
        <v>333</v>
      </c>
      <c r="G135" s="306"/>
      <c r="H135" s="451" t="s">
        <v>334</v>
      </c>
      <c r="I135" s="451"/>
      <c r="J135" s="451" t="s">
        <v>335</v>
      </c>
      <c r="K135" s="451"/>
      <c r="L135" s="451" t="s">
        <v>336</v>
      </c>
      <c r="M135" s="451"/>
      <c r="N135" s="451"/>
      <c r="O135" s="451"/>
    </row>
    <row r="136" spans="1:15">
      <c r="A136" s="301" t="s">
        <v>100</v>
      </c>
      <c r="B136" s="302">
        <f>B128^2</f>
        <v>0</v>
      </c>
      <c r="C136" s="302">
        <f>C128^2</f>
        <v>0</v>
      </c>
      <c r="D136" s="499"/>
      <c r="E136" s="302">
        <f>E128^2</f>
        <v>0</v>
      </c>
      <c r="F136" s="495">
        <f>IF(L136&gt;0,0,IF(AND(B136&gt;0,C136&gt;0),B136+C136,0))</f>
        <v>0</v>
      </c>
      <c r="G136" s="495"/>
      <c r="H136" s="495">
        <f>IF(L136&gt;0,0,IF(AND(C136&gt;0,E136&gt;0),C136+E136,0))</f>
        <v>0</v>
      </c>
      <c r="I136" s="495"/>
      <c r="J136" s="495">
        <f>IF(L136&gt;0,0,IF(AND(B136&gt;0,E136&gt;0),B136+E136,0))</f>
        <v>0</v>
      </c>
      <c r="K136" s="495"/>
      <c r="L136" s="495">
        <f>IF(AND(B136&gt;0,C136&gt;0,E136&gt;0),B136+C136+E136,0)</f>
        <v>0</v>
      </c>
      <c r="M136" s="495"/>
      <c r="N136" s="495"/>
      <c r="O136" s="495"/>
    </row>
    <row r="137" spans="1:15">
      <c r="A137" s="301" t="s">
        <v>103</v>
      </c>
      <c r="B137" s="302">
        <f t="shared" ref="B137:C139" si="0">B129^2</f>
        <v>0</v>
      </c>
      <c r="C137" s="302">
        <f t="shared" si="0"/>
        <v>0</v>
      </c>
      <c r="D137" s="499"/>
      <c r="E137" s="302">
        <f t="shared" ref="E137:E139" si="1">E129^2</f>
        <v>0</v>
      </c>
      <c r="F137" s="495">
        <f t="shared" ref="F137:F139" si="2">IF(L137&gt;0,0,IF(AND(B137&gt;0,C137&gt;0),B137+C137,0))</f>
        <v>0</v>
      </c>
      <c r="G137" s="495"/>
      <c r="H137" s="495">
        <f t="shared" ref="H137:H139" si="3">IF(L137&gt;0,0,IF(AND(C137&gt;0,E137&gt;0),C137+E137,0))</f>
        <v>0</v>
      </c>
      <c r="I137" s="495"/>
      <c r="J137" s="495">
        <f>IF(L137&gt;0,0,IF(AND(B137&gt;0,E137&gt;0),B137+E137,0))</f>
        <v>0</v>
      </c>
      <c r="K137" s="495"/>
      <c r="L137" s="495">
        <f t="shared" ref="L137:L139" si="4">IF(AND(B137&gt;0,C137&gt;0,E137&gt;0),B137+C137+E137,0)</f>
        <v>0</v>
      </c>
      <c r="M137" s="495"/>
      <c r="N137" s="495"/>
      <c r="O137" s="495"/>
    </row>
    <row r="138" spans="1:15">
      <c r="A138" s="303" t="s">
        <v>104</v>
      </c>
      <c r="B138" s="302">
        <f t="shared" si="0"/>
        <v>0</v>
      </c>
      <c r="C138" s="302">
        <f t="shared" si="0"/>
        <v>0</v>
      </c>
      <c r="D138" s="499"/>
      <c r="E138" s="302">
        <f t="shared" si="1"/>
        <v>0</v>
      </c>
      <c r="F138" s="495">
        <f t="shared" si="2"/>
        <v>0</v>
      </c>
      <c r="G138" s="495"/>
      <c r="H138" s="495">
        <f t="shared" si="3"/>
        <v>0</v>
      </c>
      <c r="I138" s="495"/>
      <c r="J138" s="495">
        <f>IF(L138&gt;0,0,IF(AND(B138&gt;0,E138&gt;0),B138+E138,0))</f>
        <v>0</v>
      </c>
      <c r="K138" s="495"/>
      <c r="L138" s="495">
        <f t="shared" si="4"/>
        <v>0</v>
      </c>
      <c r="M138" s="495"/>
      <c r="N138" s="495"/>
      <c r="O138" s="495"/>
    </row>
    <row r="139" spans="1:15" ht="16.5" thickBot="1">
      <c r="A139" s="304" t="s">
        <v>105</v>
      </c>
      <c r="B139" s="305">
        <f t="shared" si="0"/>
        <v>0</v>
      </c>
      <c r="C139" s="305">
        <f t="shared" si="0"/>
        <v>0</v>
      </c>
      <c r="D139" s="500"/>
      <c r="E139" s="305">
        <f t="shared" si="1"/>
        <v>0</v>
      </c>
      <c r="F139" s="494">
        <f t="shared" si="2"/>
        <v>0</v>
      </c>
      <c r="G139" s="494"/>
      <c r="H139" s="494">
        <f t="shared" si="3"/>
        <v>0</v>
      </c>
      <c r="I139" s="494"/>
      <c r="J139" s="494">
        <f>IF(L139&gt;0,0,IF(AND(B139&gt;0,E139&gt;0),B139+E139,0))</f>
        <v>0</v>
      </c>
      <c r="K139" s="494"/>
      <c r="L139" s="494">
        <f t="shared" si="4"/>
        <v>0</v>
      </c>
      <c r="M139" s="494"/>
      <c r="N139" s="494"/>
      <c r="O139" s="494"/>
    </row>
    <row r="140" spans="1:15" ht="16.5" thickBot="1">
      <c r="A140" s="1"/>
      <c r="B140" s="295"/>
      <c r="C140" s="37"/>
      <c r="D140" s="296"/>
      <c r="E140" s="37"/>
      <c r="F140" s="294"/>
      <c r="G140" s="294"/>
      <c r="H140" s="296"/>
      <c r="I140" s="296"/>
      <c r="J140" s="294"/>
      <c r="K140" s="294"/>
    </row>
    <row r="141" spans="1:15" ht="18.75">
      <c r="A141" s="307" t="s">
        <v>99</v>
      </c>
      <c r="B141" s="298" t="s">
        <v>102</v>
      </c>
      <c r="C141" s="496"/>
      <c r="D141" s="299" t="s">
        <v>327</v>
      </c>
      <c r="E141" s="300" t="s">
        <v>328</v>
      </c>
      <c r="F141" s="300" t="s">
        <v>337</v>
      </c>
      <c r="G141" s="286"/>
      <c r="H141" s="451" t="s">
        <v>338</v>
      </c>
      <c r="I141" s="451"/>
      <c r="J141" s="451" t="s">
        <v>335</v>
      </c>
      <c r="K141" s="451"/>
      <c r="L141" s="451" t="s">
        <v>339</v>
      </c>
      <c r="M141" s="451"/>
      <c r="N141" s="451"/>
      <c r="O141" s="451"/>
    </row>
    <row r="142" spans="1:15" ht="16.5" thickBot="1">
      <c r="A142" s="308" t="s">
        <v>106</v>
      </c>
      <c r="B142" s="305">
        <f>B132^2</f>
        <v>0</v>
      </c>
      <c r="C142" s="497"/>
      <c r="D142" s="305">
        <f>D132^2</f>
        <v>0</v>
      </c>
      <c r="E142" s="305">
        <f>E132^2</f>
        <v>0</v>
      </c>
      <c r="F142" s="494">
        <f>IF(L142&gt;0,0,IF(AND(B142&gt;0,D142&gt;0),B142+D142,0))</f>
        <v>0</v>
      </c>
      <c r="G142" s="494"/>
      <c r="H142" s="494">
        <f>IF(L142&gt;0,0,IF(AND(D142&gt;0,E142&gt;0),D142+E142,0))</f>
        <v>0</v>
      </c>
      <c r="I142" s="494"/>
      <c r="J142" s="494">
        <f>IF(L142&gt;0,0,IF(AND(B142&gt;0,E142&gt;0),B142+E142,0))</f>
        <v>0</v>
      </c>
      <c r="K142" s="494"/>
      <c r="L142" s="494">
        <f>IF(AND(B142&gt;0,D142&gt;0,E142&gt;0),B142+D142+E142,0)</f>
        <v>0</v>
      </c>
      <c r="M142" s="494"/>
      <c r="N142" s="494"/>
      <c r="O142" s="494"/>
    </row>
  </sheetData>
  <sheetProtection algorithmName="SHA-512" hashValue="ek3vpVmR8OXxatTk4NGZm9tlSRfXVtS8j2mDqDa99GDIOJbpeC//eM41OrnnP6bSQ6TTlp6AfjYCnDovtRXj8w==" saltValue="AI9CnnWdS1CRPkvtIk+YEQ==" spinCount="100000" sheet="1" objects="1" scenarios="1" selectLockedCells="1"/>
  <mergeCells count="43">
    <mergeCell ref="L142:O142"/>
    <mergeCell ref="C141:C142"/>
    <mergeCell ref="D135:D139"/>
    <mergeCell ref="L135:O135"/>
    <mergeCell ref="J135:K135"/>
    <mergeCell ref="H135:I135"/>
    <mergeCell ref="L141:O141"/>
    <mergeCell ref="J141:K141"/>
    <mergeCell ref="H141:I141"/>
    <mergeCell ref="L136:O136"/>
    <mergeCell ref="L137:O137"/>
    <mergeCell ref="L138:O138"/>
    <mergeCell ref="L139:O139"/>
    <mergeCell ref="H136:I136"/>
    <mergeCell ref="H137:I137"/>
    <mergeCell ref="H138:I138"/>
    <mergeCell ref="H139:I139"/>
    <mergeCell ref="J142:K142"/>
    <mergeCell ref="H142:I142"/>
    <mergeCell ref="J136:K136"/>
    <mergeCell ref="J137:K137"/>
    <mergeCell ref="J138:K138"/>
    <mergeCell ref="J139:K139"/>
    <mergeCell ref="D102:D104"/>
    <mergeCell ref="F109:G109"/>
    <mergeCell ref="B70:C70"/>
    <mergeCell ref="B57:F57"/>
    <mergeCell ref="F142:G142"/>
    <mergeCell ref="D120:D123"/>
    <mergeCell ref="D128:D131"/>
    <mergeCell ref="F136:G136"/>
    <mergeCell ref="F137:G137"/>
    <mergeCell ref="F138:G138"/>
    <mergeCell ref="F139:G139"/>
    <mergeCell ref="N1:O1"/>
    <mergeCell ref="B16:D16"/>
    <mergeCell ref="E16:G16"/>
    <mergeCell ref="B30:F30"/>
    <mergeCell ref="B44:F44"/>
    <mergeCell ref="M16:M17"/>
    <mergeCell ref="L15:O15"/>
    <mergeCell ref="H16:J16"/>
    <mergeCell ref="J44:N44"/>
  </mergeCells>
  <dataValidations disablePrompts="1" count="6">
    <dataValidation type="list" allowBlank="1" showInputMessage="1" showErrorMessage="1" sqref="D95" xr:uid="{00000000-0002-0000-0100-000000000000}">
      <formula1>"200,220,240,260,280,300,350,400,450,500,550,600,800"</formula1>
    </dataValidation>
    <dataValidation type="list" allowBlank="1" showInputMessage="1" showErrorMessage="1" sqref="D94" xr:uid="{00000000-0002-0000-0100-000001000000}">
      <formula1>"160,180,200,220,240,260,280,300,350,400,450,500,550,600"</formula1>
    </dataValidation>
    <dataValidation type="list" allowBlank="1" showInputMessage="1" showErrorMessage="1" sqref="D91" xr:uid="{00000000-0002-0000-0100-000002000000}">
      <formula1>"160,180,200,220,240,260,280,300,350,400,450,500,600,800,1000"</formula1>
    </dataValidation>
    <dataValidation type="list" allowBlank="1" showInputMessage="1" showErrorMessage="1" sqref="D90" xr:uid="{00000000-0002-0000-0100-000003000000}">
      <formula1>"160,180,200,220,240,260,280,300,350,400,450,500,600"</formula1>
    </dataValidation>
    <dataValidation type="list" allowBlank="1" showInputMessage="1" showErrorMessage="1" sqref="D87" xr:uid="{00000000-0002-0000-0100-000004000000}">
      <formula1>"160,180,200,220,240,260,280,300,320,340,360,380,400,430,480,530,580,650,700,750,800"</formula1>
    </dataValidation>
    <dataValidation type="list" allowBlank="1" showInputMessage="1" showErrorMessage="1" sqref="D86" xr:uid="{00000000-0002-0000-0100-000005000000}">
      <formula1>"160,180,200,220,240,260,280,300,330,360,380,430,460,480,530,580"</formula1>
    </dataValidation>
  </dataValidations>
  <pageMargins left="0.7" right="0.7" top="0.78740157499999996" bottom="0.78740157499999996" header="0.3" footer="0.3"/>
  <pageSetup paperSize="9" orientation="portrait" horizontalDpi="1200" verticalDpi="1200" r:id="rId1"/>
  <ignoredErrors>
    <ignoredError sqref="B111:B115 B120:B124 C120:C123 D124:E124 E120:E123" unlockedFormula="1"/>
  </ignoredErrors>
  <drawing r:id="rId2"/>
  <legacyDrawing r:id="rId3"/>
  <oleObjects>
    <mc:AlternateContent xmlns:mc="http://schemas.openxmlformats.org/markup-compatibility/2006">
      <mc:Choice Requires="x14">
        <oleObject progId="Equation.3" shapeId="15374" r:id="rId4">
          <objectPr defaultSize="0" autoPict="0" r:id="rId5">
            <anchor moveWithCells="1">
              <from>
                <xdr:col>0</xdr:col>
                <xdr:colOff>180975</xdr:colOff>
                <xdr:row>10</xdr:row>
                <xdr:rowOff>142875</xdr:rowOff>
              </from>
              <to>
                <xdr:col>3</xdr:col>
                <xdr:colOff>742950</xdr:colOff>
                <xdr:row>12</xdr:row>
                <xdr:rowOff>76200</xdr:rowOff>
              </to>
            </anchor>
          </objectPr>
        </oleObject>
      </mc:Choice>
      <mc:Fallback>
        <oleObject progId="Equation.3" shapeId="15374" r:id="rId4"/>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AK187"/>
  <sheetViews>
    <sheetView showGridLines="0" showRowColHeaders="0" topLeftCell="A28" zoomScaleNormal="100" workbookViewId="0">
      <selection activeCell="O188" sqref="O188"/>
    </sheetView>
  </sheetViews>
  <sheetFormatPr baseColWidth="10" defaultColWidth="11" defaultRowHeight="15.75"/>
  <cols>
    <col min="1" max="1" width="25.25" customWidth="1"/>
    <col min="13" max="13" width="12.5" customWidth="1"/>
    <col min="14" max="14" width="31.875" customWidth="1"/>
    <col min="21" max="21" width="22.875" bestFit="1" customWidth="1"/>
    <col min="22" max="22" width="12.75" customWidth="1"/>
    <col min="23" max="23" width="12.125" customWidth="1"/>
    <col min="24" max="24" width="14.25" customWidth="1"/>
    <col min="25" max="25" width="13" bestFit="1" customWidth="1"/>
    <col min="26" max="26" width="17.375" customWidth="1"/>
    <col min="30" max="30" width="22.875" customWidth="1"/>
    <col min="33" max="33" width="13.125" customWidth="1"/>
  </cols>
  <sheetData>
    <row r="1" spans="1:19">
      <c r="A1" s="49" t="s">
        <v>83</v>
      </c>
    </row>
    <row r="2" spans="1:19">
      <c r="A2" s="50" t="s">
        <v>84</v>
      </c>
    </row>
    <row r="4" spans="1:19" ht="26.25">
      <c r="A4" s="51" t="s">
        <v>22</v>
      </c>
      <c r="P4" s="52"/>
      <c r="Q4" s="52"/>
      <c r="R4" s="52"/>
    </row>
    <row r="6" spans="1:19" ht="18.75">
      <c r="A6" s="53" t="s">
        <v>23</v>
      </c>
      <c r="P6" s="52"/>
      <c r="Q6" s="52"/>
      <c r="R6" s="52"/>
    </row>
    <row r="7" spans="1:19">
      <c r="K7" s="52">
        <f>Bemessung!C39</f>
        <v>0</v>
      </c>
      <c r="O7" s="524"/>
      <c r="P7" s="524"/>
      <c r="Q7" s="524"/>
      <c r="R7" s="524"/>
    </row>
    <row r="8" spans="1:19" ht="18.75">
      <c r="A8" s="54" t="s">
        <v>24</v>
      </c>
      <c r="B8" s="55" t="s">
        <v>25</v>
      </c>
      <c r="C8" s="55" t="s">
        <v>26</v>
      </c>
      <c r="D8" s="55" t="s">
        <v>27</v>
      </c>
      <c r="E8" s="55" t="s">
        <v>28</v>
      </c>
      <c r="F8" s="222" t="s">
        <v>390</v>
      </c>
      <c r="G8" s="55" t="s">
        <v>29</v>
      </c>
      <c r="H8" s="55" t="s">
        <v>30</v>
      </c>
      <c r="I8" s="55" t="s">
        <v>31</v>
      </c>
      <c r="J8" s="55" t="s">
        <v>32</v>
      </c>
      <c r="K8" s="55" t="s">
        <v>33</v>
      </c>
      <c r="L8" s="56" t="s">
        <v>88</v>
      </c>
      <c r="M8" s="57" t="s">
        <v>34</v>
      </c>
      <c r="N8" s="54" t="s">
        <v>24</v>
      </c>
      <c r="O8" s="487" t="s">
        <v>92</v>
      </c>
      <c r="P8" s="488"/>
      <c r="Q8" s="488"/>
      <c r="R8" s="488"/>
      <c r="S8" s="489"/>
    </row>
    <row r="9" spans="1:19">
      <c r="A9" s="58"/>
      <c r="B9" s="59" t="s">
        <v>35</v>
      </c>
      <c r="C9" s="59" t="s">
        <v>13</v>
      </c>
      <c r="D9" s="59" t="s">
        <v>13</v>
      </c>
      <c r="E9" s="59" t="s">
        <v>36</v>
      </c>
      <c r="F9" s="59" t="s">
        <v>13</v>
      </c>
      <c r="G9" s="59" t="s">
        <v>13</v>
      </c>
      <c r="H9" s="59" t="s">
        <v>13</v>
      </c>
      <c r="I9" s="59" t="s">
        <v>13</v>
      </c>
      <c r="J9" s="59" t="s">
        <v>35</v>
      </c>
      <c r="K9" s="59" t="s">
        <v>35</v>
      </c>
      <c r="L9" s="59" t="s">
        <v>35</v>
      </c>
      <c r="M9" s="60" t="s">
        <v>35</v>
      </c>
      <c r="N9" s="58"/>
      <c r="O9" s="61">
        <v>0.6</v>
      </c>
      <c r="P9" s="61">
        <v>0.7</v>
      </c>
      <c r="Q9" s="61">
        <v>0.8</v>
      </c>
      <c r="R9" s="61">
        <v>0.9</v>
      </c>
      <c r="S9" s="61">
        <v>1</v>
      </c>
    </row>
    <row r="10" spans="1:19">
      <c r="A10" s="62" t="s">
        <v>366</v>
      </c>
      <c r="B10" s="65">
        <v>9</v>
      </c>
      <c r="C10" s="65">
        <v>60</v>
      </c>
      <c r="D10" s="65">
        <f t="shared" ref="D10" si="0">C10/2</f>
        <v>30</v>
      </c>
      <c r="E10" s="65">
        <f t="shared" ref="E10:E19" si="1">Q26</f>
        <v>0</v>
      </c>
      <c r="F10" s="65">
        <f>Zwischenrechnung!D18</f>
        <v>80</v>
      </c>
      <c r="G10" s="65">
        <f>VLOOKUP(F10,$P$57:$Q$58,2,FALSE)</f>
        <v>70</v>
      </c>
      <c r="H10" s="65">
        <f>VLOOKUP(D40,$P$39:$Q$41,2,FALSE)</f>
        <v>145</v>
      </c>
      <c r="I10" s="65">
        <f>Zwischenrechnung!F18</f>
        <v>8</v>
      </c>
      <c r="J10" s="65">
        <f t="shared" ref="J10:J19" si="2">(0.52*SQRT(I10)*(G10)^0.9*$B$22^0.8)/1000</f>
        <v>7.8796178754106014</v>
      </c>
      <c r="K10" s="65">
        <f>(IF(H10&gt;=100,$K$21,$K$22)*0.52*SQRT(I10)*H10^0.9*$B$21^0.8)/1000</f>
        <v>9.1054072130615449</v>
      </c>
      <c r="L10" s="65">
        <v>22</v>
      </c>
      <c r="M10" s="65">
        <f t="shared" ref="M10:M19" si="3">E10*MIN(B10,J10,K10,L10)</f>
        <v>0</v>
      </c>
      <c r="N10" s="62" t="s">
        <v>366</v>
      </c>
      <c r="O10" s="65">
        <f t="shared" ref="O10:S19" si="4">$E10*MIN($B10/1,$J10*O$9/$O$20,$K10*O$9/$O$20,$L10/1.25)</f>
        <v>0</v>
      </c>
      <c r="P10" s="65">
        <f t="shared" si="4"/>
        <v>0</v>
      </c>
      <c r="Q10" s="65">
        <f t="shared" si="4"/>
        <v>0</v>
      </c>
      <c r="R10" s="65">
        <f t="shared" si="4"/>
        <v>0</v>
      </c>
      <c r="S10" s="65">
        <f t="shared" si="4"/>
        <v>0</v>
      </c>
    </row>
    <row r="11" spans="1:19" ht="16.5" thickBot="1">
      <c r="A11" s="67" t="s">
        <v>365</v>
      </c>
      <c r="B11" s="70">
        <v>9</v>
      </c>
      <c r="C11" s="70">
        <v>60</v>
      </c>
      <c r="D11" s="70">
        <f t="shared" ref="D11:D19" si="5">C11/2</f>
        <v>30</v>
      </c>
      <c r="E11" s="70">
        <f t="shared" si="1"/>
        <v>0</v>
      </c>
      <c r="F11" s="70">
        <f>Zwischenrechnung!D19</f>
        <v>80</v>
      </c>
      <c r="G11" s="70">
        <f>VLOOKUP(F11,$P$57:$Q$58,2,FALSE)</f>
        <v>70</v>
      </c>
      <c r="H11" s="70">
        <f>VLOOKUP(D41,$P$39:$Q$41,2,FALSE)</f>
        <v>145</v>
      </c>
      <c r="I11" s="70">
        <f>Zwischenrechnung!F19</f>
        <v>8</v>
      </c>
      <c r="J11" s="70">
        <f t="shared" si="2"/>
        <v>7.8796178754106014</v>
      </c>
      <c r="K11" s="70">
        <f t="shared" ref="K11:K19" si="6">(IF(H11&gt;=100,$K$21,$K$22)*0.52*SQRT(I11)*H11^0.9*$B$21^0.8)/1000</f>
        <v>9.1054072130615449</v>
      </c>
      <c r="L11" s="70">
        <v>23</v>
      </c>
      <c r="M11" s="70">
        <f t="shared" si="3"/>
        <v>0</v>
      </c>
      <c r="N11" s="67" t="s">
        <v>365</v>
      </c>
      <c r="O11" s="70">
        <f t="shared" si="4"/>
        <v>0</v>
      </c>
      <c r="P11" s="70">
        <f t="shared" si="4"/>
        <v>0</v>
      </c>
      <c r="Q11" s="70">
        <f t="shared" si="4"/>
        <v>0</v>
      </c>
      <c r="R11" s="70">
        <f t="shared" si="4"/>
        <v>0</v>
      </c>
      <c r="S11" s="70">
        <f t="shared" si="4"/>
        <v>0</v>
      </c>
    </row>
    <row r="12" spans="1:19">
      <c r="A12" s="331" t="s">
        <v>358</v>
      </c>
      <c r="B12" s="338">
        <v>9</v>
      </c>
      <c r="C12" s="338">
        <v>120</v>
      </c>
      <c r="D12" s="338">
        <f t="shared" ref="D12" si="7">C12/2</f>
        <v>60</v>
      </c>
      <c r="E12" s="338">
        <f t="shared" si="1"/>
        <v>0</v>
      </c>
      <c r="F12" s="338">
        <f>Zwischenrechnung!D20</f>
        <v>80</v>
      </c>
      <c r="G12" s="338">
        <f>VLOOKUP(F12,$P$57:$Q$58,2,FALSE)</f>
        <v>70</v>
      </c>
      <c r="H12" s="338">
        <f>VLOOKUP(D42,$P$39:$Q$41,2,FALSE)</f>
        <v>145</v>
      </c>
      <c r="I12" s="338">
        <f>Zwischenrechnung!F20</f>
        <v>8</v>
      </c>
      <c r="J12" s="338">
        <f t="shared" si="2"/>
        <v>7.8796178754106014</v>
      </c>
      <c r="K12" s="338">
        <f t="shared" si="6"/>
        <v>9.1054072130615449</v>
      </c>
      <c r="L12" s="338">
        <v>22</v>
      </c>
      <c r="M12" s="338">
        <f t="shared" si="3"/>
        <v>0</v>
      </c>
      <c r="N12" s="331" t="s">
        <v>358</v>
      </c>
      <c r="O12" s="338">
        <f t="shared" si="4"/>
        <v>0</v>
      </c>
      <c r="P12" s="338">
        <f t="shared" si="4"/>
        <v>0</v>
      </c>
      <c r="Q12" s="338">
        <f t="shared" si="4"/>
        <v>0</v>
      </c>
      <c r="R12" s="338">
        <f t="shared" si="4"/>
        <v>0</v>
      </c>
      <c r="S12" s="338">
        <f t="shared" si="4"/>
        <v>0</v>
      </c>
    </row>
    <row r="13" spans="1:19" ht="16.5" thickBot="1">
      <c r="A13" s="73" t="s">
        <v>359</v>
      </c>
      <c r="B13" s="339">
        <v>9</v>
      </c>
      <c r="C13" s="339">
        <v>120</v>
      </c>
      <c r="D13" s="339">
        <f t="shared" si="5"/>
        <v>60</v>
      </c>
      <c r="E13" s="339">
        <f t="shared" si="1"/>
        <v>0</v>
      </c>
      <c r="F13" s="339">
        <f>Zwischenrechnung!D21</f>
        <v>80</v>
      </c>
      <c r="G13" s="339">
        <f>VLOOKUP(F13,$P$57:$Q$58,2,FALSE)</f>
        <v>70</v>
      </c>
      <c r="H13" s="339">
        <f>VLOOKUP(D43,$P$39:$Q$41,2,FALSE)</f>
        <v>145</v>
      </c>
      <c r="I13" s="339">
        <f>Zwischenrechnung!F21</f>
        <v>8</v>
      </c>
      <c r="J13" s="339">
        <f t="shared" si="2"/>
        <v>7.8796178754106014</v>
      </c>
      <c r="K13" s="339">
        <f t="shared" si="6"/>
        <v>9.1054072130615449</v>
      </c>
      <c r="L13" s="339">
        <v>23</v>
      </c>
      <c r="M13" s="339">
        <f t="shared" si="3"/>
        <v>0</v>
      </c>
      <c r="N13" s="73" t="s">
        <v>359</v>
      </c>
      <c r="O13" s="339">
        <f t="shared" si="4"/>
        <v>0</v>
      </c>
      <c r="P13" s="339">
        <f t="shared" si="4"/>
        <v>0</v>
      </c>
      <c r="Q13" s="339">
        <f t="shared" si="4"/>
        <v>0</v>
      </c>
      <c r="R13" s="339">
        <f t="shared" si="4"/>
        <v>0</v>
      </c>
      <c r="S13" s="339">
        <f t="shared" si="4"/>
        <v>0</v>
      </c>
    </row>
    <row r="14" spans="1:19">
      <c r="A14" s="76" t="s">
        <v>360</v>
      </c>
      <c r="B14" s="79">
        <v>9</v>
      </c>
      <c r="C14" s="79">
        <v>120</v>
      </c>
      <c r="D14" s="79">
        <f t="shared" ref="D14" si="8">C14/2</f>
        <v>60</v>
      </c>
      <c r="E14" s="79">
        <f t="shared" si="1"/>
        <v>0</v>
      </c>
      <c r="F14" s="79">
        <f>Zwischenrechnung!D22</f>
        <v>100</v>
      </c>
      <c r="G14" s="79">
        <f t="shared" ref="G14:G19" si="9">VLOOKUP(F14,$P$61:$Q$63,2,FALSE)</f>
        <v>85</v>
      </c>
      <c r="H14" s="79">
        <f>VLOOKUP(D44,$P$44:$Q$46,2,FALSE)</f>
        <v>180</v>
      </c>
      <c r="I14" s="79">
        <f>Zwischenrechnung!F22</f>
        <v>10</v>
      </c>
      <c r="J14" s="79">
        <f t="shared" si="2"/>
        <v>10.491774806064372</v>
      </c>
      <c r="K14" s="79">
        <f t="shared" si="6"/>
        <v>12.367115938864831</v>
      </c>
      <c r="L14" s="79">
        <v>31</v>
      </c>
      <c r="M14" s="79">
        <f t="shared" si="3"/>
        <v>0</v>
      </c>
      <c r="N14" s="76" t="s">
        <v>360</v>
      </c>
      <c r="O14" s="79">
        <f t="shared" si="4"/>
        <v>0</v>
      </c>
      <c r="P14" s="79">
        <f t="shared" si="4"/>
        <v>0</v>
      </c>
      <c r="Q14" s="79">
        <f t="shared" si="4"/>
        <v>0</v>
      </c>
      <c r="R14" s="79">
        <f t="shared" si="4"/>
        <v>0</v>
      </c>
      <c r="S14" s="79">
        <f t="shared" si="4"/>
        <v>0</v>
      </c>
    </row>
    <row r="15" spans="1:19" ht="16.5" thickBot="1">
      <c r="A15" s="67" t="s">
        <v>361</v>
      </c>
      <c r="B15" s="70">
        <v>9</v>
      </c>
      <c r="C15" s="70">
        <v>120</v>
      </c>
      <c r="D15" s="70">
        <f t="shared" si="5"/>
        <v>60</v>
      </c>
      <c r="E15" s="70">
        <f t="shared" si="1"/>
        <v>1.5</v>
      </c>
      <c r="F15" s="70">
        <f>Zwischenrechnung!D23</f>
        <v>100</v>
      </c>
      <c r="G15" s="70">
        <f t="shared" si="9"/>
        <v>85</v>
      </c>
      <c r="H15" s="70">
        <f>VLOOKUP(D45,$P$44:$Q$46,2,FALSE)</f>
        <v>280</v>
      </c>
      <c r="I15" s="70">
        <f>Zwischenrechnung!F23</f>
        <v>10</v>
      </c>
      <c r="J15" s="70">
        <f t="shared" si="2"/>
        <v>10.491774806064372</v>
      </c>
      <c r="K15" s="70">
        <f t="shared" si="6"/>
        <v>18.406253787508255</v>
      </c>
      <c r="L15" s="70">
        <v>32</v>
      </c>
      <c r="M15" s="70">
        <f t="shared" si="3"/>
        <v>13.5</v>
      </c>
      <c r="N15" s="67" t="s">
        <v>361</v>
      </c>
      <c r="O15" s="70">
        <f t="shared" si="4"/>
        <v>7.2635364041984101</v>
      </c>
      <c r="P15" s="70">
        <f t="shared" si="4"/>
        <v>8.4741258048981472</v>
      </c>
      <c r="Q15" s="70">
        <f t="shared" si="4"/>
        <v>9.6847152055978825</v>
      </c>
      <c r="R15" s="70">
        <f t="shared" si="4"/>
        <v>10.895304606297618</v>
      </c>
      <c r="S15" s="70">
        <f t="shared" si="4"/>
        <v>12.105894006997353</v>
      </c>
    </row>
    <row r="16" spans="1:19">
      <c r="A16" s="331" t="s">
        <v>362</v>
      </c>
      <c r="B16" s="338">
        <v>9</v>
      </c>
      <c r="C16" s="338">
        <v>210</v>
      </c>
      <c r="D16" s="338">
        <f t="shared" ref="D16" si="10">C16/2</f>
        <v>105</v>
      </c>
      <c r="E16" s="338">
        <f t="shared" si="1"/>
        <v>0</v>
      </c>
      <c r="F16" s="338">
        <f>Zwischenrechnung!D24</f>
        <v>100</v>
      </c>
      <c r="G16" s="338">
        <f t="shared" si="9"/>
        <v>85</v>
      </c>
      <c r="H16" s="338">
        <f>VLOOKUP(D46,$P$44:$Q$46,2,FALSE)</f>
        <v>180</v>
      </c>
      <c r="I16" s="338">
        <f>Zwischenrechnung!F24</f>
        <v>10</v>
      </c>
      <c r="J16" s="338">
        <f t="shared" si="2"/>
        <v>10.491774806064372</v>
      </c>
      <c r="K16" s="338">
        <f t="shared" si="6"/>
        <v>12.367115938864831</v>
      </c>
      <c r="L16" s="338">
        <v>31</v>
      </c>
      <c r="M16" s="338">
        <f t="shared" si="3"/>
        <v>0</v>
      </c>
      <c r="N16" s="331" t="s">
        <v>362</v>
      </c>
      <c r="O16" s="338">
        <f t="shared" si="4"/>
        <v>0</v>
      </c>
      <c r="P16" s="338">
        <f t="shared" si="4"/>
        <v>0</v>
      </c>
      <c r="Q16" s="338">
        <f t="shared" si="4"/>
        <v>0</v>
      </c>
      <c r="R16" s="338">
        <f t="shared" si="4"/>
        <v>0</v>
      </c>
      <c r="S16" s="338">
        <f t="shared" si="4"/>
        <v>0</v>
      </c>
    </row>
    <row r="17" spans="1:19" ht="16.5" thickBot="1">
      <c r="A17" s="73" t="s">
        <v>363</v>
      </c>
      <c r="B17" s="339">
        <v>9</v>
      </c>
      <c r="C17" s="339">
        <v>210</v>
      </c>
      <c r="D17" s="339">
        <f t="shared" si="5"/>
        <v>105</v>
      </c>
      <c r="E17" s="339">
        <f t="shared" si="1"/>
        <v>0</v>
      </c>
      <c r="F17" s="339">
        <f>Zwischenrechnung!D25</f>
        <v>100</v>
      </c>
      <c r="G17" s="339">
        <f t="shared" si="9"/>
        <v>85</v>
      </c>
      <c r="H17" s="339">
        <f>VLOOKUP(D47,$P$44:$Q$46,2,FALSE)</f>
        <v>85</v>
      </c>
      <c r="I17" s="339">
        <f>Zwischenrechnung!F25</f>
        <v>10</v>
      </c>
      <c r="J17" s="339">
        <f t="shared" si="2"/>
        <v>10.491774806064372</v>
      </c>
      <c r="K17" s="339">
        <f t="shared" si="6"/>
        <v>3.1475324418193114</v>
      </c>
      <c r="L17" s="339">
        <v>32</v>
      </c>
      <c r="M17" s="339">
        <f t="shared" si="3"/>
        <v>0</v>
      </c>
      <c r="N17" s="73" t="s">
        <v>363</v>
      </c>
      <c r="O17" s="339">
        <f t="shared" si="4"/>
        <v>0</v>
      </c>
      <c r="P17" s="339">
        <f t="shared" si="4"/>
        <v>0</v>
      </c>
      <c r="Q17" s="339">
        <f t="shared" si="4"/>
        <v>0</v>
      </c>
      <c r="R17" s="339">
        <f t="shared" si="4"/>
        <v>0</v>
      </c>
      <c r="S17" s="339">
        <f t="shared" si="4"/>
        <v>0</v>
      </c>
    </row>
    <row r="18" spans="1:19">
      <c r="A18" s="76" t="s">
        <v>211</v>
      </c>
      <c r="B18" s="79">
        <v>9</v>
      </c>
      <c r="C18" s="79">
        <v>210</v>
      </c>
      <c r="D18" s="79">
        <f t="shared" si="5"/>
        <v>105</v>
      </c>
      <c r="E18" s="79">
        <f t="shared" si="1"/>
        <v>0</v>
      </c>
      <c r="F18" s="79">
        <f>Zwischenrechnung!D26</f>
        <v>100</v>
      </c>
      <c r="G18" s="79">
        <f t="shared" si="9"/>
        <v>85</v>
      </c>
      <c r="H18" s="79">
        <f>VLOOKUP(H49,$P$44:$Q$46,2,FALSE)</f>
        <v>180</v>
      </c>
      <c r="I18" s="79">
        <f>Zwischenrechnung!F26</f>
        <v>10</v>
      </c>
      <c r="J18" s="79">
        <f t="shared" si="2"/>
        <v>10.491774806064372</v>
      </c>
      <c r="K18" s="79">
        <f t="shared" si="6"/>
        <v>12.367115938864831</v>
      </c>
      <c r="L18" s="79">
        <v>32</v>
      </c>
      <c r="M18" s="79">
        <f t="shared" si="3"/>
        <v>0</v>
      </c>
      <c r="N18" s="76" t="s">
        <v>211</v>
      </c>
      <c r="O18" s="79">
        <f t="shared" si="4"/>
        <v>0</v>
      </c>
      <c r="P18" s="79">
        <f t="shared" si="4"/>
        <v>0</v>
      </c>
      <c r="Q18" s="79">
        <f t="shared" si="4"/>
        <v>0</v>
      </c>
      <c r="R18" s="79">
        <f t="shared" si="4"/>
        <v>0</v>
      </c>
      <c r="S18" s="79">
        <f t="shared" si="4"/>
        <v>0</v>
      </c>
    </row>
    <row r="19" spans="1:19">
      <c r="A19" s="62" t="s">
        <v>215</v>
      </c>
      <c r="B19" s="65">
        <v>9</v>
      </c>
      <c r="C19" s="65">
        <v>210</v>
      </c>
      <c r="D19" s="65">
        <f t="shared" si="5"/>
        <v>105</v>
      </c>
      <c r="E19" s="65">
        <f t="shared" si="1"/>
        <v>0</v>
      </c>
      <c r="F19" s="65">
        <f>Zwischenrechnung!D27</f>
        <v>100</v>
      </c>
      <c r="G19" s="65">
        <f t="shared" si="9"/>
        <v>85</v>
      </c>
      <c r="H19" s="65">
        <f>VLOOKUP(H51,$P$44:$Q$46,2,FALSE)</f>
        <v>180</v>
      </c>
      <c r="I19" s="65">
        <f>Zwischenrechnung!F27</f>
        <v>10</v>
      </c>
      <c r="J19" s="65">
        <f t="shared" si="2"/>
        <v>10.491774806064372</v>
      </c>
      <c r="K19" s="65">
        <f t="shared" si="6"/>
        <v>12.367115938864831</v>
      </c>
      <c r="L19" s="65">
        <v>32</v>
      </c>
      <c r="M19" s="65">
        <f t="shared" si="3"/>
        <v>0</v>
      </c>
      <c r="N19" s="62" t="s">
        <v>215</v>
      </c>
      <c r="O19" s="65">
        <f t="shared" si="4"/>
        <v>0</v>
      </c>
      <c r="P19" s="65">
        <f t="shared" si="4"/>
        <v>0</v>
      </c>
      <c r="Q19" s="65">
        <f t="shared" si="4"/>
        <v>0</v>
      </c>
      <c r="R19" s="65">
        <f t="shared" si="4"/>
        <v>0</v>
      </c>
      <c r="S19" s="65">
        <f t="shared" si="4"/>
        <v>0</v>
      </c>
    </row>
    <row r="20" spans="1:19" ht="18">
      <c r="I20" s="215" t="s">
        <v>213</v>
      </c>
      <c r="J20" s="216">
        <v>90</v>
      </c>
      <c r="K20" s="216">
        <f>90-Bemessung!B34</f>
        <v>0</v>
      </c>
      <c r="L20" s="216"/>
      <c r="N20" s="62" t="s">
        <v>352</v>
      </c>
      <c r="O20" s="235">
        <f>Bemessung!G24</f>
        <v>1.3</v>
      </c>
      <c r="P20" s="52"/>
      <c r="Q20" s="52"/>
      <c r="R20" s="52"/>
    </row>
    <row r="21" spans="1:19" ht="18">
      <c r="A21" s="81" t="s">
        <v>37</v>
      </c>
      <c r="B21" s="82">
        <f>MIN(Bemessung!B36,590)</f>
        <v>385</v>
      </c>
      <c r="C21" t="s">
        <v>38</v>
      </c>
      <c r="D21" s="83" t="str">
        <f>Bemessung!B35</f>
        <v>GL24h</v>
      </c>
      <c r="E21" t="s">
        <v>313</v>
      </c>
      <c r="I21" s="215" t="s">
        <v>212</v>
      </c>
      <c r="J21">
        <v>1</v>
      </c>
      <c r="K21" s="224">
        <f>IF(K20&gt;45,1,0.6+0.4*K20/45)</f>
        <v>0.6</v>
      </c>
      <c r="L21" s="215" t="s">
        <v>231</v>
      </c>
      <c r="P21" s="52"/>
      <c r="Q21" s="52"/>
      <c r="R21" s="52"/>
    </row>
    <row r="22" spans="1:19" ht="18.75">
      <c r="A22" s="81" t="s">
        <v>37</v>
      </c>
      <c r="B22" s="82">
        <f>Bemessung!B38</f>
        <v>385</v>
      </c>
      <c r="C22" t="s">
        <v>38</v>
      </c>
      <c r="D22" s="83" t="str">
        <f>Bemessung!B37</f>
        <v>GL24h</v>
      </c>
      <c r="E22" t="s">
        <v>314</v>
      </c>
      <c r="I22" s="215" t="s">
        <v>212</v>
      </c>
      <c r="J22">
        <v>1</v>
      </c>
      <c r="K22" s="224">
        <f>IF(K20&gt;45,1,0.3+0.7*K20/45)</f>
        <v>0.3</v>
      </c>
      <c r="L22" s="215" t="s">
        <v>232</v>
      </c>
      <c r="N22" s="180" t="s">
        <v>179</v>
      </c>
      <c r="O22">
        <f>Bemessung!E83</f>
        <v>0</v>
      </c>
      <c r="P22" s="52"/>
      <c r="Q22" s="52"/>
      <c r="R22" s="52"/>
    </row>
    <row r="23" spans="1:19" ht="18.75">
      <c r="N23" s="180" t="s">
        <v>180</v>
      </c>
      <c r="O23" s="181">
        <f>Bemessung!B80</f>
        <v>40</v>
      </c>
      <c r="P23" s="182" t="s">
        <v>181</v>
      </c>
      <c r="Q23" s="124">
        <f>Bemessung!B80</f>
        <v>40</v>
      </c>
      <c r="R23" s="52"/>
    </row>
    <row r="25" spans="1:19" ht="26.25">
      <c r="A25" s="51" t="s">
        <v>39</v>
      </c>
      <c r="N25" s="54" t="s">
        <v>24</v>
      </c>
      <c r="O25" s="161" t="s">
        <v>182</v>
      </c>
      <c r="P25" s="161" t="s">
        <v>183</v>
      </c>
      <c r="Q25" s="161" t="s">
        <v>184</v>
      </c>
    </row>
    <row r="26" spans="1:19">
      <c r="N26" s="62" t="s">
        <v>366</v>
      </c>
      <c r="O26" s="65">
        <v>59</v>
      </c>
      <c r="P26" s="65">
        <f t="shared" ref="P26:P35" si="11">MIN($O$22/2-$Q$23,$O$22/2-$O$23,O26-$O$22/2+$Q$23,O26-$O$22/2+$O$23)</f>
        <v>-40</v>
      </c>
      <c r="Q26" s="65">
        <f>IF(Bemessung!$B$28="RICON S 140/60 VS min",O26/(O26-P26),0)*2</f>
        <v>0</v>
      </c>
    </row>
    <row r="27" spans="1:19" ht="19.5" thickBot="1">
      <c r="A27" s="53" t="s">
        <v>23</v>
      </c>
      <c r="D27" s="84"/>
      <c r="N27" s="67" t="s">
        <v>365</v>
      </c>
      <c r="O27" s="70">
        <v>60</v>
      </c>
      <c r="P27" s="70">
        <f t="shared" si="11"/>
        <v>-40</v>
      </c>
      <c r="Q27" s="70">
        <f>IF(Bemessung!$B$28="RICON S 140/60 VS st",O27/(O27-P27),0)*2</f>
        <v>0</v>
      </c>
      <c r="R27" s="52"/>
    </row>
    <row r="28" spans="1:19" ht="18.75">
      <c r="A28" s="53"/>
      <c r="D28" s="84"/>
      <c r="N28" s="331" t="s">
        <v>358</v>
      </c>
      <c r="O28" s="338">
        <v>119</v>
      </c>
      <c r="P28" s="338">
        <f t="shared" si="11"/>
        <v>-40</v>
      </c>
      <c r="Q28" s="338">
        <f>IF(Bemessung!$B$28="RICON S 200/60 VS min",O28/(O28-P28),0)*2</f>
        <v>0</v>
      </c>
      <c r="R28" s="52"/>
    </row>
    <row r="29" spans="1:19" ht="18.75" thickBot="1">
      <c r="A29" s="85" t="s">
        <v>93</v>
      </c>
      <c r="B29" s="86">
        <f>B21</f>
        <v>385</v>
      </c>
      <c r="C29" s="87" t="s">
        <v>38</v>
      </c>
      <c r="D29" s="86" t="str">
        <f>Bemessung!B35</f>
        <v>GL24h</v>
      </c>
      <c r="E29" t="s">
        <v>313</v>
      </c>
      <c r="N29" s="73" t="s">
        <v>359</v>
      </c>
      <c r="O29" s="339">
        <v>120</v>
      </c>
      <c r="P29" s="339">
        <f t="shared" si="11"/>
        <v>-40</v>
      </c>
      <c r="Q29" s="339">
        <f>IF(Bemessung!$B$28="RICON S 200/60 VS st",O29/(O29-P29),0)*2</f>
        <v>0</v>
      </c>
      <c r="R29" s="52"/>
    </row>
    <row r="30" spans="1:19" ht="18">
      <c r="A30" s="85" t="s">
        <v>93</v>
      </c>
      <c r="B30" s="86">
        <f>Bemessung!$B$38</f>
        <v>385</v>
      </c>
      <c r="C30" t="s">
        <v>38</v>
      </c>
      <c r="D30" s="86" t="str">
        <f>Bemessung!$B$37</f>
        <v>GL24h</v>
      </c>
      <c r="E30" t="s">
        <v>314</v>
      </c>
      <c r="N30" s="76" t="s">
        <v>360</v>
      </c>
      <c r="O30" s="79">
        <v>119</v>
      </c>
      <c r="P30" s="79">
        <f t="shared" si="11"/>
        <v>-40</v>
      </c>
      <c r="Q30" s="79">
        <f>IF(Bemessung!$B$28="RICON S 200/80 VS min",O30/(O30-P30),0)*2</f>
        <v>0</v>
      </c>
      <c r="R30" s="52"/>
    </row>
    <row r="31" spans="1:19" ht="18.75" thickBot="1">
      <c r="A31" s="85" t="s">
        <v>94</v>
      </c>
      <c r="B31" s="86">
        <f>Zwischenrechnung!L23*1000</f>
        <v>35000</v>
      </c>
      <c r="C31" s="86">
        <f>Zwischenrechnung!L19*1000</f>
        <v>20000</v>
      </c>
      <c r="D31" s="87" t="s">
        <v>40</v>
      </c>
      <c r="E31" s="87" t="str">
        <f>Bemessung!B39</f>
        <v>ETA-10/0189</v>
      </c>
      <c r="N31" s="67" t="s">
        <v>361</v>
      </c>
      <c r="O31" s="70">
        <v>120</v>
      </c>
      <c r="P31" s="70">
        <f t="shared" si="11"/>
        <v>-40</v>
      </c>
      <c r="Q31" s="70">
        <f>IF(Bemessung!$B$28="RICON S 200/80 VS st",O31/(O31-P31),0)*2</f>
        <v>1.5</v>
      </c>
      <c r="R31" s="52"/>
    </row>
    <row r="32" spans="1:19">
      <c r="A32" s="85" t="s">
        <v>41</v>
      </c>
      <c r="B32" s="87">
        <v>10</v>
      </c>
      <c r="C32" s="87">
        <v>8</v>
      </c>
      <c r="D32" s="87" t="s">
        <v>42</v>
      </c>
      <c r="N32" s="331" t="s">
        <v>362</v>
      </c>
      <c r="O32" s="338">
        <v>209</v>
      </c>
      <c r="P32" s="338">
        <f t="shared" si="11"/>
        <v>-40</v>
      </c>
      <c r="Q32" s="338">
        <f>IF(Bemessung!$B$28="RICON S 290/80 VS min",O32/(O32-P32),0)*2</f>
        <v>0</v>
      </c>
      <c r="R32" s="52"/>
    </row>
    <row r="33" spans="1:18" ht="18.75" thickBot="1">
      <c r="A33" s="85" t="s">
        <v>95</v>
      </c>
      <c r="B33" s="446">
        <f>0.082*$B$32^-0.3*$B$29/(2.5*COS(RADIANS($K$20))^2+SIN(RADIANS($K$20))^2)</f>
        <v>6.3289923862451936</v>
      </c>
      <c r="C33" s="446">
        <f>0.082*$C$32^-0.3*$B$29/(2.5*COS(RADIANS($K$20))^2+SIN(RADIANS($K$20))^2)</f>
        <v>6.767177642454155</v>
      </c>
      <c r="D33" s="87" t="s">
        <v>15</v>
      </c>
      <c r="N33" s="73" t="s">
        <v>363</v>
      </c>
      <c r="O33" s="339">
        <v>210</v>
      </c>
      <c r="P33" s="339">
        <f t="shared" si="11"/>
        <v>-40</v>
      </c>
      <c r="Q33" s="339">
        <f>IF(Bemessung!$B$28="RICON S 290/80 VS st",O33/(O33-P33),0)*2</f>
        <v>0</v>
      </c>
      <c r="R33" s="52"/>
    </row>
    <row r="34" spans="1:18" ht="18">
      <c r="A34" s="85" t="s">
        <v>96</v>
      </c>
      <c r="B34" s="88">
        <f>0.082*$B$32^-0.3*$B$30</f>
        <v>15.822480965612984</v>
      </c>
      <c r="C34" s="88">
        <f>0.082*$C$32^-0.3*$B$30</f>
        <v>16.917944106135387</v>
      </c>
      <c r="D34" s="87" t="s">
        <v>15</v>
      </c>
      <c r="N34" s="76" t="s">
        <v>211</v>
      </c>
      <c r="O34" s="79">
        <v>270</v>
      </c>
      <c r="P34" s="79">
        <f t="shared" si="11"/>
        <v>-40</v>
      </c>
      <c r="Q34" s="79">
        <f>IF(Bemessung!$B$28="RICON S 390x80 VS+ZP",O34/(O34-P34),0)*2</f>
        <v>0</v>
      </c>
      <c r="R34" s="52"/>
    </row>
    <row r="35" spans="1:18">
      <c r="D35" s="84"/>
      <c r="N35" s="62" t="s">
        <v>215</v>
      </c>
      <c r="O35" s="65">
        <v>270</v>
      </c>
      <c r="P35" s="65">
        <f t="shared" si="11"/>
        <v>-40</v>
      </c>
      <c r="Q35" s="65">
        <f>IF(Bemessung!$B$28="RICON S 390x80 VS+ZP max",O35/(O35-P35),0)*2</f>
        <v>0</v>
      </c>
      <c r="R35" s="52"/>
    </row>
    <row r="36" spans="1:18">
      <c r="D36" s="84"/>
    </row>
    <row r="37" spans="1:18">
      <c r="O37" s="377" t="s">
        <v>415</v>
      </c>
      <c r="P37" s="378"/>
      <c r="Q37" s="379"/>
    </row>
    <row r="38" spans="1:18" ht="18.75">
      <c r="A38" s="54" t="s">
        <v>24</v>
      </c>
      <c r="B38" s="55" t="s">
        <v>43</v>
      </c>
      <c r="C38" s="55" t="s">
        <v>31</v>
      </c>
      <c r="D38" s="222" t="s">
        <v>414</v>
      </c>
      <c r="E38" s="55" t="s">
        <v>44</v>
      </c>
      <c r="F38" s="55" t="s">
        <v>45</v>
      </c>
      <c r="G38" s="55" t="s">
        <v>46</v>
      </c>
      <c r="H38" s="55" t="s">
        <v>47</v>
      </c>
      <c r="J38" s="52"/>
      <c r="K38" s="52"/>
      <c r="O38" s="359" t="s">
        <v>122</v>
      </c>
      <c r="P38" s="359" t="s">
        <v>152</v>
      </c>
      <c r="Q38" s="359" t="s">
        <v>389</v>
      </c>
    </row>
    <row r="39" spans="1:18">
      <c r="A39" s="58"/>
      <c r="B39" s="59" t="s">
        <v>36</v>
      </c>
      <c r="C39" s="59" t="s">
        <v>13</v>
      </c>
      <c r="D39" s="59" t="s">
        <v>13</v>
      </c>
      <c r="E39" s="59" t="s">
        <v>13</v>
      </c>
      <c r="F39" s="59" t="s">
        <v>35</v>
      </c>
      <c r="G39" s="59" t="s">
        <v>35</v>
      </c>
      <c r="H39" s="89" t="s">
        <v>35</v>
      </c>
      <c r="J39" s="52"/>
      <c r="K39" s="52"/>
      <c r="O39" s="359">
        <v>8</v>
      </c>
      <c r="P39" s="359">
        <v>80</v>
      </c>
      <c r="Q39" s="359">
        <v>70</v>
      </c>
    </row>
    <row r="40" spans="1:18" ht="19.5">
      <c r="A40" s="62" t="s">
        <v>366</v>
      </c>
      <c r="B40" s="340">
        <f>Zwischenrechnung!E18</f>
        <v>7</v>
      </c>
      <c r="C40" s="340">
        <f>Zwischenrechnung!F18</f>
        <v>8</v>
      </c>
      <c r="D40" s="340">
        <f>Zwischenrechnung!G18</f>
        <v>160</v>
      </c>
      <c r="E40" s="340">
        <f>VLOOKUP(D40,$P$39:$Q$41,2,FALSE)</f>
        <v>145</v>
      </c>
      <c r="F40" s="65">
        <f>(IF(E40&gt;=100,$J$53,$J$54)*0.52*SQRT(C40)*E40^0.9*$B$29^0.8)/1000</f>
        <v>9.1054072130615449</v>
      </c>
      <c r="G40" s="65">
        <f>MIN($C$32*$C$33*E40/1000,(2.3*SQRT($C$31*$C$32*$C$33))/1000+(F40/4),$C$32*$C$33*E40/1000*(SQRT(2+4*$C$31/($C$32*$C$33*E40^2))-1)+F40/4)</f>
        <v>4.6696213569457061</v>
      </c>
      <c r="H40" s="65">
        <f t="shared" ref="H40:H47" si="12">B40^0.9*G40</f>
        <v>26.907286476487887</v>
      </c>
      <c r="I40" s="90" t="s">
        <v>140</v>
      </c>
      <c r="O40" s="359">
        <v>8</v>
      </c>
      <c r="P40" s="359">
        <v>160</v>
      </c>
      <c r="Q40" s="359">
        <v>145</v>
      </c>
    </row>
    <row r="41" spans="1:18" ht="20.25" thickBot="1">
      <c r="A41" s="67" t="s">
        <v>365</v>
      </c>
      <c r="B41" s="341">
        <f>Zwischenrechnung!E19</f>
        <v>10</v>
      </c>
      <c r="C41" s="341">
        <f>Zwischenrechnung!F19</f>
        <v>8</v>
      </c>
      <c r="D41" s="341">
        <f>Zwischenrechnung!G19</f>
        <v>160</v>
      </c>
      <c r="E41" s="341">
        <f>VLOOKUP(D41,$P$39:$Q$41,2,FALSE)</f>
        <v>145</v>
      </c>
      <c r="F41" s="70">
        <f t="shared" ref="F41:F47" si="13">(IF(E41&gt;=100,$J$53,$J$54)*0.52*SQRT(C41)*E41^0.9*$B$29^0.8)/1000</f>
        <v>9.1054072130615449</v>
      </c>
      <c r="G41" s="70">
        <f>MIN($C$32*$C$33*E41/1000,(2.3*SQRT($C$31*$C$32*$C$33))/1000+(F41/4),$C$32*$C$33*E41/1000*(SQRT(2+4*$C$31/($C$32*$C$33*E41^2))-1)+F41/4)</f>
        <v>4.6696213569457061</v>
      </c>
      <c r="H41" s="70">
        <f t="shared" si="12"/>
        <v>37.092120892934879</v>
      </c>
      <c r="I41" s="90" t="s">
        <v>140</v>
      </c>
      <c r="O41" s="359">
        <v>8</v>
      </c>
      <c r="P41" s="359">
        <v>240</v>
      </c>
      <c r="Q41" s="359">
        <v>225</v>
      </c>
    </row>
    <row r="42" spans="1:18" ht="19.5">
      <c r="A42" s="331" t="s">
        <v>358</v>
      </c>
      <c r="B42" s="342">
        <f>Zwischenrechnung!E20</f>
        <v>8</v>
      </c>
      <c r="C42" s="342">
        <f>Zwischenrechnung!F20</f>
        <v>8</v>
      </c>
      <c r="D42" s="342">
        <f>Zwischenrechnung!G20</f>
        <v>160</v>
      </c>
      <c r="E42" s="342">
        <f>VLOOKUP(D42,$P$39:$Q$41,2,FALSE)</f>
        <v>145</v>
      </c>
      <c r="F42" s="338">
        <f t="shared" si="13"/>
        <v>9.1054072130615449</v>
      </c>
      <c r="G42" s="338">
        <f>MIN($C$32*$C$33*E42/1000,(2.3*SQRT($C$31*$C$32*$C$33))/1000+(F42/4),$C$32*$C$33*E42/1000*(SQRT(2+4*$C$31/($C$32*$C$33*E42^2))-1)+F42/4)</f>
        <v>4.6696213569457061</v>
      </c>
      <c r="H42" s="338">
        <f t="shared" si="12"/>
        <v>30.343289098043243</v>
      </c>
      <c r="I42" s="90" t="s">
        <v>140</v>
      </c>
      <c r="O42" s="380" t="s">
        <v>416</v>
      </c>
      <c r="P42" s="380"/>
      <c r="Q42" s="380"/>
      <c r="R42" s="215" t="s">
        <v>421</v>
      </c>
    </row>
    <row r="43" spans="1:18" ht="20.25" thickBot="1">
      <c r="A43" s="73" t="s">
        <v>359</v>
      </c>
      <c r="B43" s="343">
        <f>Zwischenrechnung!E21</f>
        <v>16</v>
      </c>
      <c r="C43" s="343">
        <f>Zwischenrechnung!F21</f>
        <v>8</v>
      </c>
      <c r="D43" s="343">
        <f>Zwischenrechnung!G21</f>
        <v>160</v>
      </c>
      <c r="E43" s="343">
        <f>VLOOKUP(D43,$P$39:$Q$41,2,FALSE)</f>
        <v>145</v>
      </c>
      <c r="F43" s="339">
        <f t="shared" si="13"/>
        <v>9.1054072130615449</v>
      </c>
      <c r="G43" s="339">
        <f>MIN($C$32*$C$33*E43/1000,(2.3*SQRT($C$31*$C$32*$C$33))/1000+(F43/4),$C$32*$C$33*E43/1000*(SQRT(2+4*$C$31/($C$32*$C$33*E43^2))-1)+F43/4)</f>
        <v>4.6696213569457061</v>
      </c>
      <c r="H43" s="339">
        <f t="shared" si="12"/>
        <v>56.622579600426967</v>
      </c>
      <c r="I43" s="90" t="s">
        <v>140</v>
      </c>
      <c r="O43" s="359" t="s">
        <v>122</v>
      </c>
      <c r="P43" s="359" t="s">
        <v>152</v>
      </c>
      <c r="Q43" s="359" t="s">
        <v>389</v>
      </c>
      <c r="R43" s="359" t="s">
        <v>389</v>
      </c>
    </row>
    <row r="44" spans="1:18" ht="19.5">
      <c r="A44" s="76" t="s">
        <v>360</v>
      </c>
      <c r="B44" s="344">
        <f>Zwischenrechnung!E22</f>
        <v>8</v>
      </c>
      <c r="C44" s="344">
        <f>Zwischenrechnung!F22</f>
        <v>10</v>
      </c>
      <c r="D44" s="344">
        <f>Zwischenrechnung!G22</f>
        <v>200</v>
      </c>
      <c r="E44" s="344">
        <f>VLOOKUP(D44,$P$44:$Q$46,2,FALSE)</f>
        <v>180</v>
      </c>
      <c r="F44" s="79">
        <f t="shared" si="13"/>
        <v>12.367115938864831</v>
      </c>
      <c r="G44" s="79">
        <f t="shared" ref="G44:G47" si="14">MIN($B$32*$B$33*E44/1000,(2.3*SQRT($B$31*$B$32*$B$33))/1000+(F44/4),$B$32*$B$33*E44/1000*(SQRT(2+4*$B$31/($B$32*$B$33*E44^2))-1)+F44/4)</f>
        <v>6.5149543239492091</v>
      </c>
      <c r="H44" s="79">
        <f t="shared" si="12"/>
        <v>42.334298094233297</v>
      </c>
      <c r="I44" s="90" t="s">
        <v>140</v>
      </c>
      <c r="O44" s="359">
        <v>10</v>
      </c>
      <c r="P44" s="359">
        <v>100</v>
      </c>
      <c r="Q44" s="359">
        <v>85</v>
      </c>
      <c r="R44" s="359">
        <f>P44-25</f>
        <v>75</v>
      </c>
    </row>
    <row r="45" spans="1:18" ht="20.25" thickBot="1">
      <c r="A45" s="67" t="s">
        <v>361</v>
      </c>
      <c r="B45" s="341">
        <f>Zwischenrechnung!E23</f>
        <v>16</v>
      </c>
      <c r="C45" s="341">
        <f>Zwischenrechnung!F23</f>
        <v>10</v>
      </c>
      <c r="D45" s="341">
        <f>Zwischenrechnung!G23</f>
        <v>300</v>
      </c>
      <c r="E45" s="341">
        <f>VLOOKUP(D45,$P$44:$Q$46,2,FALSE)</f>
        <v>280</v>
      </c>
      <c r="F45" s="70">
        <f t="shared" si="13"/>
        <v>18.406253787508255</v>
      </c>
      <c r="G45" s="70">
        <f t="shared" si="14"/>
        <v>8.0247387861100652</v>
      </c>
      <c r="H45" s="70">
        <f t="shared" si="12"/>
        <v>97.305836160204535</v>
      </c>
      <c r="I45" s="90" t="s">
        <v>140</v>
      </c>
      <c r="O45" s="359">
        <v>10</v>
      </c>
      <c r="P45" s="359">
        <v>200</v>
      </c>
      <c r="Q45" s="359">
        <v>180</v>
      </c>
      <c r="R45" s="359">
        <f t="shared" ref="R45:R46" si="15">P45-25</f>
        <v>175</v>
      </c>
    </row>
    <row r="46" spans="1:18" ht="19.5">
      <c r="A46" s="331" t="s">
        <v>362</v>
      </c>
      <c r="B46" s="342">
        <f>Zwischenrechnung!E24</f>
        <v>8</v>
      </c>
      <c r="C46" s="342">
        <f>Zwischenrechnung!F24</f>
        <v>10</v>
      </c>
      <c r="D46" s="342">
        <f>Zwischenrechnung!G24</f>
        <v>200</v>
      </c>
      <c r="E46" s="342">
        <f>VLOOKUP(D46,$P$44:$Q$46,2,FALSE)</f>
        <v>180</v>
      </c>
      <c r="F46" s="338">
        <f t="shared" si="13"/>
        <v>12.367115938864831</v>
      </c>
      <c r="G46" s="338">
        <f t="shared" si="14"/>
        <v>6.5149543239492091</v>
      </c>
      <c r="H46" s="338">
        <f t="shared" si="12"/>
        <v>42.334298094233297</v>
      </c>
      <c r="I46" s="90" t="s">
        <v>140</v>
      </c>
      <c r="O46" s="359">
        <v>10</v>
      </c>
      <c r="P46" s="359">
        <v>300</v>
      </c>
      <c r="Q46" s="359">
        <v>280</v>
      </c>
      <c r="R46" s="359">
        <f t="shared" si="15"/>
        <v>275</v>
      </c>
    </row>
    <row r="47" spans="1:18" ht="20.25" thickBot="1">
      <c r="A47" s="73" t="s">
        <v>363</v>
      </c>
      <c r="B47" s="343">
        <f>Zwischenrechnung!E25</f>
        <v>25</v>
      </c>
      <c r="C47" s="343">
        <f>Zwischenrechnung!F25</f>
        <v>10</v>
      </c>
      <c r="D47" s="343">
        <f>Zwischenrechnung!G25</f>
        <v>100</v>
      </c>
      <c r="E47" s="343">
        <f>VLOOKUP(D47,$P$44:$Q$46,2,FALSE)</f>
        <v>85</v>
      </c>
      <c r="F47" s="339">
        <f t="shared" si="13"/>
        <v>3.1475324418193114</v>
      </c>
      <c r="G47" s="339">
        <f t="shared" si="14"/>
        <v>3.576800055273746</v>
      </c>
      <c r="H47" s="339">
        <f t="shared" si="12"/>
        <v>64.80979852759171</v>
      </c>
      <c r="I47" s="404" t="s">
        <v>140</v>
      </c>
    </row>
    <row r="48" spans="1:18" ht="20.25" thickBot="1">
      <c r="A48" s="394"/>
      <c r="B48" s="395" t="s">
        <v>422</v>
      </c>
      <c r="C48" s="395" t="s">
        <v>426</v>
      </c>
      <c r="D48" s="400" t="s">
        <v>43</v>
      </c>
      <c r="E48" s="396" t="s">
        <v>423</v>
      </c>
      <c r="F48" s="395" t="s">
        <v>425</v>
      </c>
      <c r="G48" s="402" t="s">
        <v>31</v>
      </c>
      <c r="H48" s="401" t="s">
        <v>414</v>
      </c>
      <c r="I48" s="403" t="s">
        <v>44</v>
      </c>
      <c r="J48" s="403" t="s">
        <v>45</v>
      </c>
      <c r="K48" s="403" t="s">
        <v>46</v>
      </c>
      <c r="L48" s="397" t="s">
        <v>424</v>
      </c>
      <c r="M48" s="397" t="s">
        <v>429</v>
      </c>
    </row>
    <row r="49" spans="1:37" ht="23.25" customHeight="1">
      <c r="A49" s="525" t="s">
        <v>211</v>
      </c>
      <c r="B49" s="528">
        <f>D49+D50</f>
        <v>28</v>
      </c>
      <c r="C49" s="528">
        <f>B49^0.9</f>
        <v>20.065141567878999</v>
      </c>
      <c r="D49" s="344">
        <f>Zwischenrechnung!$E$26-3</f>
        <v>25</v>
      </c>
      <c r="E49" s="406">
        <f>D49/B49</f>
        <v>0.8928571428571429</v>
      </c>
      <c r="F49" s="388">
        <f>$C$49*E49</f>
        <v>17.915304971320538</v>
      </c>
      <c r="G49" s="344">
        <f>Zwischenrechnung!$F$26</f>
        <v>10</v>
      </c>
      <c r="H49" s="344">
        <f>Zwischenrechnung!$G$26</f>
        <v>200</v>
      </c>
      <c r="I49" s="344">
        <f>VLOOKUP(H49,$P$44:$Q$46,2,FALSE)</f>
        <v>180</v>
      </c>
      <c r="J49" s="234">
        <f>(IF(I49&gt;=100,$J$53,$J$54)*0.52*SQRT(G49)*I49^0.9*$B$29^0.8)/1000</f>
        <v>12.367115938864831</v>
      </c>
      <c r="K49" s="234">
        <f>MIN($B$32*$B$33*I49/1000,(2.3*SQRT($B$31*$B$32*$B$33))/1000+(J49/4),$B$32*$B$33*I49/1000*(SQRT(2+4*$B$31/($B$32*$B$33*I49^2))-1)+J49/4)</f>
        <v>6.5149543239492091</v>
      </c>
      <c r="L49" s="389">
        <f>F49*K49</f>
        <v>116.7173935877735</v>
      </c>
      <c r="M49" s="522">
        <f>L49+L50</f>
        <v>130.55707715016831</v>
      </c>
      <c r="U49" s="91"/>
      <c r="V49" s="92"/>
      <c r="W49" s="92"/>
      <c r="X49" s="92"/>
      <c r="Y49" s="91"/>
      <c r="Z49" s="91"/>
      <c r="AA49" s="91"/>
      <c r="AB49" s="91"/>
      <c r="AD49" s="91"/>
      <c r="AE49" s="92"/>
      <c r="AF49" s="92"/>
      <c r="AG49" s="92"/>
      <c r="AH49" s="91"/>
      <c r="AI49" s="91"/>
      <c r="AJ49" s="91"/>
      <c r="AK49" s="91"/>
    </row>
    <row r="50" spans="1:37" ht="23.25" customHeight="1" thickBot="1">
      <c r="A50" s="526"/>
      <c r="B50" s="529"/>
      <c r="C50" s="529"/>
      <c r="D50" s="341">
        <f>Zwischenrechnung!$E$26-D49</f>
        <v>3</v>
      </c>
      <c r="E50" s="407">
        <f>D50/B49</f>
        <v>0.10714285714285714</v>
      </c>
      <c r="F50" s="391">
        <f>$C$49*E50</f>
        <v>2.149836596558464</v>
      </c>
      <c r="G50" s="341">
        <f>Zwischenrechnung!$F$26</f>
        <v>10</v>
      </c>
      <c r="H50" s="341">
        <f>Zwischenrechnung!$G$26</f>
        <v>200</v>
      </c>
      <c r="I50" s="341">
        <f>VLOOKUP(H50,$P$44:$R$46,3,FALSE)</f>
        <v>175</v>
      </c>
      <c r="J50" s="233">
        <f>(IF(I50&gt;=100,$J$53,$J$54)*0.52*SQRT(G50)*I50^0.9*$B$29^0.8)/1000</f>
        <v>12.057504188084518</v>
      </c>
      <c r="K50" s="233">
        <f t="shared" ref="K50" si="16">MIN($B$32*$B$33*I50/1000,(2.3*SQRT($B$31*$B$32*$B$33))/1000+(J50/4),$B$32*$B$33*I50/1000*(SQRT(2+4*$B$31/($B$32*$B$33*I50^2))-1)+J50/4)</f>
        <v>6.4375513862541309</v>
      </c>
      <c r="L50" s="392">
        <f>F50*K50</f>
        <v>13.839683562394804</v>
      </c>
      <c r="M50" s="530"/>
      <c r="U50" s="91"/>
      <c r="V50" s="92"/>
      <c r="W50" s="92"/>
      <c r="X50" s="92"/>
      <c r="Y50" s="91"/>
      <c r="Z50" s="91"/>
      <c r="AA50" s="91"/>
      <c r="AB50" s="91"/>
      <c r="AD50" s="91"/>
      <c r="AE50" s="92"/>
      <c r="AF50" s="92"/>
      <c r="AG50" s="92"/>
      <c r="AH50" s="91"/>
      <c r="AI50" s="91"/>
      <c r="AJ50" s="91"/>
      <c r="AK50" s="91"/>
    </row>
    <row r="51" spans="1:37" ht="23.25" customHeight="1">
      <c r="A51" s="527" t="s">
        <v>215</v>
      </c>
      <c r="B51" s="528">
        <f>D51+D52</f>
        <v>28</v>
      </c>
      <c r="C51" s="528">
        <f>B51^0.9</f>
        <v>20.065141567878999</v>
      </c>
      <c r="D51" s="375">
        <f>Zwischenrechnung!$E$27-3</f>
        <v>25</v>
      </c>
      <c r="E51" s="408">
        <f>D51/B51</f>
        <v>0.8928571428571429</v>
      </c>
      <c r="F51" s="385">
        <f>$C$51*E51</f>
        <v>17.915304971320538</v>
      </c>
      <c r="G51" s="375">
        <f>Zwischenrechnung!$F$27</f>
        <v>10</v>
      </c>
      <c r="H51" s="375">
        <f>Zwischenrechnung!$G$27</f>
        <v>200</v>
      </c>
      <c r="I51" s="375">
        <f>VLOOKUP(H51,$P$44:$Q$46,2,FALSE)</f>
        <v>180</v>
      </c>
      <c r="J51" s="427">
        <f>(IF(I51&gt;=100,$J$53,$J$54)*0.52*SQRT(G51)*I51^0.9*$B$29^0.8)/1000</f>
        <v>12.367115938864831</v>
      </c>
      <c r="K51" s="427">
        <f>MIN($B$32*$B$33*I51/1000,(2.3*SQRT($B$31*$B$32*$B$33))/1000+(J51/4),$B$32*$B$33*I51/1000*(SQRT(2+4*$B$31/($B$32*$B$33*I51^2))-1)+J51/4)</f>
        <v>6.5149543239492091</v>
      </c>
      <c r="L51" s="386">
        <f>F51*K51</f>
        <v>116.7173935877735</v>
      </c>
      <c r="M51" s="522">
        <f>L51+L52</f>
        <v>130.55707715016831</v>
      </c>
      <c r="U51" s="91"/>
      <c r="V51" s="92"/>
      <c r="W51" s="92"/>
      <c r="X51" s="92"/>
      <c r="Y51" s="91"/>
      <c r="Z51" s="91"/>
      <c r="AA51" s="91"/>
      <c r="AB51" s="91"/>
      <c r="AD51" s="91"/>
      <c r="AE51" s="92"/>
      <c r="AF51" s="92"/>
      <c r="AG51" s="92"/>
      <c r="AH51" s="91"/>
      <c r="AI51" s="91"/>
      <c r="AJ51" s="91"/>
      <c r="AK51" s="91"/>
    </row>
    <row r="52" spans="1:37" ht="23.25" customHeight="1">
      <c r="A52" s="512"/>
      <c r="B52" s="516"/>
      <c r="C52" s="516"/>
      <c r="D52" s="340">
        <f>Zwischenrechnung!$E$27-D51</f>
        <v>3</v>
      </c>
      <c r="E52" s="409">
        <f>D52/B51</f>
        <v>0.10714285714285714</v>
      </c>
      <c r="F52" s="382">
        <f>$C$51*E52</f>
        <v>2.149836596558464</v>
      </c>
      <c r="G52" s="340">
        <f>Zwischenrechnung!$F$27</f>
        <v>10</v>
      </c>
      <c r="H52" s="340">
        <f>Zwischenrechnung!$G$27</f>
        <v>200</v>
      </c>
      <c r="I52" s="340">
        <f>VLOOKUP(H52,$P$44:$R$46,3,FALSE)</f>
        <v>175</v>
      </c>
      <c r="J52" s="235">
        <f>(IF(I52&gt;=100,$J$53,$J$54)*0.52*SQRT(G52)*I52^0.9*$B$29^0.8)/1000</f>
        <v>12.057504188084518</v>
      </c>
      <c r="K52" s="235">
        <f>MIN($B$32*$B$33*I52/1000,(2.3*SQRT($B$31*$B$32*$B$33))/1000+(J52/4),$B$32*$B$33*I52/1000*(SQRT(2+4*$B$31/($B$32*$B$33*I52^2))-1)+J52/4)</f>
        <v>6.4375513862541309</v>
      </c>
      <c r="L52" s="383">
        <f>F52*K52</f>
        <v>13.839683562394804</v>
      </c>
      <c r="M52" s="523"/>
      <c r="U52" s="91"/>
      <c r="V52" s="92"/>
      <c r="W52" s="92"/>
      <c r="X52" s="92"/>
      <c r="Y52" s="91"/>
      <c r="Z52" s="91"/>
      <c r="AA52" s="91"/>
      <c r="AB52" s="91"/>
      <c r="AD52" s="91"/>
      <c r="AE52" s="92"/>
      <c r="AF52" s="92"/>
      <c r="AG52" s="92"/>
      <c r="AH52" s="91"/>
      <c r="AI52" s="91"/>
      <c r="AJ52" s="91"/>
      <c r="AK52" s="91"/>
    </row>
    <row r="53" spans="1:37" ht="15" customHeight="1">
      <c r="I53" s="215" t="s">
        <v>214</v>
      </c>
      <c r="J53" s="225">
        <f>K21</f>
        <v>0.6</v>
      </c>
      <c r="U53" s="93"/>
      <c r="V53" s="94"/>
      <c r="W53" s="95"/>
      <c r="X53" s="96"/>
      <c r="Y53" s="91"/>
      <c r="Z53" s="91"/>
      <c r="AA53" s="91"/>
      <c r="AB53" s="91"/>
      <c r="AD53" s="93"/>
      <c r="AE53" s="94"/>
      <c r="AF53" s="95"/>
      <c r="AG53" s="96"/>
      <c r="AH53" s="91"/>
      <c r="AI53" s="91"/>
      <c r="AJ53" s="91"/>
      <c r="AK53" s="91"/>
    </row>
    <row r="54" spans="1:37">
      <c r="I54" s="215" t="s">
        <v>214</v>
      </c>
      <c r="J54" s="225">
        <f>K22</f>
        <v>0.3</v>
      </c>
      <c r="U54" s="93"/>
      <c r="V54" s="94"/>
      <c r="W54" s="95"/>
      <c r="X54" s="96"/>
      <c r="Y54" s="97"/>
      <c r="Z54" s="97"/>
      <c r="AA54" s="97"/>
      <c r="AB54" s="97"/>
      <c r="AD54" s="93"/>
      <c r="AE54" s="94"/>
      <c r="AF54" s="95"/>
      <c r="AG54" s="96"/>
      <c r="AH54" s="97"/>
      <c r="AI54" s="97"/>
      <c r="AJ54" s="97"/>
      <c r="AK54" s="97"/>
    </row>
    <row r="55" spans="1:37" ht="18" customHeight="1">
      <c r="A55" s="54" t="s">
        <v>24</v>
      </c>
      <c r="B55" s="55" t="s">
        <v>43</v>
      </c>
      <c r="C55" s="55" t="s">
        <v>31</v>
      </c>
      <c r="D55" s="222" t="s">
        <v>391</v>
      </c>
      <c r="E55" s="55" t="s">
        <v>44</v>
      </c>
      <c r="F55" s="55" t="s">
        <v>48</v>
      </c>
      <c r="G55" s="55" t="s">
        <v>49</v>
      </c>
      <c r="H55" s="55" t="s">
        <v>50</v>
      </c>
      <c r="J55" s="52"/>
      <c r="K55" s="52"/>
      <c r="O55" s="377" t="s">
        <v>401</v>
      </c>
      <c r="P55" s="378"/>
      <c r="Q55" s="379"/>
      <c r="U55" s="98"/>
      <c r="V55" s="92"/>
      <c r="W55" s="99"/>
      <c r="X55" s="100"/>
      <c r="Y55" s="101"/>
      <c r="Z55" s="101"/>
      <c r="AA55" s="101"/>
      <c r="AB55" s="101"/>
      <c r="AD55" s="98"/>
      <c r="AE55" s="92"/>
      <c r="AF55" s="99"/>
      <c r="AG55" s="100"/>
      <c r="AH55" s="102"/>
      <c r="AI55" s="102"/>
      <c r="AJ55" s="102"/>
      <c r="AK55" s="102"/>
    </row>
    <row r="56" spans="1:37" ht="18">
      <c r="A56" s="58"/>
      <c r="B56" s="59" t="s">
        <v>36</v>
      </c>
      <c r="C56" s="59" t="s">
        <v>13</v>
      </c>
      <c r="D56" s="59" t="s">
        <v>13</v>
      </c>
      <c r="E56" s="59" t="s">
        <v>13</v>
      </c>
      <c r="F56" s="59" t="s">
        <v>35</v>
      </c>
      <c r="G56" s="59" t="s">
        <v>35</v>
      </c>
      <c r="H56" s="89" t="s">
        <v>35</v>
      </c>
      <c r="J56" s="52"/>
      <c r="K56" s="52"/>
      <c r="O56" s="359" t="s">
        <v>122</v>
      </c>
      <c r="P56" s="359" t="s">
        <v>152</v>
      </c>
      <c r="Q56" s="359" t="s">
        <v>389</v>
      </c>
      <c r="U56" s="98"/>
      <c r="V56" s="92"/>
      <c r="W56" s="99"/>
      <c r="X56" s="100"/>
      <c r="Y56" s="101"/>
      <c r="Z56" s="101"/>
      <c r="AA56" s="101"/>
      <c r="AB56" s="101"/>
      <c r="AD56" s="98"/>
      <c r="AE56" s="92"/>
      <c r="AF56" s="99"/>
      <c r="AG56" s="100"/>
      <c r="AH56" s="102"/>
      <c r="AI56" s="102"/>
      <c r="AJ56" s="102"/>
      <c r="AK56" s="102"/>
    </row>
    <row r="57" spans="1:37" ht="19.5">
      <c r="A57" s="62" t="s">
        <v>366</v>
      </c>
      <c r="B57" s="340">
        <f>Zwischenrechnung!B18</f>
        <v>7</v>
      </c>
      <c r="C57" s="340">
        <f>Zwischenrechnung!C18</f>
        <v>8</v>
      </c>
      <c r="D57" s="340">
        <f>Zwischenrechnung!D18</f>
        <v>80</v>
      </c>
      <c r="E57" s="340">
        <f>VLOOKUP(D57,$P$57:$Q$58,2,FALSE)</f>
        <v>70</v>
      </c>
      <c r="F57" s="65">
        <f t="shared" ref="F57:F64" si="17">(0.52*SQRT(C57)*E57^0.9*$B$30^0.8)/1000</f>
        <v>7.8796178754106014</v>
      </c>
      <c r="G57" s="65">
        <f>MIN($C$32*$C$34*E57/1000,(2.3*SQRT($C$31*$C$32*$C$34))/1000+(F57/4),$C$32*$C$34*E57/1000*(SQRT(2+4*$C$31/($C$32*$C$34*E57^2))-1)+F57/4)</f>
        <v>5.7539958910348616</v>
      </c>
      <c r="H57" s="65">
        <f t="shared" ref="H57:H64" si="18">B57^0.9*G57</f>
        <v>33.155668091657937</v>
      </c>
      <c r="I57" s="90" t="s">
        <v>139</v>
      </c>
      <c r="O57" s="359">
        <v>8</v>
      </c>
      <c r="P57" s="359">
        <v>80</v>
      </c>
      <c r="Q57" s="359">
        <v>70</v>
      </c>
      <c r="U57" s="98"/>
      <c r="V57" s="92"/>
      <c r="W57" s="99"/>
      <c r="X57" s="100"/>
      <c r="Y57" s="101"/>
      <c r="Z57" s="101"/>
      <c r="AA57" s="101"/>
      <c r="AB57" s="101"/>
      <c r="AD57" s="98"/>
      <c r="AE57" s="92"/>
      <c r="AF57" s="99"/>
      <c r="AG57" s="100"/>
      <c r="AH57" s="102"/>
      <c r="AI57" s="102"/>
      <c r="AJ57" s="102"/>
      <c r="AK57" s="102"/>
    </row>
    <row r="58" spans="1:37" ht="20.25" thickBot="1">
      <c r="A58" s="67" t="s">
        <v>365</v>
      </c>
      <c r="B58" s="341">
        <f>Zwischenrechnung!B19</f>
        <v>10</v>
      </c>
      <c r="C58" s="341">
        <f>Zwischenrechnung!C19</f>
        <v>8</v>
      </c>
      <c r="D58" s="341">
        <f>Zwischenrechnung!D19</f>
        <v>80</v>
      </c>
      <c r="E58" s="341">
        <f>VLOOKUP(D58,$P$57:$Q$58,2,FALSE)</f>
        <v>70</v>
      </c>
      <c r="F58" s="70">
        <f t="shared" si="17"/>
        <v>7.8796178754106014</v>
      </c>
      <c r="G58" s="70">
        <f>MIN($C$32*$C$34*E58/1000,(2.3*SQRT($C$31*$C$32*$C$34))/1000+(F58/4),$C$32*$C$34*E58/1000*(SQRT(2+4*$C$31/($C$32*$C$34*E58^2))-1)+F58/4)</f>
        <v>5.7539958910348616</v>
      </c>
      <c r="H58" s="70">
        <f t="shared" si="18"/>
        <v>45.70561398736492</v>
      </c>
      <c r="I58" s="90" t="s">
        <v>139</v>
      </c>
      <c r="O58" s="359">
        <v>8</v>
      </c>
      <c r="P58" s="359">
        <v>120</v>
      </c>
      <c r="Q58" s="359">
        <v>100</v>
      </c>
      <c r="U58" s="98"/>
      <c r="V58" s="92"/>
      <c r="W58" s="99"/>
      <c r="X58" s="100"/>
      <c r="Y58" s="101"/>
      <c r="Z58" s="101"/>
      <c r="AA58" s="101"/>
      <c r="AB58" s="101"/>
      <c r="AD58" s="98"/>
      <c r="AE58" s="92"/>
      <c r="AF58" s="99"/>
      <c r="AG58" s="100"/>
      <c r="AH58" s="102"/>
      <c r="AI58" s="102"/>
      <c r="AJ58" s="102"/>
      <c r="AK58" s="102"/>
    </row>
    <row r="59" spans="1:37" ht="19.5">
      <c r="A59" s="331" t="s">
        <v>358</v>
      </c>
      <c r="B59" s="342">
        <f>Zwischenrechnung!B20</f>
        <v>8</v>
      </c>
      <c r="C59" s="342">
        <f>Zwischenrechnung!C20</f>
        <v>8</v>
      </c>
      <c r="D59" s="342">
        <f>Zwischenrechnung!D20</f>
        <v>80</v>
      </c>
      <c r="E59" s="342">
        <f>VLOOKUP(D59,$P$57:$Q$58,2,FALSE)</f>
        <v>70</v>
      </c>
      <c r="F59" s="338">
        <f t="shared" si="17"/>
        <v>7.8796178754106014</v>
      </c>
      <c r="G59" s="338">
        <f>MIN($C$32*$C$34*E59/1000,(2.3*SQRT($C$31*$C$32*$C$34))/1000+(F59/4),$C$32*$C$34*E59/1000*(SQRT(2+4*$C$31/($C$32*$C$34*E59^2))-1)+F59/4)</f>
        <v>5.7539958910348616</v>
      </c>
      <c r="H59" s="338">
        <f t="shared" si="18"/>
        <v>37.389575608935985</v>
      </c>
      <c r="I59" s="90" t="s">
        <v>139</v>
      </c>
      <c r="O59" s="380" t="s">
        <v>388</v>
      </c>
      <c r="P59" s="380"/>
      <c r="Q59" s="380"/>
      <c r="R59" s="215" t="s">
        <v>421</v>
      </c>
      <c r="U59" s="98"/>
      <c r="V59" s="92"/>
      <c r="W59" s="99"/>
      <c r="X59" s="100"/>
      <c r="Y59" s="101"/>
      <c r="Z59" s="101"/>
      <c r="AA59" s="101"/>
      <c r="AB59" s="101"/>
      <c r="AD59" s="98"/>
      <c r="AE59" s="92"/>
      <c r="AF59" s="99"/>
      <c r="AG59" s="100"/>
      <c r="AH59" s="102"/>
      <c r="AI59" s="102"/>
      <c r="AJ59" s="102"/>
      <c r="AK59" s="102"/>
    </row>
    <row r="60" spans="1:37" ht="20.25" thickBot="1">
      <c r="A60" s="73" t="s">
        <v>359</v>
      </c>
      <c r="B60" s="343">
        <f>Zwischenrechnung!B21</f>
        <v>16</v>
      </c>
      <c r="C60" s="343">
        <f>Zwischenrechnung!C21</f>
        <v>8</v>
      </c>
      <c r="D60" s="343">
        <f>Zwischenrechnung!D21</f>
        <v>80</v>
      </c>
      <c r="E60" s="343">
        <f>VLOOKUP(D60,$P$57:$Q$58,2,FALSE)</f>
        <v>70</v>
      </c>
      <c r="F60" s="339">
        <f t="shared" si="17"/>
        <v>7.8796178754106014</v>
      </c>
      <c r="G60" s="339">
        <f>MIN($C$32*$C$34*E60/1000,(2.3*SQRT($C$31*$C$32*$C$34))/1000+(F60/4),$C$32*$C$34*E60/1000*(SQRT(2+4*$C$31/($C$32*$C$34*E60^2))-1)+F60/4)</f>
        <v>5.7539958910348616</v>
      </c>
      <c r="H60" s="339">
        <f t="shared" si="18"/>
        <v>69.771415165394387</v>
      </c>
      <c r="I60" s="90" t="s">
        <v>139</v>
      </c>
      <c r="O60" s="359" t="s">
        <v>122</v>
      </c>
      <c r="P60" s="359" t="s">
        <v>152</v>
      </c>
      <c r="Q60" s="359" t="s">
        <v>389</v>
      </c>
      <c r="R60" s="359" t="s">
        <v>389</v>
      </c>
      <c r="U60" s="98"/>
      <c r="V60" s="92"/>
      <c r="W60" s="99"/>
      <c r="X60" s="100"/>
      <c r="Y60" s="101"/>
      <c r="Z60" s="101"/>
      <c r="AA60" s="101"/>
      <c r="AB60" s="101"/>
      <c r="AD60" s="98"/>
      <c r="AE60" s="92"/>
      <c r="AF60" s="99"/>
      <c r="AG60" s="100"/>
      <c r="AH60" s="102"/>
      <c r="AI60" s="102"/>
      <c r="AJ60" s="102"/>
      <c r="AK60" s="102"/>
    </row>
    <row r="61" spans="1:37" ht="19.5">
      <c r="A61" s="76" t="s">
        <v>360</v>
      </c>
      <c r="B61" s="344">
        <f>Zwischenrechnung!B22</f>
        <v>8</v>
      </c>
      <c r="C61" s="344">
        <f>Zwischenrechnung!C22</f>
        <v>10</v>
      </c>
      <c r="D61" s="344">
        <f>Zwischenrechnung!D22</f>
        <v>100</v>
      </c>
      <c r="E61" s="344">
        <f>VLOOKUP(D61,$P$61:$Q$63,2,FALSE)</f>
        <v>85</v>
      </c>
      <c r="F61" s="79">
        <f t="shared" si="17"/>
        <v>10.491774806064372</v>
      </c>
      <c r="G61" s="79">
        <f t="shared" ref="G61:G64" si="19">MIN($B$32*$B$34*E61/1000,(2.3*SQRT($B$31*$B$32*$B$34))/1000+(F61/4),$B$32*$B$34*E61/1000*(SQRT(2+4*$B$31/($B$32*$B$34*E61^2))-1)+F61/4)</f>
        <v>8.0354591525640107</v>
      </c>
      <c r="H61" s="79">
        <f t="shared" si="18"/>
        <v>52.214567619942095</v>
      </c>
      <c r="I61" s="90" t="s">
        <v>139</v>
      </c>
      <c r="O61" s="359">
        <v>10</v>
      </c>
      <c r="P61" s="359">
        <v>80</v>
      </c>
      <c r="Q61" s="359">
        <v>54</v>
      </c>
      <c r="R61" s="359">
        <f>Q61</f>
        <v>54</v>
      </c>
      <c r="U61" s="98"/>
      <c r="V61" s="92"/>
      <c r="W61" s="99"/>
      <c r="X61" s="100"/>
      <c r="Y61" s="101"/>
      <c r="Z61" s="101"/>
      <c r="AA61" s="101"/>
      <c r="AB61" s="101"/>
      <c r="AD61" s="98"/>
      <c r="AE61" s="92"/>
      <c r="AF61" s="99"/>
      <c r="AG61" s="100"/>
      <c r="AH61" s="102"/>
      <c r="AI61" s="102"/>
      <c r="AJ61" s="102"/>
      <c r="AK61" s="102"/>
    </row>
    <row r="62" spans="1:37" ht="20.25" thickBot="1">
      <c r="A62" s="67" t="s">
        <v>361</v>
      </c>
      <c r="B62" s="341">
        <f>Zwischenrechnung!B23</f>
        <v>16</v>
      </c>
      <c r="C62" s="341">
        <f>Zwischenrechnung!C23</f>
        <v>10</v>
      </c>
      <c r="D62" s="341">
        <f>Zwischenrechnung!D23</f>
        <v>100</v>
      </c>
      <c r="E62" s="341">
        <f>VLOOKUP(D62,$P$61:$Q$63,2,FALSE)</f>
        <v>85</v>
      </c>
      <c r="F62" s="70">
        <f t="shared" si="17"/>
        <v>10.491774806064372</v>
      </c>
      <c r="G62" s="70">
        <f t="shared" si="19"/>
        <v>8.0354591525640107</v>
      </c>
      <c r="H62" s="70">
        <f t="shared" si="18"/>
        <v>97.435828456471</v>
      </c>
      <c r="I62" s="90" t="s">
        <v>139</v>
      </c>
      <c r="O62" s="359">
        <v>10</v>
      </c>
      <c r="P62" s="359">
        <v>100</v>
      </c>
      <c r="Q62" s="359">
        <v>85</v>
      </c>
      <c r="R62" s="359">
        <f t="shared" ref="R62" si="20">P62-25</f>
        <v>75</v>
      </c>
      <c r="U62" s="98"/>
      <c r="V62" s="92"/>
      <c r="W62" s="99"/>
      <c r="X62" s="100"/>
      <c r="Y62" s="101"/>
      <c r="Z62" s="101"/>
      <c r="AA62" s="101"/>
      <c r="AB62" s="101"/>
      <c r="AD62" s="98"/>
      <c r="AE62" s="92"/>
      <c r="AF62" s="99"/>
      <c r="AG62" s="100"/>
      <c r="AH62" s="103"/>
      <c r="AI62" s="103"/>
      <c r="AJ62" s="103"/>
      <c r="AK62" s="103"/>
    </row>
    <row r="63" spans="1:37" ht="19.5">
      <c r="A63" s="331" t="s">
        <v>362</v>
      </c>
      <c r="B63" s="342">
        <f>Zwischenrechnung!B24</f>
        <v>8</v>
      </c>
      <c r="C63" s="342">
        <f>Zwischenrechnung!C24</f>
        <v>10</v>
      </c>
      <c r="D63" s="342">
        <f>Zwischenrechnung!D24</f>
        <v>100</v>
      </c>
      <c r="E63" s="342">
        <f>VLOOKUP(D63,$P$61:$Q$63,2,FALSE)</f>
        <v>85</v>
      </c>
      <c r="F63" s="338">
        <f t="shared" si="17"/>
        <v>10.491774806064372</v>
      </c>
      <c r="G63" s="338">
        <f t="shared" si="19"/>
        <v>8.0354591525640107</v>
      </c>
      <c r="H63" s="338">
        <f t="shared" si="18"/>
        <v>52.214567619942095</v>
      </c>
      <c r="I63" s="90" t="s">
        <v>139</v>
      </c>
      <c r="O63" s="359">
        <v>10</v>
      </c>
      <c r="P63" s="359">
        <v>120</v>
      </c>
      <c r="Q63" s="359">
        <v>84</v>
      </c>
      <c r="R63" s="359">
        <f>Q63</f>
        <v>84</v>
      </c>
      <c r="U63" s="98"/>
      <c r="V63" s="92"/>
      <c r="W63" s="99"/>
      <c r="X63" s="100"/>
      <c r="Y63" s="101"/>
      <c r="Z63" s="101"/>
      <c r="AA63" s="101"/>
      <c r="AB63" s="101"/>
      <c r="AD63" s="98"/>
      <c r="AE63" s="92"/>
      <c r="AF63" s="99"/>
      <c r="AG63" s="100"/>
      <c r="AH63" s="103"/>
      <c r="AI63" s="103"/>
      <c r="AJ63" s="103"/>
      <c r="AK63" s="103"/>
    </row>
    <row r="64" spans="1:37" ht="19.5">
      <c r="A64" s="410" t="s">
        <v>363</v>
      </c>
      <c r="B64" s="359">
        <f>Zwischenrechnung!B25</f>
        <v>25</v>
      </c>
      <c r="C64" s="359">
        <f>Zwischenrechnung!C25</f>
        <v>10</v>
      </c>
      <c r="D64" s="359">
        <f>Zwischenrechnung!D25</f>
        <v>100</v>
      </c>
      <c r="E64" s="359">
        <f>VLOOKUP(D64,$P$61:$Q$63,2,FALSE)</f>
        <v>85</v>
      </c>
      <c r="F64" s="80">
        <f t="shared" si="17"/>
        <v>10.491774806064372</v>
      </c>
      <c r="G64" s="80">
        <f t="shared" si="19"/>
        <v>8.0354591525640107</v>
      </c>
      <c r="H64" s="80">
        <f t="shared" si="18"/>
        <v>145.59843455228011</v>
      </c>
      <c r="I64" s="90" t="s">
        <v>139</v>
      </c>
      <c r="U64" s="98"/>
      <c r="V64" s="92"/>
      <c r="W64" s="99"/>
      <c r="X64" s="100"/>
      <c r="Y64" s="101"/>
      <c r="Z64" s="101"/>
      <c r="AA64" s="101"/>
      <c r="AB64" s="101"/>
      <c r="AD64" s="98"/>
      <c r="AE64" s="92"/>
      <c r="AF64" s="99"/>
      <c r="AG64" s="100"/>
      <c r="AH64" s="103"/>
      <c r="AI64" s="103"/>
      <c r="AJ64" s="103"/>
      <c r="AK64" s="103"/>
    </row>
    <row r="65" spans="1:37" ht="20.25" thickBot="1">
      <c r="A65" s="394"/>
      <c r="B65" s="395" t="s">
        <v>422</v>
      </c>
      <c r="C65" s="395" t="s">
        <v>426</v>
      </c>
      <c r="D65" s="395" t="s">
        <v>43</v>
      </c>
      <c r="E65" s="396" t="s">
        <v>423</v>
      </c>
      <c r="F65" s="395" t="s">
        <v>425</v>
      </c>
      <c r="G65" s="403" t="s">
        <v>31</v>
      </c>
      <c r="H65" s="395" t="s">
        <v>391</v>
      </c>
      <c r="I65" s="403" t="s">
        <v>44</v>
      </c>
      <c r="J65" s="403" t="s">
        <v>48</v>
      </c>
      <c r="K65" s="403" t="s">
        <v>49</v>
      </c>
      <c r="L65" s="403" t="s">
        <v>50</v>
      </c>
      <c r="M65" s="412" t="s">
        <v>431</v>
      </c>
      <c r="U65" s="98"/>
      <c r="V65" s="92"/>
      <c r="W65" s="99"/>
      <c r="X65" s="100"/>
      <c r="Y65" s="101"/>
      <c r="Z65" s="101"/>
      <c r="AA65" s="101"/>
      <c r="AB65" s="101"/>
      <c r="AD65" s="98"/>
      <c r="AE65" s="92"/>
      <c r="AF65" s="99"/>
      <c r="AG65" s="100"/>
      <c r="AH65" s="103"/>
      <c r="AI65" s="103"/>
      <c r="AJ65" s="103"/>
      <c r="AK65" s="103"/>
    </row>
    <row r="66" spans="1:37">
      <c r="A66" s="525" t="s">
        <v>211</v>
      </c>
      <c r="B66" s="528">
        <f>D66+D67</f>
        <v>28</v>
      </c>
      <c r="C66" s="528">
        <f>B66^0.9</f>
        <v>20.065141567878999</v>
      </c>
      <c r="D66" s="344">
        <f>Zwischenrechnung!$B$26-3</f>
        <v>25</v>
      </c>
      <c r="E66" s="387">
        <f>D66/B66</f>
        <v>0.8928571428571429</v>
      </c>
      <c r="F66" s="388">
        <f>$C$49*E66</f>
        <v>17.915304971320538</v>
      </c>
      <c r="G66" s="344">
        <f>Zwischenrechnung!$C$26</f>
        <v>10</v>
      </c>
      <c r="H66" s="344">
        <f>Zwischenrechnung!$D$26</f>
        <v>100</v>
      </c>
      <c r="I66" s="344">
        <f>VLOOKUP(H66,$P$61:$Q$63,2,FALSE)</f>
        <v>85</v>
      </c>
      <c r="J66" s="79">
        <f>(0.52*SQRT(G66)*I66^0.9*$B$30^0.8)/1000</f>
        <v>10.491774806064372</v>
      </c>
      <c r="K66" s="79">
        <f>MIN($B$32*$B$34*I66/1000,(2.3*SQRT($B$31*$B$32*$B$34))/1000+(J66/4),$B$32*$B$34*I66/1000*(SQRT(2+4*$B$31/($B$32*$B$34*I66^2))-1)+J66/4)</f>
        <v>8.0354591525640107</v>
      </c>
      <c r="L66" s="389">
        <f>F66*K66</f>
        <v>143.95770130277313</v>
      </c>
      <c r="M66" s="522">
        <f>L66+L67</f>
        <v>160.63189169983193</v>
      </c>
      <c r="U66" s="98"/>
      <c r="V66" s="92"/>
      <c r="W66" s="99"/>
      <c r="X66" s="100"/>
      <c r="Y66" s="101"/>
      <c r="Z66" s="101"/>
      <c r="AA66" s="101"/>
      <c r="AB66" s="101"/>
      <c r="AD66" s="98"/>
      <c r="AE66" s="92"/>
      <c r="AF66" s="99"/>
      <c r="AG66" s="100"/>
      <c r="AH66" s="103"/>
      <c r="AI66" s="103"/>
      <c r="AJ66" s="103"/>
      <c r="AK66" s="103"/>
    </row>
    <row r="67" spans="1:37" ht="16.5" thickBot="1">
      <c r="A67" s="526"/>
      <c r="B67" s="529"/>
      <c r="C67" s="529"/>
      <c r="D67" s="341">
        <f>Zwischenrechnung!$B$26-D66</f>
        <v>3</v>
      </c>
      <c r="E67" s="390">
        <f>D67/B66</f>
        <v>0.10714285714285714</v>
      </c>
      <c r="F67" s="391">
        <f>$C$49*E67</f>
        <v>2.149836596558464</v>
      </c>
      <c r="G67" s="341">
        <f>Zwischenrechnung!$C$26</f>
        <v>10</v>
      </c>
      <c r="H67" s="341">
        <f>Zwischenrechnung!$D$26</f>
        <v>100</v>
      </c>
      <c r="I67" s="341">
        <f>VLOOKUP(H67,$P$61:$R$63,3,FALSE)</f>
        <v>75</v>
      </c>
      <c r="J67" s="70">
        <f t="shared" ref="J67" si="21">(0.52*SQRT(G67)*I67^0.9*$B$30^0.8)/1000</f>
        <v>9.3740456535592109</v>
      </c>
      <c r="K67" s="70">
        <f t="shared" ref="K67" si="22">MIN($B$32*$B$34*I67/1000,(2.3*SQRT($B$31*$B$32*$B$34))/1000+(J67/4),$B$32*$B$34*I67/1000*(SQRT(2+4*$B$31/($B$32*$B$34*I67^2))-1)+J67/4)</f>
        <v>7.7560268644377199</v>
      </c>
      <c r="L67" s="392">
        <f>F67*K67</f>
        <v>16.674190397058805</v>
      </c>
      <c r="M67" s="530"/>
      <c r="Q67" s="52"/>
      <c r="R67" s="52"/>
      <c r="U67" s="98"/>
      <c r="V67" s="92"/>
      <c r="W67" s="99"/>
      <c r="X67" s="100"/>
      <c r="Y67" s="101"/>
      <c r="Z67" s="101"/>
      <c r="AA67" s="101"/>
      <c r="AB67" s="101"/>
      <c r="AD67" s="98"/>
      <c r="AE67" s="92"/>
      <c r="AF67" s="99"/>
      <c r="AG67" s="100"/>
      <c r="AH67" s="103"/>
      <c r="AI67" s="103"/>
      <c r="AJ67" s="103"/>
      <c r="AK67" s="103"/>
    </row>
    <row r="68" spans="1:37">
      <c r="A68" s="527" t="s">
        <v>215</v>
      </c>
      <c r="B68" s="528">
        <f>D68+D69</f>
        <v>28</v>
      </c>
      <c r="C68" s="528">
        <f>B68^0.9</f>
        <v>20.065141567878999</v>
      </c>
      <c r="D68" s="375">
        <f>Zwischenrechnung!$B$27-3</f>
        <v>25</v>
      </c>
      <c r="E68" s="384">
        <f>D68/B68</f>
        <v>0.8928571428571429</v>
      </c>
      <c r="F68" s="385">
        <f>$C$51*E68</f>
        <v>17.915304971320538</v>
      </c>
      <c r="G68" s="375">
        <f>Zwischenrechnung!$C$27</f>
        <v>10</v>
      </c>
      <c r="H68" s="375">
        <f>Zwischenrechnung!$D$27</f>
        <v>100</v>
      </c>
      <c r="I68" s="375">
        <f>VLOOKUP(H68,$P$61:$Q$63,2,FALSE)</f>
        <v>85</v>
      </c>
      <c r="J68" s="376">
        <f>(0.52*SQRT(G68)*I68^0.9*$B$30^0.8)/1000</f>
        <v>10.491774806064372</v>
      </c>
      <c r="K68" s="376">
        <f>MIN($B$32*$B$34*I68/1000,(2.3*SQRT($B$31*$B$32*$B$34))/1000+(J68/4),$B$32*$B$34*I68/1000*(SQRT(2+4*$B$31/($B$32*$B$34*I68^2))-1)+J68/4)</f>
        <v>8.0354591525640107</v>
      </c>
      <c r="L68" s="386">
        <f>F68*K68</f>
        <v>143.95770130277313</v>
      </c>
      <c r="M68" s="522">
        <f>L68+L69</f>
        <v>160.63189169983193</v>
      </c>
      <c r="Q68" s="52"/>
      <c r="R68" s="52"/>
      <c r="U68" s="98"/>
      <c r="V68" s="92"/>
      <c r="W68" s="99"/>
      <c r="X68" s="100"/>
      <c r="Y68" s="101"/>
      <c r="Z68" s="101"/>
      <c r="AA68" s="101"/>
      <c r="AB68" s="101"/>
      <c r="AD68" s="98"/>
      <c r="AE68" s="92"/>
      <c r="AF68" s="99"/>
      <c r="AG68" s="100"/>
      <c r="AH68" s="103"/>
      <c r="AI68" s="103"/>
      <c r="AJ68" s="103"/>
      <c r="AK68" s="103"/>
    </row>
    <row r="69" spans="1:37">
      <c r="A69" s="512"/>
      <c r="B69" s="516"/>
      <c r="C69" s="516"/>
      <c r="D69" s="340">
        <f>Zwischenrechnung!$B$27-D68</f>
        <v>3</v>
      </c>
      <c r="E69" s="381">
        <f>D69/B68</f>
        <v>0.10714285714285714</v>
      </c>
      <c r="F69" s="382">
        <f>$C$51*E69</f>
        <v>2.149836596558464</v>
      </c>
      <c r="G69" s="340">
        <f>Zwischenrechnung!$C$27</f>
        <v>10</v>
      </c>
      <c r="H69" s="340">
        <f>Zwischenrechnung!$D$27</f>
        <v>100</v>
      </c>
      <c r="I69" s="340">
        <f>VLOOKUP(H69,$P$61:$R$63,3,FALSE)</f>
        <v>75</v>
      </c>
      <c r="J69" s="65">
        <f t="shared" ref="J69" si="23">(0.52*SQRT(G69)*I69^0.9*$B$30^0.8)/1000</f>
        <v>9.3740456535592109</v>
      </c>
      <c r="K69" s="65">
        <f t="shared" ref="K69" si="24">MIN($B$32*$B$34*I69/1000,(2.3*SQRT($B$31*$B$32*$B$34))/1000+(J69/4),$B$32*$B$34*I69/1000*(SQRT(2+4*$B$31/($B$32*$B$34*I69^2))-1)+J69/4)</f>
        <v>7.7560268644377199</v>
      </c>
      <c r="L69" s="383">
        <f>F69*K69</f>
        <v>16.674190397058805</v>
      </c>
      <c r="M69" s="523"/>
      <c r="Q69" s="52"/>
      <c r="R69" s="52"/>
      <c r="U69" s="98"/>
      <c r="V69" s="92"/>
      <c r="W69" s="99"/>
      <c r="X69" s="100"/>
      <c r="Y69" s="101"/>
      <c r="Z69" s="101"/>
      <c r="AA69" s="101"/>
      <c r="AB69" s="101"/>
      <c r="AD69" s="98"/>
      <c r="AE69" s="92"/>
      <c r="AF69" s="99"/>
      <c r="AG69" s="100"/>
      <c r="AH69" s="103"/>
      <c r="AI69" s="103"/>
      <c r="AJ69" s="103"/>
      <c r="AK69" s="103"/>
    </row>
    <row r="70" spans="1:37">
      <c r="P70" s="52"/>
      <c r="Q70" s="52"/>
      <c r="R70" s="52"/>
      <c r="U70" s="98"/>
      <c r="V70" s="92"/>
      <c r="W70" s="99"/>
      <c r="X70" s="100"/>
      <c r="Y70" s="101"/>
      <c r="Z70" s="101"/>
      <c r="AA70" s="101"/>
      <c r="AB70" s="101"/>
      <c r="AD70" s="98"/>
      <c r="AE70" s="92"/>
      <c r="AF70" s="99"/>
      <c r="AG70" s="100"/>
      <c r="AH70" s="103"/>
      <c r="AI70" s="103"/>
      <c r="AJ70" s="103"/>
      <c r="AK70" s="104"/>
    </row>
    <row r="71" spans="1:37" ht="15.75" customHeight="1">
      <c r="B71" s="105"/>
      <c r="F71" t="s">
        <v>51</v>
      </c>
      <c r="O71" s="524"/>
      <c r="P71" s="524"/>
      <c r="Q71" s="524"/>
      <c r="R71" s="524"/>
      <c r="U71" s="98"/>
      <c r="V71" s="92"/>
      <c r="W71" s="99"/>
      <c r="X71" s="100"/>
      <c r="Y71" s="101"/>
      <c r="Z71" s="101"/>
      <c r="AA71" s="101"/>
      <c r="AB71" s="101"/>
      <c r="AD71" s="98"/>
      <c r="AE71" s="92"/>
      <c r="AF71" s="99"/>
      <c r="AG71" s="100"/>
      <c r="AH71" s="102"/>
      <c r="AI71" s="102"/>
      <c r="AJ71" s="102"/>
      <c r="AK71" s="102"/>
    </row>
    <row r="72" spans="1:37" ht="18">
      <c r="A72" s="54" t="s">
        <v>24</v>
      </c>
      <c r="B72" s="405" t="s">
        <v>47</v>
      </c>
      <c r="C72" s="106" t="s">
        <v>53</v>
      </c>
      <c r="D72" s="55" t="s">
        <v>54</v>
      </c>
      <c r="E72" s="106" t="s">
        <v>55</v>
      </c>
      <c r="F72" s="107" t="s">
        <v>56</v>
      </c>
      <c r="G72" s="108"/>
      <c r="N72" s="54" t="s">
        <v>24</v>
      </c>
      <c r="O72" s="487" t="s">
        <v>52</v>
      </c>
      <c r="P72" s="488"/>
      <c r="Q72" s="488"/>
      <c r="R72" s="488"/>
      <c r="S72" s="489"/>
      <c r="U72" s="98"/>
      <c r="V72" s="92"/>
      <c r="W72" s="99"/>
      <c r="X72" s="100"/>
      <c r="Y72" s="101"/>
      <c r="Z72" s="101"/>
      <c r="AA72" s="101"/>
      <c r="AB72" s="101"/>
      <c r="AD72" s="98"/>
      <c r="AE72" s="92"/>
      <c r="AF72" s="99"/>
      <c r="AG72" s="100"/>
      <c r="AH72" s="102"/>
      <c r="AI72" s="102"/>
      <c r="AJ72" s="102"/>
      <c r="AK72" s="102"/>
    </row>
    <row r="73" spans="1:37">
      <c r="A73" s="58"/>
      <c r="B73" s="109" t="s">
        <v>35</v>
      </c>
      <c r="C73" s="109" t="s">
        <v>35</v>
      </c>
      <c r="D73" s="59" t="s">
        <v>14</v>
      </c>
      <c r="E73" s="109" t="s">
        <v>35</v>
      </c>
      <c r="F73" s="110" t="s">
        <v>35</v>
      </c>
      <c r="G73" s="108"/>
      <c r="N73" s="58"/>
      <c r="O73" s="61">
        <v>0.6</v>
      </c>
      <c r="P73" s="61">
        <v>0.7</v>
      </c>
      <c r="Q73" s="61">
        <v>0.8</v>
      </c>
      <c r="R73" s="61">
        <v>0.9</v>
      </c>
      <c r="S73" s="61">
        <v>1</v>
      </c>
      <c r="U73" s="98"/>
      <c r="V73" s="92"/>
      <c r="W73" s="99"/>
      <c r="X73" s="100"/>
      <c r="Y73" s="101"/>
      <c r="Z73" s="101"/>
      <c r="AA73" s="101"/>
      <c r="AB73" s="101"/>
      <c r="AD73" s="98"/>
      <c r="AE73" s="92"/>
      <c r="AF73" s="99"/>
      <c r="AG73" s="100"/>
      <c r="AH73" s="102"/>
      <c r="AI73" s="102"/>
      <c r="AJ73" s="102"/>
      <c r="AK73" s="111"/>
    </row>
    <row r="74" spans="1:37">
      <c r="A74" s="62" t="s">
        <v>366</v>
      </c>
      <c r="B74" s="65">
        <f t="shared" ref="B74:B81" si="25">H40</f>
        <v>26.907286476487887</v>
      </c>
      <c r="C74" s="65">
        <v>59</v>
      </c>
      <c r="D74" s="65">
        <v>10.7</v>
      </c>
      <c r="E74" s="65">
        <f t="shared" ref="E74:E81" si="26">1/SQRT((1/H57)^2+(1/(D74*F57))^2)</f>
        <v>30.855559246041057</v>
      </c>
      <c r="F74" s="65">
        <f t="shared" ref="F74" si="27">MIN(B74,E74)</f>
        <v>26.907286476487887</v>
      </c>
      <c r="G74" s="108"/>
      <c r="N74" s="62" t="s">
        <v>366</v>
      </c>
      <c r="O74" s="65">
        <f t="shared" ref="O74:S83" si="28">MIN(O$73*$B74/$O$84,$C74/1,O$73*$E74/$O$84)</f>
        <v>12.41874760453287</v>
      </c>
      <c r="P74" s="65">
        <f t="shared" si="28"/>
        <v>14.488538871955015</v>
      </c>
      <c r="Q74" s="65">
        <f t="shared" si="28"/>
        <v>16.558330139377162</v>
      </c>
      <c r="R74" s="65">
        <f t="shared" si="28"/>
        <v>18.628121406799306</v>
      </c>
      <c r="S74" s="65">
        <f t="shared" si="28"/>
        <v>20.697912674221449</v>
      </c>
      <c r="U74" s="98"/>
      <c r="V74" s="92"/>
      <c r="W74" s="99"/>
      <c r="X74" s="100"/>
      <c r="Y74" s="101"/>
      <c r="Z74" s="101"/>
      <c r="AA74" s="101"/>
      <c r="AB74" s="101"/>
      <c r="AD74" s="98"/>
      <c r="AE74" s="92"/>
      <c r="AF74" s="99"/>
      <c r="AG74" s="100"/>
      <c r="AH74" s="102"/>
      <c r="AI74" s="102"/>
      <c r="AJ74" s="102"/>
      <c r="AK74" s="111"/>
    </row>
    <row r="75" spans="1:37" ht="16.5" thickBot="1">
      <c r="A75" s="67" t="s">
        <v>365</v>
      </c>
      <c r="B75" s="70">
        <f t="shared" si="25"/>
        <v>37.092120892934879</v>
      </c>
      <c r="C75" s="70">
        <v>60</v>
      </c>
      <c r="D75" s="70">
        <v>10.7</v>
      </c>
      <c r="E75" s="70">
        <f t="shared" si="26"/>
        <v>40.18125965399701</v>
      </c>
      <c r="F75" s="70">
        <f t="shared" ref="F75:F83" si="29">MIN(B75,E75)</f>
        <v>37.092120892934879</v>
      </c>
      <c r="G75" s="112"/>
      <c r="N75" s="67" t="s">
        <v>365</v>
      </c>
      <c r="O75" s="70">
        <f t="shared" si="28"/>
        <v>17.11944041212379</v>
      </c>
      <c r="P75" s="70">
        <f t="shared" si="28"/>
        <v>19.972680480811086</v>
      </c>
      <c r="Q75" s="70">
        <f t="shared" si="28"/>
        <v>22.825920549498388</v>
      </c>
      <c r="R75" s="70">
        <f t="shared" si="28"/>
        <v>25.679160618185687</v>
      </c>
      <c r="S75" s="70">
        <f t="shared" si="28"/>
        <v>28.532400686872982</v>
      </c>
      <c r="U75" s="98"/>
      <c r="V75" s="92"/>
      <c r="W75" s="99"/>
      <c r="X75" s="100"/>
      <c r="Y75" s="101"/>
      <c r="Z75" s="101"/>
      <c r="AA75" s="101"/>
      <c r="AB75" s="101"/>
      <c r="AD75" s="98"/>
      <c r="AE75" s="92"/>
      <c r="AF75" s="99"/>
      <c r="AG75" s="100"/>
      <c r="AH75" s="102"/>
      <c r="AI75" s="102"/>
      <c r="AJ75" s="102"/>
      <c r="AK75" s="111"/>
    </row>
    <row r="76" spans="1:37">
      <c r="A76" s="331" t="s">
        <v>358</v>
      </c>
      <c r="B76" s="338">
        <f t="shared" si="25"/>
        <v>30.343289098043243</v>
      </c>
      <c r="C76" s="338">
        <v>59</v>
      </c>
      <c r="D76" s="338">
        <v>27.8</v>
      </c>
      <c r="E76" s="338">
        <f t="shared" si="26"/>
        <v>36.856539602592946</v>
      </c>
      <c r="F76" s="338">
        <f t="shared" ref="F76" si="30">MIN(B76,E76)</f>
        <v>30.343289098043243</v>
      </c>
      <c r="G76" s="112"/>
      <c r="N76" s="331" t="s">
        <v>358</v>
      </c>
      <c r="O76" s="338">
        <f t="shared" si="28"/>
        <v>14.004594968327648</v>
      </c>
      <c r="P76" s="338">
        <f t="shared" si="28"/>
        <v>16.338694129715591</v>
      </c>
      <c r="Q76" s="338">
        <f t="shared" si="28"/>
        <v>18.672793291103535</v>
      </c>
      <c r="R76" s="338">
        <f t="shared" si="28"/>
        <v>21.006892452491478</v>
      </c>
      <c r="S76" s="338">
        <f t="shared" si="28"/>
        <v>23.340991613879417</v>
      </c>
      <c r="U76" s="98"/>
      <c r="V76" s="92"/>
      <c r="W76" s="99"/>
      <c r="X76" s="100"/>
      <c r="Y76" s="101"/>
      <c r="Z76" s="101"/>
      <c r="AA76" s="101"/>
      <c r="AB76" s="101"/>
      <c r="AD76" s="98"/>
      <c r="AE76" s="92"/>
      <c r="AF76" s="99"/>
      <c r="AG76" s="100"/>
      <c r="AH76" s="102"/>
      <c r="AI76" s="102"/>
      <c r="AJ76" s="102"/>
      <c r="AK76" s="111"/>
    </row>
    <row r="77" spans="1:37" ht="16.5" thickBot="1">
      <c r="A77" s="73" t="s">
        <v>359</v>
      </c>
      <c r="B77" s="339">
        <f t="shared" si="25"/>
        <v>56.622579600426967</v>
      </c>
      <c r="C77" s="339">
        <v>60</v>
      </c>
      <c r="D77" s="339">
        <v>27.8</v>
      </c>
      <c r="E77" s="339">
        <f t="shared" si="26"/>
        <v>66.480609906200655</v>
      </c>
      <c r="F77" s="339">
        <f t="shared" si="29"/>
        <v>56.622579600426967</v>
      </c>
      <c r="G77" s="113"/>
      <c r="M77" s="114"/>
      <c r="N77" s="73" t="s">
        <v>359</v>
      </c>
      <c r="O77" s="339">
        <f t="shared" si="28"/>
        <v>26.13349827712014</v>
      </c>
      <c r="P77" s="339">
        <f t="shared" si="28"/>
        <v>30.489081323306827</v>
      </c>
      <c r="Q77" s="339">
        <f t="shared" si="28"/>
        <v>34.844664369493522</v>
      </c>
      <c r="R77" s="339">
        <f t="shared" si="28"/>
        <v>39.200247415680209</v>
      </c>
      <c r="S77" s="339">
        <f t="shared" si="28"/>
        <v>43.555830461866897</v>
      </c>
      <c r="U77" s="98"/>
      <c r="V77" s="92"/>
      <c r="W77" s="99"/>
      <c r="X77" s="100"/>
      <c r="Y77" s="101"/>
      <c r="Z77" s="101"/>
      <c r="AA77" s="101"/>
      <c r="AB77" s="101"/>
      <c r="AD77" s="98"/>
      <c r="AE77" s="92"/>
      <c r="AF77" s="99"/>
      <c r="AG77" s="100"/>
      <c r="AH77" s="102"/>
      <c r="AI77" s="102"/>
      <c r="AJ77" s="102"/>
      <c r="AK77" s="111"/>
    </row>
    <row r="78" spans="1:37">
      <c r="A78" s="76" t="s">
        <v>360</v>
      </c>
      <c r="B78" s="79">
        <f t="shared" si="25"/>
        <v>42.334298094233297</v>
      </c>
      <c r="C78" s="79">
        <v>98</v>
      </c>
      <c r="D78" s="79">
        <v>27.8</v>
      </c>
      <c r="E78" s="79">
        <f t="shared" si="26"/>
        <v>51.397478851467305</v>
      </c>
      <c r="F78" s="79">
        <f t="shared" ref="F78" si="31">MIN(B78,E78)</f>
        <v>42.334298094233297</v>
      </c>
      <c r="G78" s="113"/>
      <c r="M78" s="114"/>
      <c r="N78" s="76" t="s">
        <v>360</v>
      </c>
      <c r="O78" s="79">
        <f t="shared" si="28"/>
        <v>19.538906812723059</v>
      </c>
      <c r="P78" s="79">
        <f t="shared" si="28"/>
        <v>22.795391281510234</v>
      </c>
      <c r="Q78" s="79">
        <f t="shared" si="28"/>
        <v>26.051875750297416</v>
      </c>
      <c r="R78" s="79">
        <f t="shared" si="28"/>
        <v>29.308360219084591</v>
      </c>
      <c r="S78" s="79">
        <f t="shared" si="28"/>
        <v>32.564844687871769</v>
      </c>
      <c r="U78" s="98"/>
      <c r="V78" s="92"/>
      <c r="W78" s="99"/>
      <c r="X78" s="100"/>
      <c r="Y78" s="101"/>
      <c r="Z78" s="101"/>
      <c r="AA78" s="101"/>
      <c r="AB78" s="101"/>
      <c r="AD78" s="98"/>
      <c r="AE78" s="92"/>
      <c r="AF78" s="99"/>
      <c r="AG78" s="100"/>
      <c r="AH78" s="102"/>
      <c r="AI78" s="102"/>
      <c r="AJ78" s="102"/>
      <c r="AK78" s="111"/>
    </row>
    <row r="79" spans="1:37" ht="16.5" thickBot="1">
      <c r="A79" s="67" t="s">
        <v>361</v>
      </c>
      <c r="B79" s="70">
        <f t="shared" si="25"/>
        <v>97.305836160204535</v>
      </c>
      <c r="C79" s="70">
        <v>99</v>
      </c>
      <c r="D79" s="70">
        <v>27.8</v>
      </c>
      <c r="E79" s="70">
        <f t="shared" si="26"/>
        <v>92.415567140008505</v>
      </c>
      <c r="F79" s="70">
        <f t="shared" si="29"/>
        <v>92.415567140008505</v>
      </c>
      <c r="G79" s="113"/>
      <c r="M79" s="114"/>
      <c r="N79" s="67" t="s">
        <v>361</v>
      </c>
      <c r="O79" s="70">
        <f t="shared" si="28"/>
        <v>42.653338680003927</v>
      </c>
      <c r="P79" s="70">
        <f t="shared" si="28"/>
        <v>49.762228460004579</v>
      </c>
      <c r="Q79" s="70">
        <f t="shared" si="28"/>
        <v>56.871118240005231</v>
      </c>
      <c r="R79" s="70">
        <f t="shared" si="28"/>
        <v>63.980008020005883</v>
      </c>
      <c r="S79" s="70">
        <f t="shared" si="28"/>
        <v>71.088897800006535</v>
      </c>
      <c r="U79" s="98"/>
      <c r="V79" s="92"/>
      <c r="W79" s="413"/>
      <c r="X79" s="100" t="s">
        <v>450</v>
      </c>
      <c r="Y79" s="37" t="s">
        <v>451</v>
      </c>
      <c r="Z79" s="101"/>
      <c r="AA79" s="101"/>
      <c r="AB79" s="101"/>
      <c r="AD79" s="98"/>
      <c r="AE79" s="92"/>
      <c r="AF79" s="99"/>
      <c r="AG79" s="100"/>
      <c r="AH79" s="103"/>
      <c r="AI79" s="103"/>
      <c r="AJ79" s="103"/>
      <c r="AK79" s="103"/>
    </row>
    <row r="80" spans="1:37">
      <c r="A80" s="331" t="s">
        <v>362</v>
      </c>
      <c r="B80" s="338">
        <f t="shared" si="25"/>
        <v>42.334298094233297</v>
      </c>
      <c r="C80" s="338">
        <v>98</v>
      </c>
      <c r="D80" s="338">
        <v>68.400000000000006</v>
      </c>
      <c r="E80" s="338">
        <f t="shared" si="26"/>
        <v>52.076905395084687</v>
      </c>
      <c r="F80" s="338">
        <f>MIN(B80,E80)</f>
        <v>42.334298094233297</v>
      </c>
      <c r="G80" s="113"/>
      <c r="M80" s="114"/>
      <c r="N80" s="331" t="s">
        <v>362</v>
      </c>
      <c r="O80" s="338">
        <f t="shared" si="28"/>
        <v>19.538906812723059</v>
      </c>
      <c r="P80" s="338">
        <f t="shared" si="28"/>
        <v>22.795391281510234</v>
      </c>
      <c r="Q80" s="338">
        <f t="shared" si="28"/>
        <v>26.051875750297416</v>
      </c>
      <c r="R80" s="338">
        <f t="shared" si="28"/>
        <v>29.308360219084591</v>
      </c>
      <c r="S80" s="338">
        <f t="shared" si="28"/>
        <v>32.564844687871769</v>
      </c>
      <c r="U80" s="414" t="s">
        <v>442</v>
      </c>
      <c r="V80" s="419" t="s">
        <v>437</v>
      </c>
      <c r="W80" s="420"/>
      <c r="X80" s="421" t="s">
        <v>447</v>
      </c>
      <c r="Y80" s="421" t="s">
        <v>447</v>
      </c>
      <c r="Z80" s="101"/>
      <c r="AA80" s="101"/>
      <c r="AB80" s="101"/>
      <c r="AD80" s="98"/>
      <c r="AE80" s="92"/>
      <c r="AF80" s="99"/>
      <c r="AG80" s="100"/>
      <c r="AH80" s="103"/>
      <c r="AI80" s="103"/>
      <c r="AJ80" s="103"/>
      <c r="AK80" s="103"/>
    </row>
    <row r="81" spans="1:37" ht="19.5" thickBot="1">
      <c r="A81" s="73" t="s">
        <v>363</v>
      </c>
      <c r="B81" s="339">
        <f t="shared" si="25"/>
        <v>64.80979852759171</v>
      </c>
      <c r="C81" s="339">
        <v>99</v>
      </c>
      <c r="D81" s="339">
        <v>68.400000000000006</v>
      </c>
      <c r="E81" s="339">
        <f t="shared" si="26"/>
        <v>142.69127424794846</v>
      </c>
      <c r="F81" s="339">
        <f>MIN(B81,E81)</f>
        <v>64.80979852759171</v>
      </c>
      <c r="G81" s="113"/>
      <c r="M81" s="114"/>
      <c r="N81" s="73" t="s">
        <v>363</v>
      </c>
      <c r="O81" s="339">
        <f t="shared" si="28"/>
        <v>29.912214705042324</v>
      </c>
      <c r="P81" s="339">
        <f t="shared" si="28"/>
        <v>34.897583822549379</v>
      </c>
      <c r="Q81" s="339">
        <f t="shared" si="28"/>
        <v>39.882952940056441</v>
      </c>
      <c r="R81" s="339">
        <f t="shared" si="28"/>
        <v>44.868322057563489</v>
      </c>
      <c r="S81" s="339">
        <f t="shared" si="28"/>
        <v>49.853691175070544</v>
      </c>
      <c r="U81" s="417" t="s">
        <v>441</v>
      </c>
      <c r="V81" s="418" t="s">
        <v>439</v>
      </c>
      <c r="W81" s="25" t="s">
        <v>438</v>
      </c>
      <c r="X81" s="25" t="s">
        <v>448</v>
      </c>
      <c r="Y81" s="25" t="s">
        <v>449</v>
      </c>
      <c r="Z81" s="101"/>
      <c r="AA81" s="101"/>
      <c r="AB81" s="101"/>
      <c r="AD81" s="98"/>
      <c r="AE81" s="92"/>
      <c r="AF81" s="99"/>
      <c r="AG81" s="100"/>
      <c r="AH81" s="103"/>
      <c r="AI81" s="103"/>
      <c r="AJ81" s="103"/>
      <c r="AK81" s="103"/>
    </row>
    <row r="82" spans="1:37">
      <c r="A82" s="76" t="s">
        <v>211</v>
      </c>
      <c r="B82" s="79">
        <f>M49+M50</f>
        <v>130.55707715016831</v>
      </c>
      <c r="C82" s="79">
        <v>180</v>
      </c>
      <c r="D82" s="79">
        <v>58</v>
      </c>
      <c r="E82" s="79">
        <f>1/SQRT((1/(M66))^2+(1/(D82*J66))^2)</f>
        <v>155.31191951462577</v>
      </c>
      <c r="F82" s="79">
        <f t="shared" si="29"/>
        <v>130.55707715016831</v>
      </c>
      <c r="G82" s="113"/>
      <c r="M82" s="114"/>
      <c r="N82" s="76" t="s">
        <v>211</v>
      </c>
      <c r="O82" s="79">
        <f t="shared" si="28"/>
        <v>60.257112530846904</v>
      </c>
      <c r="P82" s="79">
        <f t="shared" si="28"/>
        <v>70.299964619321401</v>
      </c>
      <c r="Q82" s="79">
        <f t="shared" si="28"/>
        <v>80.342816707795876</v>
      </c>
      <c r="R82" s="79">
        <f t="shared" si="28"/>
        <v>90.385668796270366</v>
      </c>
      <c r="S82" s="79">
        <f t="shared" si="28"/>
        <v>100.42852088474486</v>
      </c>
      <c r="U82" s="422" t="s">
        <v>435</v>
      </c>
      <c r="V82" s="419" t="s">
        <v>440</v>
      </c>
      <c r="W82" s="420" t="s">
        <v>443</v>
      </c>
      <c r="X82" s="423">
        <v>130.9</v>
      </c>
      <c r="Y82" s="423">
        <v>130.6</v>
      </c>
      <c r="Z82" s="426"/>
      <c r="AA82" s="101"/>
      <c r="AB82" s="101"/>
      <c r="AD82" s="98"/>
      <c r="AE82" s="92"/>
      <c r="AF82" s="99"/>
      <c r="AG82" s="100"/>
      <c r="AH82" s="103"/>
      <c r="AI82" s="103"/>
      <c r="AJ82" s="103"/>
      <c r="AK82" s="103"/>
    </row>
    <row r="83" spans="1:37">
      <c r="A83" s="62" t="s">
        <v>215</v>
      </c>
      <c r="B83" s="65">
        <f>M51+M52+B84</f>
        <v>170.55707715016831</v>
      </c>
      <c r="C83" s="65">
        <v>180</v>
      </c>
      <c r="D83" s="65">
        <v>58</v>
      </c>
      <c r="E83" s="65">
        <f>1/SQRT((1/(M68))^2+(1/(D83*J68))^2)+E84</f>
        <v>195.31191951462577</v>
      </c>
      <c r="F83" s="65">
        <f t="shared" si="29"/>
        <v>170.55707715016831</v>
      </c>
      <c r="N83" s="62" t="s">
        <v>215</v>
      </c>
      <c r="O83" s="65">
        <f>MIN(O$73*$B83/$O$84,$C83/1,O$73*$E83/$O$84)</f>
        <v>78.718650992385363</v>
      </c>
      <c r="P83" s="65">
        <f t="shared" si="28"/>
        <v>91.838426157782934</v>
      </c>
      <c r="Q83" s="65">
        <f t="shared" si="28"/>
        <v>104.9582013231805</v>
      </c>
      <c r="R83" s="65">
        <f t="shared" si="28"/>
        <v>118.07797648857806</v>
      </c>
      <c r="S83" s="65">
        <f t="shared" si="28"/>
        <v>131.19775165397562</v>
      </c>
      <c r="U83" s="508" t="s">
        <v>436</v>
      </c>
      <c r="V83" s="415" t="s">
        <v>440</v>
      </c>
      <c r="W83" s="416" t="s">
        <v>443</v>
      </c>
      <c r="X83" s="501">
        <v>170.9</v>
      </c>
      <c r="Y83" s="501">
        <v>170.6</v>
      </c>
      <c r="Z83" s="101"/>
      <c r="AA83" s="101"/>
      <c r="AB83" s="101"/>
      <c r="AD83" s="98"/>
      <c r="AE83" s="92"/>
      <c r="AF83" s="99"/>
      <c r="AG83" s="100"/>
      <c r="AH83" s="103"/>
      <c r="AI83" s="103"/>
      <c r="AJ83" s="103"/>
      <c r="AK83" s="104"/>
    </row>
    <row r="84" spans="1:37" ht="18">
      <c r="A84" s="81" t="s">
        <v>216</v>
      </c>
      <c r="B84" s="63">
        <f>F96</f>
        <v>39.999999999999993</v>
      </c>
      <c r="E84" s="63">
        <f>L96</f>
        <v>40</v>
      </c>
      <c r="F84" s="370"/>
      <c r="N84" s="62" t="s">
        <v>352</v>
      </c>
      <c r="O84" s="235">
        <f>Bemessung!G24</f>
        <v>1.3</v>
      </c>
      <c r="U84" s="509"/>
      <c r="V84" s="424" t="s">
        <v>444</v>
      </c>
      <c r="W84" s="424" t="s">
        <v>446</v>
      </c>
      <c r="X84" s="502"/>
      <c r="Y84" s="502"/>
    </row>
    <row r="85" spans="1:37">
      <c r="A85" s="81"/>
      <c r="B85" s="211"/>
      <c r="C85" s="215" t="s">
        <v>402</v>
      </c>
      <c r="E85" s="211"/>
      <c r="F85" s="215" t="s">
        <v>403</v>
      </c>
      <c r="I85" s="215" t="s">
        <v>404</v>
      </c>
      <c r="L85" s="215" t="s">
        <v>405</v>
      </c>
      <c r="U85" s="508" t="s">
        <v>215</v>
      </c>
      <c r="V85" s="415" t="s">
        <v>445</v>
      </c>
      <c r="W85" s="416" t="s">
        <v>443</v>
      </c>
      <c r="X85" s="503">
        <v>195.9</v>
      </c>
      <c r="Y85" s="503">
        <v>195.3</v>
      </c>
    </row>
    <row r="86" spans="1:37">
      <c r="A86" s="81" t="s">
        <v>406</v>
      </c>
      <c r="B86" s="181">
        <f>Zwischenrechnung!E28</f>
        <v>2</v>
      </c>
      <c r="C86" s="371">
        <v>450</v>
      </c>
      <c r="D86" s="215" t="s">
        <v>407</v>
      </c>
      <c r="E86" s="181">
        <f>Zwischenrechnung!E28</f>
        <v>2</v>
      </c>
      <c r="F86" s="371">
        <f>Zwischenrechnung!G28</f>
        <v>450</v>
      </c>
      <c r="G86" s="215" t="s">
        <v>407</v>
      </c>
      <c r="H86" s="181">
        <f>Zwischenrechnung!B28</f>
        <v>2</v>
      </c>
      <c r="I86" s="371">
        <v>400</v>
      </c>
      <c r="J86" s="215" t="s">
        <v>408</v>
      </c>
      <c r="K86" s="181">
        <f>Zwischenrechnung!B28</f>
        <v>2</v>
      </c>
      <c r="L86" s="371">
        <f>Zwischenrechnung!D28</f>
        <v>400</v>
      </c>
      <c r="M86" s="215" t="s">
        <v>408</v>
      </c>
      <c r="U86" s="509"/>
      <c r="V86" s="424" t="s">
        <v>444</v>
      </c>
      <c r="W86" s="424" t="s">
        <v>446</v>
      </c>
      <c r="X86" s="504"/>
      <c r="Y86" s="504"/>
    </row>
    <row r="87" spans="1:37">
      <c r="B87" s="81" t="s">
        <v>377</v>
      </c>
      <c r="C87" s="244">
        <v>2</v>
      </c>
      <c r="D87" t="s">
        <v>90</v>
      </c>
      <c r="E87" s="81" t="s">
        <v>377</v>
      </c>
      <c r="F87" s="244">
        <f>E86</f>
        <v>2</v>
      </c>
      <c r="G87" t="s">
        <v>90</v>
      </c>
      <c r="H87" s="81" t="s">
        <v>377</v>
      </c>
      <c r="I87" s="244">
        <v>2</v>
      </c>
      <c r="J87" t="s">
        <v>90</v>
      </c>
      <c r="K87" s="81" t="s">
        <v>377</v>
      </c>
      <c r="L87" s="244">
        <f>Zwischenrechnung!B28</f>
        <v>2</v>
      </c>
      <c r="M87" t="s">
        <v>90</v>
      </c>
    </row>
    <row r="88" spans="1:37">
      <c r="B88" s="81" t="s">
        <v>409</v>
      </c>
      <c r="C88" s="244">
        <f>C87*40/C95</f>
        <v>1.1227105696469881</v>
      </c>
      <c r="D88" t="s">
        <v>90</v>
      </c>
      <c r="E88" s="81" t="s">
        <v>409</v>
      </c>
      <c r="F88" s="244">
        <f>C88</f>
        <v>1.1227105696469881</v>
      </c>
      <c r="G88" t="s">
        <v>90</v>
      </c>
      <c r="H88" s="81" t="s">
        <v>409</v>
      </c>
      <c r="I88" s="244">
        <f>I87*40/I95</f>
        <v>1.2587419392051273</v>
      </c>
      <c r="J88" t="s">
        <v>90</v>
      </c>
      <c r="K88" s="81" t="s">
        <v>409</v>
      </c>
      <c r="L88" s="244">
        <f>I88</f>
        <v>1.2587419392051273</v>
      </c>
      <c r="M88" t="s">
        <v>90</v>
      </c>
    </row>
    <row r="89" spans="1:37">
      <c r="B89" s="81" t="s">
        <v>378</v>
      </c>
      <c r="C89" s="244">
        <v>10</v>
      </c>
      <c r="D89" t="s">
        <v>42</v>
      </c>
      <c r="E89" s="81" t="s">
        <v>378</v>
      </c>
      <c r="F89" s="244">
        <v>10</v>
      </c>
      <c r="G89" t="s">
        <v>42</v>
      </c>
      <c r="H89" s="81" t="s">
        <v>378</v>
      </c>
      <c r="I89" s="244">
        <v>10</v>
      </c>
      <c r="J89" t="s">
        <v>42</v>
      </c>
      <c r="K89" s="81" t="s">
        <v>378</v>
      </c>
      <c r="L89" s="244">
        <v>10</v>
      </c>
      <c r="M89" t="s">
        <v>42</v>
      </c>
    </row>
    <row r="90" spans="1:37">
      <c r="B90" s="81" t="s">
        <v>410</v>
      </c>
      <c r="C90" s="372">
        <f>C86</f>
        <v>450</v>
      </c>
      <c r="D90" t="s">
        <v>42</v>
      </c>
      <c r="E90" s="81" t="s">
        <v>410</v>
      </c>
      <c r="F90" s="372">
        <f>F86</f>
        <v>450</v>
      </c>
      <c r="G90" t="s">
        <v>42</v>
      </c>
      <c r="H90" s="81" t="s">
        <v>410</v>
      </c>
      <c r="I90" s="372">
        <f>I86</f>
        <v>400</v>
      </c>
      <c r="J90" t="s">
        <v>42</v>
      </c>
      <c r="K90" s="81" t="s">
        <v>410</v>
      </c>
      <c r="L90" s="372">
        <f>L86</f>
        <v>400</v>
      </c>
      <c r="M90" t="s">
        <v>42</v>
      </c>
    </row>
    <row r="91" spans="1:37">
      <c r="B91" s="81" t="s">
        <v>379</v>
      </c>
      <c r="C91" s="244">
        <f>C90-31</f>
        <v>419</v>
      </c>
      <c r="D91" t="s">
        <v>42</v>
      </c>
      <c r="E91" s="81" t="s">
        <v>379</v>
      </c>
      <c r="F91" s="244">
        <f>F90-31</f>
        <v>419</v>
      </c>
      <c r="G91" t="s">
        <v>42</v>
      </c>
      <c r="H91" s="81" t="s">
        <v>379</v>
      </c>
      <c r="I91" s="244">
        <f>I90-31</f>
        <v>369</v>
      </c>
      <c r="J91" t="s">
        <v>42</v>
      </c>
      <c r="K91" s="81" t="s">
        <v>379</v>
      </c>
      <c r="L91" s="244">
        <f>L90-31</f>
        <v>369</v>
      </c>
      <c r="M91" t="s">
        <v>42</v>
      </c>
      <c r="N91" s="215" t="s">
        <v>428</v>
      </c>
    </row>
    <row r="92" spans="1:37">
      <c r="B92" s="81" t="s">
        <v>380</v>
      </c>
      <c r="C92" s="244">
        <v>30</v>
      </c>
      <c r="D92" t="s">
        <v>381</v>
      </c>
      <c r="E92" s="81" t="s">
        <v>380</v>
      </c>
      <c r="F92" s="244">
        <v>30</v>
      </c>
      <c r="G92" t="s">
        <v>381</v>
      </c>
      <c r="H92" s="81" t="s">
        <v>380</v>
      </c>
      <c r="I92" s="244">
        <v>30</v>
      </c>
      <c r="J92" t="s">
        <v>381</v>
      </c>
      <c r="K92" s="81" t="s">
        <v>380</v>
      </c>
      <c r="L92" s="244">
        <v>30</v>
      </c>
      <c r="M92" t="s">
        <v>381</v>
      </c>
    </row>
    <row r="93" spans="1:37">
      <c r="B93" s="81" t="s">
        <v>212</v>
      </c>
      <c r="C93" s="244">
        <v>1</v>
      </c>
      <c r="E93" s="81" t="s">
        <v>212</v>
      </c>
      <c r="F93" s="244">
        <v>1</v>
      </c>
      <c r="H93" s="81" t="s">
        <v>212</v>
      </c>
      <c r="I93" s="244">
        <v>1</v>
      </c>
      <c r="K93" s="81" t="s">
        <v>212</v>
      </c>
      <c r="L93" s="244">
        <v>1</v>
      </c>
      <c r="N93" s="215"/>
    </row>
    <row r="94" spans="1:37">
      <c r="B94" s="81" t="s">
        <v>382</v>
      </c>
      <c r="C94" s="244">
        <f>(C93*0.52*SQRT(C89)*C91^0.9*B29^0.8)/1000</f>
        <v>44.092482164851496</v>
      </c>
      <c r="D94" t="s">
        <v>254</v>
      </c>
      <c r="E94" s="81" t="s">
        <v>382</v>
      </c>
      <c r="F94" s="244">
        <f>(F93*0.52*SQRT(F89)*F91^0.9*B29^0.8)/1000</f>
        <v>44.092482164851496</v>
      </c>
      <c r="G94" t="s">
        <v>254</v>
      </c>
      <c r="H94" s="81" t="s">
        <v>382</v>
      </c>
      <c r="I94" s="244">
        <f>(I93*0.52*SQRT(I89)*I91^0.9*B30^0.8)/1000</f>
        <v>39.327438155997562</v>
      </c>
      <c r="J94" t="s">
        <v>254</v>
      </c>
      <c r="K94" s="81" t="s">
        <v>382</v>
      </c>
      <c r="L94" s="244">
        <f>(L93*0.52*SQRT(L89)*L91^0.9*B30^0.8)/1000</f>
        <v>39.327438155997562</v>
      </c>
      <c r="M94" t="s">
        <v>254</v>
      </c>
      <c r="N94" s="215" t="s">
        <v>411</v>
      </c>
    </row>
    <row r="95" spans="1:37">
      <c r="B95" s="81" t="s">
        <v>412</v>
      </c>
      <c r="C95" s="244">
        <f>C94*COS(RADIANS(C92))*C87^0.9</f>
        <v>71.256120822977778</v>
      </c>
      <c r="D95" t="s">
        <v>254</v>
      </c>
      <c r="E95" s="81" t="s">
        <v>412</v>
      </c>
      <c r="F95" s="244">
        <f>F94*COS(RADIANS(F92))*F87^0.9</f>
        <v>71.256120822977778</v>
      </c>
      <c r="G95" t="s">
        <v>254</v>
      </c>
      <c r="H95" s="81" t="s">
        <v>412</v>
      </c>
      <c r="I95" s="244">
        <f>I94*COS(RADIANS(I92))*I87^0.9</f>
        <v>63.555521198029318</v>
      </c>
      <c r="J95" t="s">
        <v>254</v>
      </c>
      <c r="K95" s="81" t="s">
        <v>412</v>
      </c>
      <c r="L95" s="244">
        <f>L94*COS(RADIANS(L92))*L87^0.9</f>
        <v>63.555521198029318</v>
      </c>
      <c r="M95" t="s">
        <v>254</v>
      </c>
      <c r="N95" s="215" t="s">
        <v>413</v>
      </c>
    </row>
    <row r="96" spans="1:37">
      <c r="A96" s="81"/>
      <c r="B96" s="81" t="s">
        <v>216</v>
      </c>
      <c r="C96" s="245">
        <f>C95*C88/C87</f>
        <v>39.999999999999993</v>
      </c>
      <c r="D96" t="s">
        <v>254</v>
      </c>
      <c r="E96" s="81" t="s">
        <v>216</v>
      </c>
      <c r="F96" s="245">
        <f>F95/C95*C96</f>
        <v>39.999999999999993</v>
      </c>
      <c r="G96" t="s">
        <v>254</v>
      </c>
      <c r="H96" s="81" t="s">
        <v>216</v>
      </c>
      <c r="I96" s="245">
        <f>I95*I88/I87</f>
        <v>40</v>
      </c>
      <c r="J96" t="s">
        <v>254</v>
      </c>
      <c r="K96" s="81" t="s">
        <v>216</v>
      </c>
      <c r="L96" s="245">
        <f>L95/I95*I96</f>
        <v>40</v>
      </c>
      <c r="M96" t="s">
        <v>254</v>
      </c>
    </row>
    <row r="97" spans="1:18" ht="26.25">
      <c r="A97" s="91" t="s">
        <v>57</v>
      </c>
    </row>
    <row r="99" spans="1:18" ht="18.75">
      <c r="A99" s="53" t="s">
        <v>58</v>
      </c>
      <c r="D99" s="84"/>
      <c r="P99" s="52"/>
      <c r="Q99" s="52"/>
      <c r="R99" s="52"/>
    </row>
    <row r="100" spans="1:18" ht="18.75">
      <c r="A100" s="53"/>
      <c r="D100" s="84"/>
      <c r="P100" s="52"/>
      <c r="Q100" s="52"/>
      <c r="R100" s="52"/>
    </row>
    <row r="101" spans="1:18" ht="18">
      <c r="A101" s="85" t="s">
        <v>93</v>
      </c>
      <c r="B101" s="116">
        <f>B21</f>
        <v>385</v>
      </c>
      <c r="C101" s="87" t="s">
        <v>38</v>
      </c>
      <c r="D101" s="86" t="str">
        <f>Bemessung!B35</f>
        <v>GL24h</v>
      </c>
      <c r="E101" t="s">
        <v>313</v>
      </c>
      <c r="P101" s="52"/>
      <c r="Q101" s="52"/>
      <c r="R101" s="52"/>
    </row>
    <row r="102" spans="1:18" ht="18">
      <c r="A102" s="85" t="s">
        <v>93</v>
      </c>
      <c r="B102" s="86">
        <f>Bemessung!$B$38</f>
        <v>385</v>
      </c>
      <c r="C102" t="s">
        <v>38</v>
      </c>
      <c r="D102" s="86" t="str">
        <f>Bemessung!$B$37</f>
        <v>GL24h</v>
      </c>
      <c r="E102" t="s">
        <v>314</v>
      </c>
      <c r="P102" s="52"/>
      <c r="Q102" s="52"/>
      <c r="R102" s="52"/>
    </row>
    <row r="103" spans="1:18" ht="18">
      <c r="A103" s="85" t="s">
        <v>94</v>
      </c>
      <c r="B103" s="116">
        <f>B31</f>
        <v>35000</v>
      </c>
      <c r="C103" s="116">
        <f>C31</f>
        <v>20000</v>
      </c>
      <c r="D103" s="87" t="s">
        <v>40</v>
      </c>
      <c r="E103" s="87" t="str">
        <f>Bemessung!B39</f>
        <v>ETA-10/0189</v>
      </c>
      <c r="P103" s="52"/>
      <c r="Q103" s="52"/>
      <c r="R103" s="52"/>
    </row>
    <row r="104" spans="1:18">
      <c r="A104" s="85" t="s">
        <v>41</v>
      </c>
      <c r="B104" s="117">
        <v>10</v>
      </c>
      <c r="C104" s="117">
        <v>8</v>
      </c>
      <c r="D104" s="87" t="s">
        <v>42</v>
      </c>
      <c r="P104" s="52"/>
      <c r="Q104" s="52"/>
      <c r="R104" s="52"/>
    </row>
    <row r="105" spans="1:18" ht="18">
      <c r="A105" s="85" t="s">
        <v>95</v>
      </c>
      <c r="B105" s="118">
        <f>B33</f>
        <v>6.3289923862451936</v>
      </c>
      <c r="C105" s="118">
        <f>C33</f>
        <v>6.767177642454155</v>
      </c>
      <c r="D105" s="87" t="s">
        <v>15</v>
      </c>
      <c r="P105" s="52"/>
      <c r="Q105" s="52"/>
      <c r="R105" s="52"/>
    </row>
    <row r="106" spans="1:18" ht="18">
      <c r="A106" s="85" t="s">
        <v>96</v>
      </c>
      <c r="B106" s="118">
        <f>B34</f>
        <v>15.822480965612984</v>
      </c>
      <c r="C106" s="118">
        <f>C34</f>
        <v>16.917944106135387</v>
      </c>
      <c r="D106" s="87" t="s">
        <v>15</v>
      </c>
      <c r="P106" s="52"/>
      <c r="Q106" s="52"/>
      <c r="R106" s="52"/>
    </row>
    <row r="107" spans="1:18">
      <c r="D107" s="84"/>
      <c r="P107" s="52"/>
      <c r="Q107" s="52"/>
      <c r="R107" s="52"/>
    </row>
    <row r="108" spans="1:18">
      <c r="P108" s="52"/>
      <c r="Q108" s="52"/>
      <c r="R108" s="52"/>
    </row>
    <row r="109" spans="1:18" ht="18.75">
      <c r="A109" s="54" t="s">
        <v>24</v>
      </c>
      <c r="B109" s="55" t="s">
        <v>43</v>
      </c>
      <c r="C109" s="55" t="s">
        <v>31</v>
      </c>
      <c r="D109" s="222" t="s">
        <v>414</v>
      </c>
      <c r="E109" s="55" t="s">
        <v>44</v>
      </c>
      <c r="F109" s="55" t="s">
        <v>45</v>
      </c>
      <c r="G109" s="55" t="s">
        <v>46</v>
      </c>
      <c r="H109" s="55" t="s">
        <v>59</v>
      </c>
      <c r="I109" s="52"/>
      <c r="J109" s="52"/>
      <c r="K109" s="52"/>
      <c r="P109" s="52"/>
      <c r="Q109" s="52"/>
      <c r="R109" s="52"/>
    </row>
    <row r="110" spans="1:18">
      <c r="A110" s="58"/>
      <c r="B110" s="59" t="s">
        <v>36</v>
      </c>
      <c r="C110" s="59" t="s">
        <v>13</v>
      </c>
      <c r="D110" s="59" t="s">
        <v>13</v>
      </c>
      <c r="E110" s="59" t="s">
        <v>13</v>
      </c>
      <c r="F110" s="59" t="s">
        <v>35</v>
      </c>
      <c r="G110" s="59" t="s">
        <v>35</v>
      </c>
      <c r="H110" s="59" t="s">
        <v>35</v>
      </c>
      <c r="I110" s="52"/>
      <c r="J110" s="52"/>
      <c r="K110" s="52"/>
      <c r="P110" s="52"/>
      <c r="Q110" s="52"/>
      <c r="R110" s="52"/>
    </row>
    <row r="111" spans="1:18">
      <c r="A111" s="62" t="s">
        <v>366</v>
      </c>
      <c r="B111" s="340">
        <f>Zwischenrechnung!E18</f>
        <v>7</v>
      </c>
      <c r="C111" s="340">
        <f>Zwischenrechnung!F18</f>
        <v>8</v>
      </c>
      <c r="D111" s="340">
        <f>Zwischenrechnung!G18</f>
        <v>160</v>
      </c>
      <c r="E111" s="340">
        <f>VLOOKUP(D111,$P$39:$Q$41,2,FALSE)</f>
        <v>145</v>
      </c>
      <c r="F111" s="235">
        <f>(IF(E111&gt;=100,$E$124,$E$125)*0.52*SQRT(C111)*E111^0.9*$B$101^0.8)/1000</f>
        <v>9.1054072130615449</v>
      </c>
      <c r="G111" s="235">
        <f>MIN(2.3*SQRT($C$103*$C$105*$C$104)/1000+(F111/4),$C$104*$C$105*E111/1000,$C$104*$C$105*E111/1000*(SQRT(2+4*$C$103/($C$104*$C$105*E111^2))-1)+F111/4)</f>
        <v>4.6696213569457061</v>
      </c>
      <c r="H111" s="235">
        <f t="shared" ref="H111" si="32">G111</f>
        <v>4.6696213569457061</v>
      </c>
      <c r="I111" s="52"/>
      <c r="J111" s="52"/>
      <c r="K111" s="52"/>
      <c r="P111" s="52"/>
      <c r="Q111" s="52"/>
      <c r="R111" s="52"/>
    </row>
    <row r="112" spans="1:18" ht="16.5" thickBot="1">
      <c r="A112" s="67" t="s">
        <v>365</v>
      </c>
      <c r="B112" s="341">
        <f>Zwischenrechnung!E19</f>
        <v>10</v>
      </c>
      <c r="C112" s="341">
        <f>Zwischenrechnung!F19</f>
        <v>8</v>
      </c>
      <c r="D112" s="341">
        <f>Zwischenrechnung!G19</f>
        <v>160</v>
      </c>
      <c r="E112" s="341">
        <f>VLOOKUP(D112,$P$39:$Q$41,2,FALSE)</f>
        <v>145</v>
      </c>
      <c r="F112" s="233">
        <f t="shared" ref="F112:F118" si="33">(IF(E112&gt;=100,$E$124,$E$125)*0.52*SQRT(C112)*E112^0.9*$B$101^0.8)/1000</f>
        <v>9.1054072130615449</v>
      </c>
      <c r="G112" s="233">
        <f t="shared" ref="G112:G118" si="34">MIN(2.3*SQRT($C$103*$C$105*$C$104)/1000+(F112/4),$C$104*$C$105*E112/1000,$C$104*$C$105*E112/1000*(SQRT(2+4*$C$103/($C$104*$C$105*E112^2))-1)+F112/4)</f>
        <v>4.6696213569457061</v>
      </c>
      <c r="H112" s="233">
        <f t="shared" ref="H112:H118" si="35">G112</f>
        <v>4.6696213569457061</v>
      </c>
      <c r="I112" s="123"/>
      <c r="J112" s="217"/>
      <c r="K112" s="217"/>
      <c r="P112" s="52"/>
      <c r="Q112" s="52"/>
      <c r="R112" s="52"/>
    </row>
    <row r="113" spans="1:26">
      <c r="A113" s="331" t="s">
        <v>358</v>
      </c>
      <c r="B113" s="342">
        <f>Zwischenrechnung!E20</f>
        <v>8</v>
      </c>
      <c r="C113" s="342">
        <f>Zwischenrechnung!F20</f>
        <v>8</v>
      </c>
      <c r="D113" s="342">
        <f>Zwischenrechnung!G20</f>
        <v>160</v>
      </c>
      <c r="E113" s="342">
        <f>VLOOKUP(D113,$P$39:$Q$41,2,FALSE)</f>
        <v>145</v>
      </c>
      <c r="F113" s="337">
        <f t="shared" si="33"/>
        <v>9.1054072130615449</v>
      </c>
      <c r="G113" s="337">
        <f t="shared" si="34"/>
        <v>4.6696213569457061</v>
      </c>
      <c r="H113" s="337">
        <f t="shared" si="35"/>
        <v>4.6696213569457061</v>
      </c>
      <c r="I113" s="123"/>
      <c r="J113" s="217"/>
      <c r="K113" s="217"/>
      <c r="P113" s="52"/>
      <c r="Q113" s="52"/>
      <c r="R113" s="52"/>
    </row>
    <row r="114" spans="1:26" ht="16.5" thickBot="1">
      <c r="A114" s="73" t="s">
        <v>359</v>
      </c>
      <c r="B114" s="343">
        <f>Zwischenrechnung!E21</f>
        <v>16</v>
      </c>
      <c r="C114" s="343">
        <f>Zwischenrechnung!F21</f>
        <v>8</v>
      </c>
      <c r="D114" s="343">
        <f>Zwischenrechnung!G21</f>
        <v>160</v>
      </c>
      <c r="E114" s="343">
        <f>VLOOKUP(D114,$P$39:$Q$41,2,FALSE)</f>
        <v>145</v>
      </c>
      <c r="F114" s="238">
        <f t="shared" si="33"/>
        <v>9.1054072130615449</v>
      </c>
      <c r="G114" s="238">
        <f t="shared" si="34"/>
        <v>4.6696213569457061</v>
      </c>
      <c r="H114" s="238">
        <f t="shared" si="35"/>
        <v>4.6696213569457061</v>
      </c>
      <c r="I114" s="211"/>
      <c r="J114" s="214"/>
      <c r="K114" s="214"/>
      <c r="P114" s="52"/>
      <c r="Q114" s="52"/>
      <c r="R114" s="52"/>
    </row>
    <row r="115" spans="1:26">
      <c r="A115" s="76" t="s">
        <v>360</v>
      </c>
      <c r="B115" s="344">
        <f>Zwischenrechnung!E22</f>
        <v>8</v>
      </c>
      <c r="C115" s="344">
        <f>Zwischenrechnung!F22</f>
        <v>10</v>
      </c>
      <c r="D115" s="344">
        <f>Zwischenrechnung!G22</f>
        <v>200</v>
      </c>
      <c r="E115" s="344">
        <f t="shared" ref="E115:E118" si="36">VLOOKUP(D115,$P$44:$Q$46,2,FALSE)</f>
        <v>180</v>
      </c>
      <c r="F115" s="234">
        <f t="shared" si="33"/>
        <v>12.367115938864831</v>
      </c>
      <c r="G115" s="234">
        <f t="shared" si="34"/>
        <v>5.4850485383965273</v>
      </c>
      <c r="H115" s="234">
        <f t="shared" si="35"/>
        <v>5.4850485383965273</v>
      </c>
      <c r="I115" s="211"/>
      <c r="J115" s="214"/>
      <c r="K115" s="214"/>
      <c r="P115" s="52"/>
      <c r="Q115" s="52"/>
      <c r="R115" s="52"/>
    </row>
    <row r="116" spans="1:26" ht="16.5" thickBot="1">
      <c r="A116" s="67" t="s">
        <v>361</v>
      </c>
      <c r="B116" s="341">
        <f>Zwischenrechnung!E23</f>
        <v>16</v>
      </c>
      <c r="C116" s="341">
        <f>Zwischenrechnung!F23</f>
        <v>10</v>
      </c>
      <c r="D116" s="341">
        <f>Zwischenrechnung!G23</f>
        <v>300</v>
      </c>
      <c r="E116" s="341">
        <f t="shared" si="36"/>
        <v>280</v>
      </c>
      <c r="F116" s="233">
        <f t="shared" si="33"/>
        <v>18.406253787508255</v>
      </c>
      <c r="G116" s="233">
        <f t="shared" si="34"/>
        <v>6.9948330005573833</v>
      </c>
      <c r="H116" s="233">
        <f t="shared" si="35"/>
        <v>6.9948330005573833</v>
      </c>
      <c r="I116" s="211"/>
      <c r="J116" s="214"/>
      <c r="K116" s="214"/>
      <c r="P116" s="52"/>
      <c r="Q116" s="52"/>
      <c r="R116" s="52"/>
    </row>
    <row r="117" spans="1:26">
      <c r="A117" s="331" t="s">
        <v>362</v>
      </c>
      <c r="B117" s="342">
        <f>Zwischenrechnung!E24</f>
        <v>8</v>
      </c>
      <c r="C117" s="342">
        <f>Zwischenrechnung!F24</f>
        <v>10</v>
      </c>
      <c r="D117" s="342">
        <f>Zwischenrechnung!G24</f>
        <v>200</v>
      </c>
      <c r="E117" s="342">
        <f t="shared" si="36"/>
        <v>180</v>
      </c>
      <c r="F117" s="337">
        <f t="shared" si="33"/>
        <v>12.367115938864831</v>
      </c>
      <c r="G117" s="337">
        <f t="shared" si="34"/>
        <v>5.4850485383965273</v>
      </c>
      <c r="H117" s="337">
        <f t="shared" si="35"/>
        <v>5.4850485383965273</v>
      </c>
      <c r="I117" s="211"/>
      <c r="J117" s="214"/>
      <c r="K117" s="214"/>
      <c r="P117" s="52"/>
      <c r="Q117" s="52"/>
      <c r="R117" s="52"/>
    </row>
    <row r="118" spans="1:26">
      <c r="A118" s="428" t="s">
        <v>363</v>
      </c>
      <c r="B118" s="429">
        <f>Zwischenrechnung!E25</f>
        <v>25</v>
      </c>
      <c r="C118" s="429">
        <f>Zwischenrechnung!F25</f>
        <v>10</v>
      </c>
      <c r="D118" s="429">
        <f>Zwischenrechnung!G25</f>
        <v>100</v>
      </c>
      <c r="E118" s="429">
        <f t="shared" si="36"/>
        <v>85</v>
      </c>
      <c r="F118" s="435">
        <f t="shared" si="33"/>
        <v>3.1475324418193114</v>
      </c>
      <c r="G118" s="435">
        <f t="shared" si="34"/>
        <v>3.0176196020508459</v>
      </c>
      <c r="H118" s="435">
        <f t="shared" si="35"/>
        <v>3.0176196020508459</v>
      </c>
      <c r="I118" s="211"/>
      <c r="J118" s="214"/>
      <c r="K118" s="214"/>
      <c r="P118" s="52"/>
      <c r="Q118" s="52"/>
      <c r="R118" s="52"/>
    </row>
    <row r="119" spans="1:26" ht="19.5" thickBot="1">
      <c r="A119" s="430"/>
      <c r="B119" s="401" t="s">
        <v>422</v>
      </c>
      <c r="C119" s="431" t="s">
        <v>43</v>
      </c>
      <c r="D119" s="432" t="s">
        <v>423</v>
      </c>
      <c r="E119" s="433" t="s">
        <v>31</v>
      </c>
      <c r="F119" s="433" t="s">
        <v>387</v>
      </c>
      <c r="G119" s="433" t="s">
        <v>454</v>
      </c>
      <c r="H119" s="402" t="s">
        <v>45</v>
      </c>
      <c r="I119" s="403" t="s">
        <v>46</v>
      </c>
      <c r="J119" s="403" t="s">
        <v>59</v>
      </c>
      <c r="P119" s="52"/>
      <c r="Q119" s="52"/>
      <c r="R119" s="52"/>
    </row>
    <row r="120" spans="1:26">
      <c r="A120" s="510" t="s">
        <v>211</v>
      </c>
      <c r="B120" s="514">
        <f>Zwischenrechnung!$E$26</f>
        <v>28</v>
      </c>
      <c r="C120" s="344">
        <f>Zwischenrechnung!$E$26-3</f>
        <v>25</v>
      </c>
      <c r="D120" s="387">
        <f>C120/B120</f>
        <v>0.8928571428571429</v>
      </c>
      <c r="E120" s="344">
        <f>Zwischenrechnung!$F$26</f>
        <v>10</v>
      </c>
      <c r="F120" s="344">
        <f>Zwischenrechnung!$G$26</f>
        <v>200</v>
      </c>
      <c r="G120" s="344">
        <f>VLOOKUP(F120,$P$44:$Q$46,2,FALSE)</f>
        <v>180</v>
      </c>
      <c r="H120" s="79">
        <f>(IF(G120&gt;=100,$E$124,$E$125)*0.52*SQRT(E120)*G120^0.9*$B$101^0.8)/1000</f>
        <v>12.367115938864831</v>
      </c>
      <c r="I120" s="234">
        <f>MIN(2.3*SQRT($C$103*$C$105*$C$104)/1000+(H120/4),$C$104*$C$105*G120/1000,$C$104*$C$105*G120/1000*(SQRT(2+4*$C$103/($C$104*$C$105*G120^2))-1)+H120/4)</f>
        <v>5.4850485383965273</v>
      </c>
      <c r="J120" s="518">
        <f>D120*I120+D121*I121</f>
        <v>5.4767553665006261</v>
      </c>
      <c r="P120" s="52"/>
      <c r="Q120" s="52"/>
      <c r="R120" s="52"/>
    </row>
    <row r="121" spans="1:26" ht="16.5" thickBot="1">
      <c r="A121" s="511"/>
      <c r="B121" s="515"/>
      <c r="C121" s="341">
        <f>Zwischenrechnung!$E$26-C120</f>
        <v>3</v>
      </c>
      <c r="D121" s="390">
        <f>C121/B120</f>
        <v>0.10714285714285714</v>
      </c>
      <c r="E121" s="341">
        <f>Zwischenrechnung!$F$26</f>
        <v>10</v>
      </c>
      <c r="F121" s="341">
        <f>Zwischenrechnung!$G$26</f>
        <v>200</v>
      </c>
      <c r="G121" s="341">
        <f>VLOOKUP(F121,$P$44:$R$46,3,FALSE)</f>
        <v>175</v>
      </c>
      <c r="H121" s="70">
        <f>(IF(G121&gt;=100,$E$124,$E$125)*0.52*SQRT(E121)*G121^0.9*$B$101^0.8)/1000</f>
        <v>12.057504188084518</v>
      </c>
      <c r="I121" s="233">
        <f t="shared" ref="I121" si="37">MIN(2.3*SQRT($C$103*$C$105*$C$104)/1000+(H121/4),$C$104*$C$105*G121/1000,$C$104*$C$105*G121/1000*(SQRT(2+4*$C$103/($C$104*$C$105*G121^2))-1)+H121/4)</f>
        <v>5.4076456007014491</v>
      </c>
      <c r="J121" s="519"/>
      <c r="P121" s="52"/>
      <c r="Q121" s="52"/>
      <c r="R121" s="52"/>
    </row>
    <row r="122" spans="1:26">
      <c r="A122" s="510" t="s">
        <v>215</v>
      </c>
      <c r="B122" s="514">
        <f>Zwischenrechnung!$E$27</f>
        <v>28</v>
      </c>
      <c r="C122" s="344">
        <f>Zwischenrechnung!$E$27-3</f>
        <v>25</v>
      </c>
      <c r="D122" s="387">
        <f>C122/B122</f>
        <v>0.8928571428571429</v>
      </c>
      <c r="E122" s="344">
        <f>Zwischenrechnung!$F$27</f>
        <v>10</v>
      </c>
      <c r="F122" s="344">
        <f>Zwischenrechnung!$G$27</f>
        <v>200</v>
      </c>
      <c r="G122" s="344">
        <f>VLOOKUP(F122,$P$44:$Q$46,2,FALSE)</f>
        <v>180</v>
      </c>
      <c r="H122" s="79">
        <f>(IF(G122&gt;=100,$E$124,$E$125)*0.52*SQRT(E122)*G122^0.9*$B$101^0.8)/1000</f>
        <v>12.367115938864831</v>
      </c>
      <c r="I122" s="234">
        <f>MIN(2.3*SQRT($C$103*$C$105*$C$104)/1000+(H122/4),$C$104*$C$105*G122/1000,$C$104*$C$105*G122/1000*(SQRT(2+4*$C$103/($C$104*$C$105*G122^2))-1)+H122/4)</f>
        <v>5.4850485383965273</v>
      </c>
      <c r="J122" s="518">
        <f>D122*I122+D123*I123</f>
        <v>5.4767553665006261</v>
      </c>
      <c r="P122" s="52"/>
      <c r="Q122" s="52"/>
      <c r="R122" s="52"/>
    </row>
    <row r="123" spans="1:26">
      <c r="A123" s="513"/>
      <c r="B123" s="517"/>
      <c r="C123" s="340">
        <f>Zwischenrechnung!$E$27-C122</f>
        <v>3</v>
      </c>
      <c r="D123" s="381">
        <f>C123/B122</f>
        <v>0.10714285714285714</v>
      </c>
      <c r="E123" s="340">
        <f>Zwischenrechnung!$F$27</f>
        <v>10</v>
      </c>
      <c r="F123" s="340">
        <f>Zwischenrechnung!$G$27</f>
        <v>200</v>
      </c>
      <c r="G123" s="340">
        <f>VLOOKUP(F123,$P$44:$R$46,3,FALSE)</f>
        <v>175</v>
      </c>
      <c r="H123" s="65">
        <f>(IF(G123&gt;=100,$E$124,$E$125)*0.52*SQRT(E123)*G123^0.9*$B$101^0.8)/1000</f>
        <v>12.057504188084518</v>
      </c>
      <c r="I123" s="235">
        <f t="shared" ref="I123" si="38">MIN(2.3*SQRT($C$103*$C$105*$C$104)/1000+(H123/4),$C$104*$C$105*G123/1000,$C$104*$C$105*G123/1000*(SQRT(2+4*$C$103/($C$104*$C$105*G123^2))-1)+H123/4)</f>
        <v>5.4076456007014491</v>
      </c>
      <c r="J123" s="521"/>
      <c r="P123" s="52"/>
      <c r="Q123" s="52"/>
      <c r="R123" s="52"/>
    </row>
    <row r="124" spans="1:26">
      <c r="A124" s="117"/>
      <c r="B124" s="212"/>
      <c r="C124" s="212"/>
      <c r="D124" s="237" t="s">
        <v>214</v>
      </c>
      <c r="E124" s="434">
        <f>K21</f>
        <v>0.6</v>
      </c>
      <c r="F124" s="214"/>
      <c r="G124" s="214"/>
      <c r="P124" s="52"/>
      <c r="Q124" s="52"/>
      <c r="R124" s="52"/>
    </row>
    <row r="125" spans="1:26">
      <c r="A125" s="117"/>
      <c r="B125" s="212"/>
      <c r="C125" s="212"/>
      <c r="D125" s="237" t="s">
        <v>214</v>
      </c>
      <c r="E125" s="80">
        <f>K22</f>
        <v>0.3</v>
      </c>
      <c r="F125" s="214"/>
      <c r="G125" s="214"/>
      <c r="P125" s="52"/>
      <c r="Q125" s="52"/>
      <c r="R125" s="52"/>
    </row>
    <row r="126" spans="1:26">
      <c r="P126" s="52"/>
      <c r="Q126" s="52"/>
      <c r="R126" s="52"/>
    </row>
    <row r="127" spans="1:26" ht="18">
      <c r="A127" s="54" t="s">
        <v>24</v>
      </c>
      <c r="B127" s="55" t="s">
        <v>60</v>
      </c>
      <c r="C127" s="55" t="s">
        <v>61</v>
      </c>
      <c r="D127" s="55" t="s">
        <v>62</v>
      </c>
      <c r="E127" s="55" t="s">
        <v>63</v>
      </c>
      <c r="F127" s="55" t="s">
        <v>64</v>
      </c>
      <c r="G127" s="119" t="s">
        <v>65</v>
      </c>
      <c r="H127" s="120"/>
      <c r="I127" s="52"/>
      <c r="J127" s="52"/>
      <c r="K127" s="52"/>
      <c r="L127" s="52"/>
      <c r="N127" s="165" t="s">
        <v>237</v>
      </c>
      <c r="P127" s="52"/>
      <c r="Q127" s="52"/>
      <c r="X127" s="100" t="s">
        <v>450</v>
      </c>
      <c r="Y127" s="37" t="s">
        <v>451</v>
      </c>
    </row>
    <row r="128" spans="1:26" ht="18.75">
      <c r="A128" s="58"/>
      <c r="B128" s="89" t="s">
        <v>35</v>
      </c>
      <c r="C128" s="59" t="s">
        <v>36</v>
      </c>
      <c r="D128" s="59" t="s">
        <v>14</v>
      </c>
      <c r="E128" s="59" t="s">
        <v>14</v>
      </c>
      <c r="F128" s="59" t="s">
        <v>13</v>
      </c>
      <c r="G128" s="121" t="s">
        <v>35</v>
      </c>
      <c r="H128" s="120"/>
      <c r="I128" s="52"/>
      <c r="J128" s="52"/>
      <c r="K128" s="52"/>
      <c r="L128" s="52"/>
      <c r="N128" s="54" t="s">
        <v>24</v>
      </c>
      <c r="O128" s="55" t="s">
        <v>233</v>
      </c>
      <c r="P128" s="55" t="s">
        <v>235</v>
      </c>
      <c r="Q128" s="55" t="s">
        <v>234</v>
      </c>
      <c r="R128" s="55" t="s">
        <v>64</v>
      </c>
      <c r="S128" s="222" t="s">
        <v>69</v>
      </c>
      <c r="U128" s="98"/>
      <c r="V128" s="92"/>
      <c r="W128" s="413"/>
      <c r="X128" s="505" t="s">
        <v>458</v>
      </c>
      <c r="Y128" s="506"/>
      <c r="Z128" s="507"/>
    </row>
    <row r="129" spans="1:26">
      <c r="A129" s="62" t="s">
        <v>366</v>
      </c>
      <c r="B129" s="235">
        <f t="shared" ref="B129:B136" si="39">H111</f>
        <v>4.6696213569457061</v>
      </c>
      <c r="C129" s="65">
        <f t="shared" ref="C129:C136" si="40">B111</f>
        <v>7</v>
      </c>
      <c r="D129" s="65">
        <v>247</v>
      </c>
      <c r="E129" s="65">
        <v>529</v>
      </c>
      <c r="F129" s="66">
        <f t="shared" ref="F129:F138" si="41">R129</f>
        <v>52.857142857142854</v>
      </c>
      <c r="G129" s="65">
        <f t="shared" ref="G129:G138" si="42">B129/(SQRT((1/C129+F129/D129)^2+(F129/E129)^2))</f>
        <v>12.600900145443118</v>
      </c>
      <c r="H129" s="120"/>
      <c r="I129" s="52"/>
      <c r="J129" s="52"/>
      <c r="K129" s="52"/>
      <c r="L129" s="52"/>
      <c r="N129" s="62" t="s">
        <v>366</v>
      </c>
      <c r="O129" s="65">
        <f t="shared" ref="O129:O138" si="43">C129</f>
        <v>7</v>
      </c>
      <c r="P129" s="65">
        <f>(2*10+2*40+1*70+2*100)/7</f>
        <v>52.857142857142854</v>
      </c>
      <c r="Q129" s="65">
        <f>140-P129</f>
        <v>87.142857142857139</v>
      </c>
      <c r="R129" s="65">
        <f t="shared" ref="R129:R138" si="44">$R$139+P129</f>
        <v>52.857142857142854</v>
      </c>
      <c r="S129" s="65">
        <f t="shared" ref="S129:S138" si="45">$R$139+Q129</f>
        <v>87.142857142857139</v>
      </c>
      <c r="U129" s="414" t="s">
        <v>442</v>
      </c>
      <c r="V129" s="419" t="s">
        <v>437</v>
      </c>
      <c r="W129" s="420"/>
      <c r="X129" s="505" t="s">
        <v>459</v>
      </c>
      <c r="Y129" s="506"/>
      <c r="Z129" s="507"/>
    </row>
    <row r="130" spans="1:26" ht="19.5" thickBot="1">
      <c r="A130" s="67" t="s">
        <v>365</v>
      </c>
      <c r="B130" s="233">
        <f t="shared" si="39"/>
        <v>4.6696213569457061</v>
      </c>
      <c r="C130" s="70">
        <f t="shared" si="40"/>
        <v>10</v>
      </c>
      <c r="D130" s="70">
        <v>313</v>
      </c>
      <c r="E130" s="70">
        <v>683</v>
      </c>
      <c r="F130" s="71">
        <f t="shared" si="41"/>
        <v>52</v>
      </c>
      <c r="G130" s="70">
        <f t="shared" si="42"/>
        <v>16.869396588540951</v>
      </c>
      <c r="H130" s="122"/>
      <c r="I130" s="123"/>
      <c r="J130" s="84"/>
      <c r="K130" s="84"/>
      <c r="L130" s="84"/>
      <c r="N130" s="67" t="s">
        <v>365</v>
      </c>
      <c r="O130" s="70">
        <f t="shared" si="43"/>
        <v>10</v>
      </c>
      <c r="P130" s="70">
        <f>(3*10+2*40+3*70+2*100)/O130</f>
        <v>52</v>
      </c>
      <c r="Q130" s="70">
        <f>140-P130</f>
        <v>88</v>
      </c>
      <c r="R130" s="70">
        <f t="shared" si="44"/>
        <v>52</v>
      </c>
      <c r="S130" s="70">
        <f t="shared" si="45"/>
        <v>88</v>
      </c>
      <c r="U130" s="417" t="s">
        <v>441</v>
      </c>
      <c r="V130" s="418" t="s">
        <v>439</v>
      </c>
      <c r="W130" s="25" t="s">
        <v>438</v>
      </c>
      <c r="X130" s="25" t="s">
        <v>455</v>
      </c>
      <c r="Y130" s="25" t="s">
        <v>456</v>
      </c>
      <c r="Z130" s="27" t="s">
        <v>457</v>
      </c>
    </row>
    <row r="131" spans="1:26">
      <c r="A131" s="331" t="s">
        <v>358</v>
      </c>
      <c r="B131" s="337">
        <f t="shared" si="39"/>
        <v>4.6696213569457061</v>
      </c>
      <c r="C131" s="338">
        <f t="shared" si="40"/>
        <v>8</v>
      </c>
      <c r="D131" s="338">
        <v>318</v>
      </c>
      <c r="E131" s="338">
        <v>868</v>
      </c>
      <c r="F131" s="72">
        <f t="shared" si="41"/>
        <v>100</v>
      </c>
      <c r="G131" s="338">
        <f t="shared" si="42"/>
        <v>10.278366540844845</v>
      </c>
      <c r="H131" s="122"/>
      <c r="I131" s="123"/>
      <c r="J131" s="84"/>
      <c r="K131" s="84"/>
      <c r="L131" s="84"/>
      <c r="N131" s="331" t="s">
        <v>358</v>
      </c>
      <c r="O131" s="338">
        <f t="shared" si="43"/>
        <v>8</v>
      </c>
      <c r="P131" s="338">
        <f>(2*40+1*70+2*100+1*130+2*160)/8</f>
        <v>100</v>
      </c>
      <c r="Q131" s="338">
        <f>200-P131</f>
        <v>100</v>
      </c>
      <c r="R131" s="338">
        <f t="shared" si="44"/>
        <v>100</v>
      </c>
      <c r="S131" s="338">
        <f t="shared" si="45"/>
        <v>100</v>
      </c>
      <c r="U131" s="422" t="s">
        <v>435</v>
      </c>
      <c r="V131" s="419" t="s">
        <v>440</v>
      </c>
      <c r="W131" s="420" t="s">
        <v>443</v>
      </c>
      <c r="X131" s="423">
        <v>153.6</v>
      </c>
      <c r="Y131" s="423">
        <v>136.9</v>
      </c>
      <c r="Z131" s="423">
        <v>50</v>
      </c>
    </row>
    <row r="132" spans="1:26" ht="16.5" thickBot="1">
      <c r="A132" s="73" t="s">
        <v>359</v>
      </c>
      <c r="B132" s="238">
        <f t="shared" si="39"/>
        <v>4.6696213569457061</v>
      </c>
      <c r="C132" s="339">
        <f t="shared" si="40"/>
        <v>16</v>
      </c>
      <c r="D132" s="339">
        <v>590</v>
      </c>
      <c r="E132" s="339">
        <v>2061</v>
      </c>
      <c r="F132" s="71">
        <f t="shared" si="41"/>
        <v>83.125</v>
      </c>
      <c r="G132" s="339">
        <f t="shared" si="42"/>
        <v>22.520452944557761</v>
      </c>
      <c r="H132" s="122"/>
      <c r="I132" s="123"/>
      <c r="J132" s="84"/>
      <c r="K132" s="84"/>
      <c r="L132" s="84"/>
      <c r="N132" s="73" t="s">
        <v>359</v>
      </c>
      <c r="O132" s="339">
        <f t="shared" si="43"/>
        <v>16</v>
      </c>
      <c r="P132" s="339">
        <f>(3*10+2*40+3*70+3*100+3*130+2*160)/O132</f>
        <v>83.125</v>
      </c>
      <c r="Q132" s="339">
        <f>200-P132</f>
        <v>116.875</v>
      </c>
      <c r="R132" s="339">
        <f t="shared" si="44"/>
        <v>83.125</v>
      </c>
      <c r="S132" s="339">
        <f t="shared" si="45"/>
        <v>116.875</v>
      </c>
      <c r="U132" s="508" t="s">
        <v>436</v>
      </c>
      <c r="V132" s="415" t="s">
        <v>440</v>
      </c>
      <c r="W132" s="416" t="s">
        <v>443</v>
      </c>
      <c r="X132" s="501">
        <v>153.6</v>
      </c>
      <c r="Y132" s="501">
        <v>136.9</v>
      </c>
      <c r="Z132" s="501">
        <v>50</v>
      </c>
    </row>
    <row r="133" spans="1:26">
      <c r="A133" s="76" t="s">
        <v>360</v>
      </c>
      <c r="B133" s="234">
        <f t="shared" si="39"/>
        <v>5.4850485383965273</v>
      </c>
      <c r="C133" s="79">
        <f t="shared" si="40"/>
        <v>8</v>
      </c>
      <c r="D133" s="79">
        <v>360</v>
      </c>
      <c r="E133" s="79">
        <v>720</v>
      </c>
      <c r="F133" s="72">
        <f t="shared" si="41"/>
        <v>100</v>
      </c>
      <c r="G133" s="79">
        <f t="shared" si="42"/>
        <v>12.874137991718278</v>
      </c>
      <c r="H133" s="122"/>
      <c r="I133" s="123"/>
      <c r="J133" s="84"/>
      <c r="K133" s="84"/>
      <c r="L133" s="84"/>
      <c r="N133" s="76" t="s">
        <v>360</v>
      </c>
      <c r="O133" s="79">
        <f t="shared" si="43"/>
        <v>8</v>
      </c>
      <c r="P133" s="79">
        <f>(2*40+1*70+2*100+1*130+2*160)/8</f>
        <v>100</v>
      </c>
      <c r="Q133" s="79">
        <f>200-P133</f>
        <v>100</v>
      </c>
      <c r="R133" s="79">
        <f t="shared" si="44"/>
        <v>100</v>
      </c>
      <c r="S133" s="79">
        <f t="shared" si="45"/>
        <v>100</v>
      </c>
      <c r="U133" s="509"/>
      <c r="V133" s="424" t="s">
        <v>444</v>
      </c>
      <c r="W133" s="424" t="s">
        <v>446</v>
      </c>
      <c r="X133" s="502"/>
      <c r="Y133" s="502"/>
      <c r="Z133" s="502"/>
    </row>
    <row r="134" spans="1:26" ht="16.5" thickBot="1">
      <c r="A134" s="67" t="s">
        <v>361</v>
      </c>
      <c r="B134" s="233">
        <f t="shared" si="39"/>
        <v>6.9948330005573833</v>
      </c>
      <c r="C134" s="70">
        <f t="shared" si="40"/>
        <v>16</v>
      </c>
      <c r="D134" s="70">
        <v>665</v>
      </c>
      <c r="E134" s="70">
        <v>1678</v>
      </c>
      <c r="F134" s="71">
        <f t="shared" si="41"/>
        <v>83.125</v>
      </c>
      <c r="G134" s="70">
        <f t="shared" si="42"/>
        <v>36.068167852926997</v>
      </c>
      <c r="H134" s="122"/>
      <c r="I134" s="123"/>
      <c r="J134" s="84"/>
      <c r="K134" s="84"/>
      <c r="L134" s="84"/>
      <c r="N134" s="67" t="s">
        <v>361</v>
      </c>
      <c r="O134" s="70">
        <f t="shared" si="43"/>
        <v>16</v>
      </c>
      <c r="P134" s="70">
        <f>(3*10+2*40+3*70+3*100+3*130+2*160)/O134</f>
        <v>83.125</v>
      </c>
      <c r="Q134" s="70">
        <f>200-P134</f>
        <v>116.875</v>
      </c>
      <c r="R134" s="70">
        <f t="shared" si="44"/>
        <v>83.125</v>
      </c>
      <c r="S134" s="70">
        <f t="shared" si="45"/>
        <v>116.875</v>
      </c>
      <c r="U134" s="508" t="s">
        <v>215</v>
      </c>
      <c r="V134" s="415" t="s">
        <v>445</v>
      </c>
      <c r="W134" s="416" t="s">
        <v>443</v>
      </c>
      <c r="X134" s="503">
        <v>167.8</v>
      </c>
      <c r="Y134" s="503">
        <v>156.69999999999999</v>
      </c>
      <c r="Z134" s="503">
        <v>50</v>
      </c>
    </row>
    <row r="135" spans="1:26">
      <c r="A135" s="331" t="s">
        <v>362</v>
      </c>
      <c r="B135" s="337">
        <f t="shared" si="39"/>
        <v>5.4850485383965273</v>
      </c>
      <c r="C135" s="338">
        <f t="shared" si="40"/>
        <v>8</v>
      </c>
      <c r="D135" s="338">
        <v>566</v>
      </c>
      <c r="E135" s="338">
        <v>1980</v>
      </c>
      <c r="F135" s="72">
        <f t="shared" si="41"/>
        <v>145</v>
      </c>
      <c r="G135" s="338">
        <f t="shared" si="42"/>
        <v>14.131091159800292</v>
      </c>
      <c r="H135" s="122"/>
      <c r="I135" s="123"/>
      <c r="J135" s="84"/>
      <c r="K135" s="84"/>
      <c r="L135" s="84"/>
      <c r="N135" s="331" t="s">
        <v>362</v>
      </c>
      <c r="O135" s="338">
        <f t="shared" si="43"/>
        <v>8</v>
      </c>
      <c r="P135" s="338">
        <f>(2*40+2*100+2*190+2*250)/8</f>
        <v>145</v>
      </c>
      <c r="Q135" s="338">
        <f>290-P135</f>
        <v>145</v>
      </c>
      <c r="R135" s="338">
        <f t="shared" si="44"/>
        <v>145</v>
      </c>
      <c r="S135" s="338">
        <f t="shared" si="45"/>
        <v>145</v>
      </c>
      <c r="U135" s="509"/>
      <c r="V135" s="424" t="s">
        <v>444</v>
      </c>
      <c r="W135" s="424" t="s">
        <v>446</v>
      </c>
      <c r="X135" s="504"/>
      <c r="Y135" s="504"/>
      <c r="Z135" s="504"/>
    </row>
    <row r="136" spans="1:26" ht="16.5" thickBot="1">
      <c r="A136" s="73" t="s">
        <v>363</v>
      </c>
      <c r="B136" s="238">
        <f t="shared" si="39"/>
        <v>3.0176196020508459</v>
      </c>
      <c r="C136" s="339">
        <f t="shared" si="40"/>
        <v>25</v>
      </c>
      <c r="D136" s="339">
        <v>1284</v>
      </c>
      <c r="E136" s="339">
        <v>5189</v>
      </c>
      <c r="F136" s="71">
        <f t="shared" si="41"/>
        <v>128.80000000000001</v>
      </c>
      <c r="G136" s="339">
        <f t="shared" si="42"/>
        <v>21.17774161349735</v>
      </c>
      <c r="H136" s="232"/>
      <c r="I136" s="123"/>
      <c r="J136" s="84"/>
      <c r="K136" s="84"/>
      <c r="L136" s="84"/>
      <c r="N136" s="73" t="s">
        <v>363</v>
      </c>
      <c r="O136" s="339">
        <f t="shared" si="43"/>
        <v>25</v>
      </c>
      <c r="P136" s="339">
        <f>(3*10+2*40+3*70+3*100+3*130+3*160+3*190+3*220+2*250)/O136</f>
        <v>128.80000000000001</v>
      </c>
      <c r="Q136" s="339">
        <f>290-P136</f>
        <v>161.19999999999999</v>
      </c>
      <c r="R136" s="339">
        <f t="shared" si="44"/>
        <v>128.80000000000001</v>
      </c>
      <c r="S136" s="339">
        <f t="shared" si="45"/>
        <v>161.19999999999999</v>
      </c>
      <c r="Z136" s="215" t="s">
        <v>461</v>
      </c>
    </row>
    <row r="137" spans="1:26">
      <c r="A137" s="76" t="s">
        <v>211</v>
      </c>
      <c r="B137" s="234">
        <f>J120</f>
        <v>5.4767553665006261</v>
      </c>
      <c r="C137" s="79">
        <f>C120</f>
        <v>25</v>
      </c>
      <c r="D137" s="79">
        <v>1581</v>
      </c>
      <c r="E137" s="79">
        <v>7226</v>
      </c>
      <c r="F137" s="72">
        <f t="shared" si="41"/>
        <v>182.4</v>
      </c>
      <c r="G137" s="79">
        <f t="shared" si="42"/>
        <v>34.793561840503209</v>
      </c>
      <c r="H137" s="124"/>
      <c r="I137" s="123"/>
      <c r="J137" s="84"/>
      <c r="K137" s="84"/>
      <c r="L137" s="84"/>
      <c r="N137" s="76" t="s">
        <v>211</v>
      </c>
      <c r="O137" s="79">
        <f t="shared" si="43"/>
        <v>25</v>
      </c>
      <c r="P137" s="79">
        <f>(3*30+3*60+2*90+3*120+3*150+3*180+3*210+3*240+3*270+2*300)/O137</f>
        <v>182.4</v>
      </c>
      <c r="Q137" s="79">
        <f>340-P137</f>
        <v>157.6</v>
      </c>
      <c r="R137" s="79">
        <f t="shared" si="44"/>
        <v>182.4</v>
      </c>
      <c r="S137" s="79">
        <f t="shared" si="45"/>
        <v>157.6</v>
      </c>
      <c r="Z137" t="s">
        <v>460</v>
      </c>
    </row>
    <row r="138" spans="1:26">
      <c r="A138" s="62" t="s">
        <v>215</v>
      </c>
      <c r="B138" s="235">
        <f>J122</f>
        <v>5.4767553665006261</v>
      </c>
      <c r="C138" s="65">
        <f>C122</f>
        <v>25</v>
      </c>
      <c r="D138" s="65">
        <v>1581</v>
      </c>
      <c r="E138" s="65">
        <v>7226</v>
      </c>
      <c r="F138" s="66">
        <f t="shared" si="41"/>
        <v>182.4</v>
      </c>
      <c r="G138" s="65">
        <f t="shared" si="42"/>
        <v>34.793561840503209</v>
      </c>
      <c r="H138" s="124"/>
      <c r="I138" s="123"/>
      <c r="J138" s="84"/>
      <c r="K138" s="84"/>
      <c r="L138" s="84"/>
      <c r="N138" s="62" t="s">
        <v>215</v>
      </c>
      <c r="O138" s="65">
        <f t="shared" si="43"/>
        <v>25</v>
      </c>
      <c r="P138" s="65">
        <f>(3*30+3*60+2*90+3*120+3*150+3*180+3*210+3*240+3*270+2*300)/O138</f>
        <v>182.4</v>
      </c>
      <c r="Q138" s="65">
        <f>340-P138</f>
        <v>157.6</v>
      </c>
      <c r="R138" s="65">
        <f t="shared" si="44"/>
        <v>182.4</v>
      </c>
      <c r="S138" s="65">
        <f t="shared" si="45"/>
        <v>157.6</v>
      </c>
    </row>
    <row r="139" spans="1:26">
      <c r="A139" s="219"/>
      <c r="B139" s="211"/>
      <c r="C139" s="212"/>
      <c r="D139" s="212"/>
      <c r="E139" s="220"/>
      <c r="F139" s="214"/>
      <c r="G139" s="214"/>
      <c r="H139" s="124"/>
      <c r="I139" s="123"/>
      <c r="J139" s="84"/>
      <c r="K139" s="84"/>
      <c r="L139" s="84"/>
      <c r="P139" s="52"/>
      <c r="Q139" s="236" t="s">
        <v>236</v>
      </c>
      <c r="R139" s="124">
        <f>Bemessung!D79</f>
        <v>0</v>
      </c>
    </row>
    <row r="140" spans="1:26">
      <c r="B140" s="124"/>
      <c r="C140" s="124"/>
      <c r="D140" s="123"/>
      <c r="E140" s="84"/>
      <c r="F140" s="84"/>
      <c r="G140" s="124"/>
      <c r="H140" s="124"/>
      <c r="I140" s="123"/>
      <c r="J140" s="84"/>
      <c r="K140" s="84"/>
      <c r="L140" s="84"/>
      <c r="P140" s="52"/>
      <c r="Q140" s="52"/>
      <c r="R140" s="52"/>
    </row>
    <row r="141" spans="1:26">
      <c r="P141" s="52"/>
      <c r="Q141" s="52"/>
      <c r="R141" s="52"/>
    </row>
    <row r="142" spans="1:26" ht="18.75">
      <c r="A142" s="54" t="s">
        <v>24</v>
      </c>
      <c r="B142" s="55" t="s">
        <v>43</v>
      </c>
      <c r="C142" s="55" t="s">
        <v>31</v>
      </c>
      <c r="D142" s="222" t="s">
        <v>391</v>
      </c>
      <c r="E142" s="55" t="s">
        <v>44</v>
      </c>
      <c r="F142" s="55" t="s">
        <v>48</v>
      </c>
      <c r="G142" s="119" t="s">
        <v>49</v>
      </c>
      <c r="H142" s="221" t="s">
        <v>66</v>
      </c>
      <c r="I142" s="52"/>
      <c r="J142" s="52"/>
      <c r="K142" s="52"/>
      <c r="P142" s="52"/>
      <c r="Q142" s="52"/>
      <c r="R142" s="52"/>
    </row>
    <row r="143" spans="1:26">
      <c r="A143" s="58"/>
      <c r="B143" s="59" t="s">
        <v>36</v>
      </c>
      <c r="C143" s="59" t="s">
        <v>13</v>
      </c>
      <c r="D143" s="59" t="s">
        <v>13</v>
      </c>
      <c r="E143" s="59" t="s">
        <v>13</v>
      </c>
      <c r="F143" s="59" t="s">
        <v>35</v>
      </c>
      <c r="G143" s="121" t="s">
        <v>35</v>
      </c>
      <c r="H143" s="218" t="s">
        <v>35</v>
      </c>
      <c r="I143" s="52"/>
      <c r="J143" s="52"/>
      <c r="K143" s="52"/>
      <c r="P143" s="52"/>
      <c r="Q143" s="52"/>
      <c r="R143" s="52"/>
    </row>
    <row r="144" spans="1:26">
      <c r="A144" s="62" t="s">
        <v>366</v>
      </c>
      <c r="B144" s="340">
        <f>Zwischenrechnung!B18</f>
        <v>7</v>
      </c>
      <c r="C144" s="340">
        <f>Zwischenrechnung!C18</f>
        <v>8</v>
      </c>
      <c r="D144" s="340">
        <f>Zwischenrechnung!D18</f>
        <v>80</v>
      </c>
      <c r="E144" s="340">
        <f>VLOOKUP(D144,$P$57:$Q$58,2,FALSE)</f>
        <v>70</v>
      </c>
      <c r="F144" s="65">
        <f t="shared" ref="F144:F151" si="46">(0.52*SQRT(C144)*E144^0.9*$B$102^0.8)/1000</f>
        <v>7.8796178754106014</v>
      </c>
      <c r="G144" s="235">
        <f>MIN(2.3*SQRT($C$103*$C$106*$C$104)/1000+(F144/4),$C$104*$C$106*E144/1000,$C$104*$C$106*E144/1000*(SQRT(2+4*$C$103/($C$104*$C$106*E144^2))-1)+F144/4)</f>
        <v>5.7539958910348616</v>
      </c>
      <c r="H144" s="235">
        <f t="shared" ref="H144" si="47">G144</f>
        <v>5.7539958910348616</v>
      </c>
      <c r="I144" s="52"/>
      <c r="J144" s="52"/>
      <c r="K144" s="52"/>
      <c r="P144" s="52"/>
      <c r="Q144" s="52"/>
      <c r="R144" s="52"/>
    </row>
    <row r="145" spans="1:18" ht="16.5" thickBot="1">
      <c r="A145" s="67" t="s">
        <v>365</v>
      </c>
      <c r="B145" s="341">
        <f>Zwischenrechnung!B19</f>
        <v>10</v>
      </c>
      <c r="C145" s="341">
        <f>Zwischenrechnung!C19</f>
        <v>8</v>
      </c>
      <c r="D145" s="341">
        <f>Zwischenrechnung!D19</f>
        <v>80</v>
      </c>
      <c r="E145" s="341">
        <f>VLOOKUP(D145,$P$57:$Q$58,2,FALSE)</f>
        <v>70</v>
      </c>
      <c r="F145" s="70">
        <f t="shared" si="46"/>
        <v>7.8796178754106014</v>
      </c>
      <c r="G145" s="233">
        <f>MIN(2.3*SQRT($C$103*$C$106*$C$104)/1000+(F145/4),$C$104*$C$106*E145/1000,$C$104*$C$106*E145/1000*(SQRT(2+4*$C$103/($C$104*$C$106*E145^2))-1)+F145/4)</f>
        <v>5.7539958910348616</v>
      </c>
      <c r="H145" s="233">
        <f t="shared" ref="H145:H151" si="48">G145</f>
        <v>5.7539958910348616</v>
      </c>
      <c r="I145" s="123"/>
      <c r="J145" s="217"/>
      <c r="K145" s="217"/>
      <c r="P145" s="52"/>
      <c r="Q145" s="52"/>
      <c r="R145" s="52"/>
    </row>
    <row r="146" spans="1:18">
      <c r="A146" s="331" t="s">
        <v>358</v>
      </c>
      <c r="B146" s="342">
        <f>Zwischenrechnung!B20</f>
        <v>8</v>
      </c>
      <c r="C146" s="342">
        <f>Zwischenrechnung!C20</f>
        <v>8</v>
      </c>
      <c r="D146" s="342">
        <f>Zwischenrechnung!D20</f>
        <v>80</v>
      </c>
      <c r="E146" s="342">
        <f>VLOOKUP(D146,$P$57:$Q$58,2,FALSE)</f>
        <v>70</v>
      </c>
      <c r="F146" s="338">
        <f t="shared" si="46"/>
        <v>7.8796178754106014</v>
      </c>
      <c r="G146" s="337">
        <f>MIN(2.3*SQRT($C$103*$C$106*$C$104)/1000+(F146/4),$C$104*$C$106*E146/1000,$C$104*$C$106*E146/1000*(SQRT(2+4*$C$103/($C$104*$C$106*E146^2))-1)+F146/4)</f>
        <v>5.7539958910348616</v>
      </c>
      <c r="H146" s="337">
        <f t="shared" ref="H146" si="49">G146</f>
        <v>5.7539958910348616</v>
      </c>
      <c r="I146" s="123"/>
      <c r="J146" s="217"/>
      <c r="K146" s="217"/>
      <c r="P146" s="52"/>
      <c r="Q146" s="52"/>
      <c r="R146" s="52"/>
    </row>
    <row r="147" spans="1:18" ht="16.5" thickBot="1">
      <c r="A147" s="73" t="s">
        <v>359</v>
      </c>
      <c r="B147" s="343">
        <f>Zwischenrechnung!B21</f>
        <v>16</v>
      </c>
      <c r="C147" s="343">
        <f>Zwischenrechnung!C21</f>
        <v>8</v>
      </c>
      <c r="D147" s="343">
        <f>Zwischenrechnung!D21</f>
        <v>80</v>
      </c>
      <c r="E147" s="343">
        <f>VLOOKUP(D147,$P$57:$Q$58,2,FALSE)</f>
        <v>70</v>
      </c>
      <c r="F147" s="339">
        <f t="shared" si="46"/>
        <v>7.8796178754106014</v>
      </c>
      <c r="G147" s="238">
        <f>MIN(2.3*SQRT($C$103*$C$106*$C$104)/1000+(F147/4),$C$104*$C$106*E147/1000,$C$104*$C$106*E147/1000*(SQRT(2+4*$C$103/($C$104*$C$106*E147^2))-1)+F147/4)</f>
        <v>5.7539958910348616</v>
      </c>
      <c r="H147" s="238">
        <f t="shared" si="48"/>
        <v>5.7539958910348616</v>
      </c>
      <c r="I147" s="211"/>
      <c r="J147" s="214"/>
      <c r="K147" s="214"/>
      <c r="P147" s="52"/>
      <c r="Q147" s="52"/>
      <c r="R147" s="52"/>
    </row>
    <row r="148" spans="1:18">
      <c r="A148" s="76" t="s">
        <v>360</v>
      </c>
      <c r="B148" s="344">
        <f>Zwischenrechnung!B22</f>
        <v>8</v>
      </c>
      <c r="C148" s="344">
        <f>Zwischenrechnung!C22</f>
        <v>10</v>
      </c>
      <c r="D148" s="344">
        <f>Zwischenrechnung!D22</f>
        <v>100</v>
      </c>
      <c r="E148" s="344">
        <f t="shared" ref="E148:E151" si="50">VLOOKUP(D148,$P$61:$Q$63,2,FALSE)</f>
        <v>85</v>
      </c>
      <c r="F148" s="79">
        <f t="shared" si="46"/>
        <v>10.491774806064372</v>
      </c>
      <c r="G148" s="234">
        <f t="shared" ref="G148:G151" si="51">MIN(2.3*SQRT($B$103*$B$106*$B$104)/1000+(F148/4),$B$104*$B$106*E148/1000,$B$104*$B$106*E148/1000*(SQRT(2+4*$B$103/($B$104*$B$106*E148^2))-1)+F148/4)</f>
        <v>8.0354591525640107</v>
      </c>
      <c r="H148" s="234">
        <f t="shared" ref="H148" si="52">G148</f>
        <v>8.0354591525640107</v>
      </c>
      <c r="I148" s="211"/>
      <c r="J148" s="214"/>
      <c r="K148" s="214"/>
      <c r="P148" s="52"/>
      <c r="Q148" s="52"/>
      <c r="R148" s="52"/>
    </row>
    <row r="149" spans="1:18" ht="16.5" thickBot="1">
      <c r="A149" s="67" t="s">
        <v>361</v>
      </c>
      <c r="B149" s="341">
        <f>Zwischenrechnung!B23</f>
        <v>16</v>
      </c>
      <c r="C149" s="341">
        <f>Zwischenrechnung!C23</f>
        <v>10</v>
      </c>
      <c r="D149" s="341">
        <f>Zwischenrechnung!D23</f>
        <v>100</v>
      </c>
      <c r="E149" s="341">
        <f t="shared" si="50"/>
        <v>85</v>
      </c>
      <c r="F149" s="70">
        <f t="shared" si="46"/>
        <v>10.491774806064372</v>
      </c>
      <c r="G149" s="233">
        <f t="shared" si="51"/>
        <v>8.0354591525640107</v>
      </c>
      <c r="H149" s="233">
        <f t="shared" si="48"/>
        <v>8.0354591525640107</v>
      </c>
      <c r="I149" s="211"/>
      <c r="J149" s="214"/>
      <c r="K149" s="214"/>
      <c r="P149" s="52"/>
      <c r="Q149" s="52"/>
      <c r="R149" s="52"/>
    </row>
    <row r="150" spans="1:18">
      <c r="A150" s="331" t="s">
        <v>362</v>
      </c>
      <c r="B150" s="342">
        <f>Zwischenrechnung!B24</f>
        <v>8</v>
      </c>
      <c r="C150" s="342">
        <f>Zwischenrechnung!C24</f>
        <v>10</v>
      </c>
      <c r="D150" s="342">
        <f>Zwischenrechnung!D24</f>
        <v>100</v>
      </c>
      <c r="E150" s="342">
        <f t="shared" si="50"/>
        <v>85</v>
      </c>
      <c r="F150" s="338">
        <f t="shared" si="46"/>
        <v>10.491774806064372</v>
      </c>
      <c r="G150" s="337">
        <f t="shared" si="51"/>
        <v>8.0354591525640107</v>
      </c>
      <c r="H150" s="337">
        <f t="shared" ref="H150" si="53">G150</f>
        <v>8.0354591525640107</v>
      </c>
      <c r="I150" s="211"/>
      <c r="J150" s="214"/>
      <c r="K150" s="214"/>
      <c r="P150" s="52"/>
      <c r="Q150" s="52"/>
      <c r="R150" s="52"/>
    </row>
    <row r="151" spans="1:18" ht="16.5" thickBot="1">
      <c r="A151" s="73" t="s">
        <v>363</v>
      </c>
      <c r="B151" s="343">
        <f>Zwischenrechnung!B25</f>
        <v>25</v>
      </c>
      <c r="C151" s="343">
        <f>Zwischenrechnung!C25</f>
        <v>10</v>
      </c>
      <c r="D151" s="343">
        <f>Zwischenrechnung!D25</f>
        <v>100</v>
      </c>
      <c r="E151" s="343">
        <f t="shared" si="50"/>
        <v>85</v>
      </c>
      <c r="F151" s="339">
        <f t="shared" si="46"/>
        <v>10.491774806064372</v>
      </c>
      <c r="G151" s="238">
        <f t="shared" si="51"/>
        <v>8.0354591525640107</v>
      </c>
      <c r="H151" s="238">
        <f t="shared" si="48"/>
        <v>8.0354591525640107</v>
      </c>
      <c r="I151" s="211"/>
      <c r="J151" s="214"/>
      <c r="K151" s="214"/>
      <c r="P151" s="52"/>
      <c r="Q151" s="52"/>
      <c r="R151" s="52"/>
    </row>
    <row r="152" spans="1:18" ht="19.5" thickBot="1">
      <c r="A152" s="430"/>
      <c r="B152" s="401" t="s">
        <v>422</v>
      </c>
      <c r="C152" s="431" t="s">
        <v>43</v>
      </c>
      <c r="D152" s="432" t="s">
        <v>423</v>
      </c>
      <c r="E152" s="433" t="s">
        <v>31</v>
      </c>
      <c r="F152" s="433" t="s">
        <v>391</v>
      </c>
      <c r="G152" s="433" t="s">
        <v>44</v>
      </c>
      <c r="H152" s="402" t="s">
        <v>48</v>
      </c>
      <c r="I152" s="403" t="s">
        <v>49</v>
      </c>
      <c r="J152" s="403" t="s">
        <v>66</v>
      </c>
      <c r="K152" s="214"/>
      <c r="P152" s="52"/>
      <c r="Q152" s="52"/>
      <c r="R152" s="52"/>
    </row>
    <row r="153" spans="1:18">
      <c r="A153" s="510" t="s">
        <v>211</v>
      </c>
      <c r="B153" s="514">
        <f>Zwischenrechnung!B26</f>
        <v>28</v>
      </c>
      <c r="C153" s="344">
        <f>Zwischenrechnung!$B$26-3</f>
        <v>25</v>
      </c>
      <c r="D153" s="387">
        <f>C153/B153</f>
        <v>0.8928571428571429</v>
      </c>
      <c r="E153" s="344">
        <f>Zwischenrechnung!$C$26</f>
        <v>10</v>
      </c>
      <c r="F153" s="344">
        <f>Zwischenrechnung!$D$26</f>
        <v>100</v>
      </c>
      <c r="G153" s="344">
        <f>VLOOKUP(F153,$P$61:$Q$63,2,FALSE)</f>
        <v>85</v>
      </c>
      <c r="H153" s="234">
        <f>(0.52*SQRT(E153)*G153^0.9*$B$102^0.8)/1000</f>
        <v>10.491774806064372</v>
      </c>
      <c r="I153" s="234">
        <f>MIN(2.3*SQRT($B$103*$B$106*$B$104)/1000+(H153/4),$B$104*$B$106*G153/1000,$B$104*$B$106*G153/1000*(SQRT(2+4*$B$103/($B$104*$B$106*G153^2))-1)+H153/4)</f>
        <v>8.0354591525640107</v>
      </c>
      <c r="J153" s="518">
        <f>D153*I153+D154*I154</f>
        <v>8.0055199788361939</v>
      </c>
      <c r="K153" s="214"/>
      <c r="L153" s="214"/>
      <c r="P153" s="52"/>
      <c r="Q153" s="52"/>
      <c r="R153" s="52"/>
    </row>
    <row r="154" spans="1:18" ht="16.5" thickBot="1">
      <c r="A154" s="511"/>
      <c r="B154" s="515"/>
      <c r="C154" s="341">
        <f>Zwischenrechnung!$B$26-C153</f>
        <v>3</v>
      </c>
      <c r="D154" s="390">
        <f>C154/B153</f>
        <v>0.10714285714285714</v>
      </c>
      <c r="E154" s="341">
        <f>Zwischenrechnung!$C$26</f>
        <v>10</v>
      </c>
      <c r="F154" s="341">
        <f>Zwischenrechnung!$D$26</f>
        <v>100</v>
      </c>
      <c r="G154" s="341">
        <f>VLOOKUP(F154,$P$61:$R$63,3,FALSE)</f>
        <v>75</v>
      </c>
      <c r="H154" s="233">
        <f>(0.52*SQRT(E154)*G154^0.9*$B$102^0.8)/1000</f>
        <v>9.3740456535592109</v>
      </c>
      <c r="I154" s="233">
        <f>MIN(2.3*SQRT($B$103*$B$106*$B$104)/1000+(H154/4),$B$104*$B$106*G154/1000,$B$104*$B$106*G154/1000*(SQRT(2+4*$B$103/($B$104*$B$106*G154^2))-1)+H154/4)</f>
        <v>7.7560268644377208</v>
      </c>
      <c r="J154" s="519"/>
      <c r="K154" s="214"/>
      <c r="L154" s="214"/>
      <c r="P154" s="52"/>
      <c r="Q154" s="52"/>
      <c r="R154" s="52"/>
    </row>
    <row r="155" spans="1:18">
      <c r="A155" s="512" t="s">
        <v>215</v>
      </c>
      <c r="B155" s="516">
        <f>Zwischenrechnung!B27</f>
        <v>28</v>
      </c>
      <c r="C155" s="375">
        <f>Zwischenrechnung!$B$27-3</f>
        <v>25</v>
      </c>
      <c r="D155" s="384">
        <f>C155/B155</f>
        <v>0.8928571428571429</v>
      </c>
      <c r="E155" s="375">
        <f>Zwischenrechnung!$C$27</f>
        <v>10</v>
      </c>
      <c r="F155" s="375">
        <f>Zwischenrechnung!$D$27</f>
        <v>100</v>
      </c>
      <c r="G155" s="375">
        <f>VLOOKUP(F155,$P$61:$Q$63,2,FALSE)</f>
        <v>85</v>
      </c>
      <c r="H155" s="427">
        <f>(0.52*SQRT(E155)*G155^0.9*$B$102^0.8)/1000</f>
        <v>10.491774806064372</v>
      </c>
      <c r="I155" s="427">
        <f>MIN(2.3*SQRT($B$103*$B$106*$B$104)/1000+(H155/4),$B$104*$B$106*G155/1000,$B$104*$B$106*G155/1000*(SQRT(2+4*$B$103/($B$104*$B$106*G155^2))-1)+H155/4)</f>
        <v>8.0354591525640107</v>
      </c>
      <c r="J155" s="520">
        <f>D155*I155+D156*I156</f>
        <v>8.0055199788361939</v>
      </c>
      <c r="K155" s="214"/>
      <c r="L155" s="214"/>
      <c r="P155" s="52"/>
      <c r="Q155" s="52"/>
      <c r="R155" s="52"/>
    </row>
    <row r="156" spans="1:18">
      <c r="A156" s="513"/>
      <c r="B156" s="517"/>
      <c r="C156" s="340">
        <f>Zwischenrechnung!$B$27-C155</f>
        <v>3</v>
      </c>
      <c r="D156" s="381">
        <f>C156/B155</f>
        <v>0.10714285714285714</v>
      </c>
      <c r="E156" s="340">
        <f>Zwischenrechnung!$C$27</f>
        <v>10</v>
      </c>
      <c r="F156" s="340">
        <f>Zwischenrechnung!$D$27</f>
        <v>100</v>
      </c>
      <c r="G156" s="340">
        <f>VLOOKUP(F156,$P$61:$R$63,3,FALSE)</f>
        <v>75</v>
      </c>
      <c r="H156" s="235">
        <f>(0.52*SQRT(E156)*G156^0.9*$B$102^0.8)/1000</f>
        <v>9.3740456535592109</v>
      </c>
      <c r="I156" s="235">
        <f>MIN(2.3*SQRT($B$103*$B$106*$B$104)/1000+(H156/4),$B$104*$B$106*G156/1000,$B$104*$B$106*G156/1000*(SQRT(2+4*$B$103/($B$104*$B$106*G156^2))-1)+H156/4)</f>
        <v>7.7560268644377208</v>
      </c>
      <c r="J156" s="521"/>
      <c r="K156" s="214"/>
      <c r="L156" s="214"/>
      <c r="P156" s="52"/>
      <c r="Q156" s="52"/>
      <c r="R156" s="52"/>
    </row>
    <row r="157" spans="1:18">
      <c r="A157" s="219"/>
      <c r="B157" s="212"/>
      <c r="C157" s="212"/>
      <c r="D157" s="211"/>
      <c r="E157" s="214"/>
      <c r="F157" s="214"/>
      <c r="G157" s="212"/>
      <c r="H157" s="212"/>
      <c r="I157" s="211"/>
      <c r="J157" s="214"/>
      <c r="K157" s="214"/>
      <c r="L157" s="214"/>
      <c r="P157" s="52"/>
      <c r="Q157" s="52"/>
      <c r="R157" s="52"/>
    </row>
    <row r="158" spans="1:18">
      <c r="L158" s="115"/>
      <c r="P158" s="52"/>
      <c r="Q158" s="52"/>
      <c r="R158" s="52"/>
    </row>
    <row r="159" spans="1:18">
      <c r="P159" s="52"/>
      <c r="Q159" s="52"/>
      <c r="R159" s="52"/>
    </row>
    <row r="160" spans="1:18" ht="18">
      <c r="A160" s="54" t="s">
        <v>24</v>
      </c>
      <c r="B160" s="55" t="s">
        <v>67</v>
      </c>
      <c r="C160" s="222" t="s">
        <v>217</v>
      </c>
      <c r="D160" s="55" t="s">
        <v>61</v>
      </c>
      <c r="E160" s="55" t="s">
        <v>62</v>
      </c>
      <c r="F160" s="55" t="s">
        <v>63</v>
      </c>
      <c r="G160" s="55" t="s">
        <v>68</v>
      </c>
      <c r="H160" s="55" t="s">
        <v>69</v>
      </c>
      <c r="I160" s="55" t="s">
        <v>70</v>
      </c>
      <c r="P160" s="52"/>
      <c r="Q160" s="52"/>
      <c r="R160" s="52"/>
    </row>
    <row r="161" spans="1:19">
      <c r="A161" s="58"/>
      <c r="B161" s="89" t="s">
        <v>35</v>
      </c>
      <c r="C161" s="89" t="s">
        <v>35</v>
      </c>
      <c r="D161" s="59" t="s">
        <v>36</v>
      </c>
      <c r="E161" s="59" t="s">
        <v>14</v>
      </c>
      <c r="F161" s="59" t="s">
        <v>14</v>
      </c>
      <c r="G161" s="59" t="s">
        <v>14</v>
      </c>
      <c r="H161" s="59" t="s">
        <v>13</v>
      </c>
      <c r="I161" s="59" t="s">
        <v>35</v>
      </c>
      <c r="P161" s="52"/>
      <c r="Q161" s="52"/>
      <c r="R161" s="52"/>
    </row>
    <row r="162" spans="1:19">
      <c r="A162" s="62" t="s">
        <v>366</v>
      </c>
      <c r="B162" s="235">
        <f t="shared" ref="B162:B169" si="54">H144</f>
        <v>5.7539958910348616</v>
      </c>
      <c r="C162" s="65">
        <f t="shared" ref="C162:C169" si="55">F144</f>
        <v>7.8796178754106014</v>
      </c>
      <c r="D162" s="65">
        <f t="shared" ref="D162:D169" si="56">B144</f>
        <v>7</v>
      </c>
      <c r="E162" s="65">
        <v>247</v>
      </c>
      <c r="F162" s="65">
        <v>529</v>
      </c>
      <c r="G162" s="65">
        <v>5.9</v>
      </c>
      <c r="H162" s="66">
        <f t="shared" ref="H162:H171" si="57">S129</f>
        <v>87.142857142857139</v>
      </c>
      <c r="I162" s="65">
        <f t="shared" ref="I162:I171" si="58">B162/(SQRT((1/D162+H162/E162)^2+(H162/F162)^2+(B162/(G162*C162))^2))</f>
        <v>10.719402972572514</v>
      </c>
      <c r="P162" s="52"/>
      <c r="Q162" s="52"/>
      <c r="R162" s="52"/>
    </row>
    <row r="163" spans="1:19" ht="16.5" thickBot="1">
      <c r="A163" s="67" t="s">
        <v>365</v>
      </c>
      <c r="B163" s="233">
        <f t="shared" si="54"/>
        <v>5.7539958910348616</v>
      </c>
      <c r="C163" s="70">
        <f t="shared" si="55"/>
        <v>7.8796178754106014</v>
      </c>
      <c r="D163" s="70">
        <f t="shared" si="56"/>
        <v>10</v>
      </c>
      <c r="E163" s="70">
        <v>313</v>
      </c>
      <c r="F163" s="70">
        <v>683</v>
      </c>
      <c r="G163" s="70">
        <v>8.25</v>
      </c>
      <c r="H163" s="71">
        <f t="shared" si="57"/>
        <v>88</v>
      </c>
      <c r="I163" s="70">
        <f t="shared" si="58"/>
        <v>13.967378599600167</v>
      </c>
      <c r="P163" s="52"/>
      <c r="Q163" s="52"/>
      <c r="R163" s="52"/>
    </row>
    <row r="164" spans="1:19">
      <c r="A164" s="331" t="s">
        <v>358</v>
      </c>
      <c r="B164" s="337">
        <f t="shared" si="54"/>
        <v>5.7539958910348616</v>
      </c>
      <c r="C164" s="338">
        <f t="shared" si="55"/>
        <v>7.8796178754106014</v>
      </c>
      <c r="D164" s="338">
        <f t="shared" si="56"/>
        <v>8</v>
      </c>
      <c r="E164" s="338">
        <v>318</v>
      </c>
      <c r="F164" s="338">
        <v>868</v>
      </c>
      <c r="G164" s="338">
        <v>6.48</v>
      </c>
      <c r="H164" s="72">
        <f t="shared" si="57"/>
        <v>100</v>
      </c>
      <c r="I164" s="338">
        <f t="shared" si="58"/>
        <v>12.292678417549761</v>
      </c>
      <c r="P164" s="52"/>
      <c r="Q164" s="52"/>
      <c r="R164" s="52"/>
    </row>
    <row r="165" spans="1:19" ht="16.5" thickBot="1">
      <c r="A165" s="73" t="s">
        <v>359</v>
      </c>
      <c r="B165" s="238">
        <f t="shared" si="54"/>
        <v>5.7539958910348616</v>
      </c>
      <c r="C165" s="339">
        <f t="shared" si="55"/>
        <v>7.8796178754106014</v>
      </c>
      <c r="D165" s="339">
        <f t="shared" si="56"/>
        <v>16</v>
      </c>
      <c r="E165" s="339">
        <v>590</v>
      </c>
      <c r="F165" s="339">
        <v>2061</v>
      </c>
      <c r="G165" s="339">
        <v>13</v>
      </c>
      <c r="H165" s="71">
        <f t="shared" si="57"/>
        <v>116.875</v>
      </c>
      <c r="I165" s="339">
        <f t="shared" si="58"/>
        <v>21.112216115280962</v>
      </c>
      <c r="P165" s="52"/>
      <c r="Q165" s="52"/>
      <c r="R165" s="52"/>
    </row>
    <row r="166" spans="1:19">
      <c r="A166" s="76" t="s">
        <v>360</v>
      </c>
      <c r="B166" s="234">
        <f t="shared" si="54"/>
        <v>8.0354591525640107</v>
      </c>
      <c r="C166" s="79">
        <f t="shared" si="55"/>
        <v>10.491774806064372</v>
      </c>
      <c r="D166" s="79">
        <f t="shared" si="56"/>
        <v>8</v>
      </c>
      <c r="E166" s="79">
        <v>360</v>
      </c>
      <c r="F166" s="79">
        <v>720</v>
      </c>
      <c r="G166" s="79">
        <v>8.67</v>
      </c>
      <c r="H166" s="72">
        <f t="shared" si="57"/>
        <v>100</v>
      </c>
      <c r="I166" s="79">
        <f t="shared" si="58"/>
        <v>18.467514567047132</v>
      </c>
      <c r="P166" s="52"/>
      <c r="Q166" s="52"/>
      <c r="R166" s="52"/>
    </row>
    <row r="167" spans="1:19" ht="16.5" thickBot="1">
      <c r="A167" s="67" t="s">
        <v>361</v>
      </c>
      <c r="B167" s="233">
        <f t="shared" si="54"/>
        <v>8.0354591525640107</v>
      </c>
      <c r="C167" s="70">
        <f t="shared" si="55"/>
        <v>10.491774806064372</v>
      </c>
      <c r="D167" s="70">
        <f t="shared" si="56"/>
        <v>16</v>
      </c>
      <c r="E167" s="70">
        <v>665</v>
      </c>
      <c r="F167" s="70">
        <v>1678</v>
      </c>
      <c r="G167" s="70">
        <v>17.3</v>
      </c>
      <c r="H167" s="71">
        <f t="shared" si="57"/>
        <v>116.875</v>
      </c>
      <c r="I167" s="70">
        <f t="shared" si="58"/>
        <v>31.868892255080983</v>
      </c>
      <c r="P167" s="52"/>
      <c r="Q167" s="52"/>
      <c r="R167" s="52"/>
    </row>
    <row r="168" spans="1:19">
      <c r="A168" s="331" t="s">
        <v>362</v>
      </c>
      <c r="B168" s="337">
        <f t="shared" si="54"/>
        <v>8.0354591525640107</v>
      </c>
      <c r="C168" s="338">
        <f t="shared" si="55"/>
        <v>10.491774806064372</v>
      </c>
      <c r="D168" s="338">
        <f t="shared" si="56"/>
        <v>8</v>
      </c>
      <c r="E168" s="338">
        <v>566</v>
      </c>
      <c r="F168" s="338">
        <v>1980</v>
      </c>
      <c r="G168" s="338">
        <v>9.52</v>
      </c>
      <c r="H168" s="72">
        <f t="shared" si="57"/>
        <v>145</v>
      </c>
      <c r="I168" s="338">
        <f t="shared" si="58"/>
        <v>20.270879585504524</v>
      </c>
      <c r="P168" s="52"/>
      <c r="Q168" s="52"/>
      <c r="R168" s="52"/>
    </row>
    <row r="169" spans="1:19" ht="16.5" thickBot="1">
      <c r="A169" s="73" t="s">
        <v>363</v>
      </c>
      <c r="B169" s="238">
        <f t="shared" si="54"/>
        <v>8.0354591525640107</v>
      </c>
      <c r="C169" s="339">
        <f t="shared" si="55"/>
        <v>10.491774806064372</v>
      </c>
      <c r="D169" s="339">
        <f t="shared" si="56"/>
        <v>25</v>
      </c>
      <c r="E169" s="339">
        <v>1284</v>
      </c>
      <c r="F169" s="339">
        <v>5189</v>
      </c>
      <c r="G169" s="339">
        <v>26.8</v>
      </c>
      <c r="H169" s="71">
        <f t="shared" si="57"/>
        <v>161.19999999999999</v>
      </c>
      <c r="I169" s="339">
        <f t="shared" si="58"/>
        <v>47.034466301243214</v>
      </c>
      <c r="P169" s="52"/>
      <c r="Q169" s="52"/>
      <c r="R169" s="52"/>
    </row>
    <row r="170" spans="1:19">
      <c r="A170" s="76" t="s">
        <v>211</v>
      </c>
      <c r="B170" s="234">
        <f>J153</f>
        <v>8.0055199788361939</v>
      </c>
      <c r="C170" s="79">
        <f>H153</f>
        <v>10.491774806064372</v>
      </c>
      <c r="D170" s="79">
        <f t="shared" ref="D170:F171" si="59">C137</f>
        <v>25</v>
      </c>
      <c r="E170" s="79">
        <f t="shared" si="59"/>
        <v>1581</v>
      </c>
      <c r="F170" s="79">
        <f t="shared" si="59"/>
        <v>7226</v>
      </c>
      <c r="G170" s="79">
        <v>24</v>
      </c>
      <c r="H170" s="72">
        <f t="shared" si="57"/>
        <v>157.6</v>
      </c>
      <c r="I170" s="79">
        <f t="shared" si="58"/>
        <v>55.245947301698351</v>
      </c>
      <c r="P170" s="52"/>
      <c r="Q170" s="52"/>
      <c r="R170" s="52"/>
    </row>
    <row r="171" spans="1:19">
      <c r="A171" s="62" t="s">
        <v>215</v>
      </c>
      <c r="B171" s="235">
        <f>J155</f>
        <v>8.0055199788361939</v>
      </c>
      <c r="C171" s="65">
        <f>H155</f>
        <v>10.491774806064372</v>
      </c>
      <c r="D171" s="65">
        <f t="shared" si="59"/>
        <v>25</v>
      </c>
      <c r="E171" s="65">
        <f t="shared" si="59"/>
        <v>1581</v>
      </c>
      <c r="F171" s="65">
        <f t="shared" si="59"/>
        <v>7226</v>
      </c>
      <c r="G171" s="65">
        <v>24</v>
      </c>
      <c r="H171" s="66">
        <f t="shared" si="57"/>
        <v>157.6</v>
      </c>
      <c r="I171" s="65">
        <f t="shared" si="58"/>
        <v>55.245947301698351</v>
      </c>
      <c r="P171" s="52"/>
      <c r="Q171" s="52"/>
      <c r="R171" s="52"/>
    </row>
    <row r="172" spans="1:19">
      <c r="A172" s="219"/>
      <c r="B172" s="211"/>
      <c r="C172" s="211"/>
      <c r="D172" s="212"/>
      <c r="E172" s="220"/>
      <c r="F172" s="220"/>
      <c r="G172" s="213"/>
      <c r="H172" s="211"/>
      <c r="I172" s="211"/>
      <c r="P172" s="52"/>
      <c r="Q172" s="52"/>
      <c r="R172" s="52"/>
    </row>
    <row r="173" spans="1:19">
      <c r="P173" s="52"/>
      <c r="Q173" s="52"/>
      <c r="R173" s="52"/>
    </row>
    <row r="174" spans="1:19">
      <c r="B174" s="105"/>
      <c r="E174" t="s">
        <v>51</v>
      </c>
      <c r="O174" s="524"/>
      <c r="P174" s="524"/>
      <c r="Q174" s="524"/>
      <c r="R174" s="524"/>
    </row>
    <row r="175" spans="1:19" ht="18.75">
      <c r="A175" s="54" t="s">
        <v>24</v>
      </c>
      <c r="B175" s="106" t="s">
        <v>71</v>
      </c>
      <c r="C175" s="106" t="s">
        <v>72</v>
      </c>
      <c r="D175" s="106" t="s">
        <v>73</v>
      </c>
      <c r="E175" s="107" t="s">
        <v>74</v>
      </c>
      <c r="F175" s="125"/>
      <c r="N175" s="54" t="s">
        <v>24</v>
      </c>
      <c r="O175" s="487" t="s">
        <v>91</v>
      </c>
      <c r="P175" s="488"/>
      <c r="Q175" s="488"/>
      <c r="R175" s="488"/>
      <c r="S175" s="489"/>
    </row>
    <row r="176" spans="1:19">
      <c r="A176" s="58"/>
      <c r="B176" s="126" t="s">
        <v>35</v>
      </c>
      <c r="C176" s="109" t="s">
        <v>35</v>
      </c>
      <c r="D176" s="109" t="s">
        <v>35</v>
      </c>
      <c r="E176" s="110" t="s">
        <v>35</v>
      </c>
      <c r="F176" s="125"/>
      <c r="N176" s="58"/>
      <c r="O176" s="61">
        <v>0.6</v>
      </c>
      <c r="P176" s="61">
        <v>0.7</v>
      </c>
      <c r="Q176" s="61">
        <v>0.8</v>
      </c>
      <c r="R176" s="61">
        <v>0.9</v>
      </c>
      <c r="S176" s="61">
        <v>1</v>
      </c>
    </row>
    <row r="177" spans="1:19">
      <c r="A177" s="62" t="s">
        <v>366</v>
      </c>
      <c r="B177" s="65">
        <f t="shared" ref="B177:B186" si="60">G129</f>
        <v>12.600900145443118</v>
      </c>
      <c r="C177" s="65">
        <v>34</v>
      </c>
      <c r="D177" s="65">
        <f t="shared" ref="D177:D186" si="61">I162</f>
        <v>10.719402972572514</v>
      </c>
      <c r="E177" s="65">
        <f t="shared" ref="E177:E186" si="62">MIN(B177,D177)</f>
        <v>10.719402972572514</v>
      </c>
      <c r="F177" s="125"/>
      <c r="N177" s="62" t="s">
        <v>366</v>
      </c>
      <c r="O177" s="65">
        <f>MIN(O$176*$B177/$O$187,$C177/1,O$176*$D177/$O$187)</f>
        <v>4.9474167565719291</v>
      </c>
      <c r="P177" s="65">
        <f t="shared" ref="P177:S186" si="63">MIN(P$176*$B177/$O$187,$C177/1,P$176*$D177/$O$187)</f>
        <v>5.7719862160005837</v>
      </c>
      <c r="Q177" s="65">
        <f t="shared" si="63"/>
        <v>6.5965556754292392</v>
      </c>
      <c r="R177" s="65">
        <f t="shared" si="63"/>
        <v>7.4211251348578937</v>
      </c>
      <c r="S177" s="65">
        <f t="shared" si="63"/>
        <v>8.2456945942865492</v>
      </c>
    </row>
    <row r="178" spans="1:19" ht="16.5" thickBot="1">
      <c r="A178" s="67" t="s">
        <v>365</v>
      </c>
      <c r="B178" s="70">
        <f t="shared" si="60"/>
        <v>16.869396588540951</v>
      </c>
      <c r="C178" s="70">
        <v>34</v>
      </c>
      <c r="D178" s="70">
        <f t="shared" si="61"/>
        <v>13.967378599600167</v>
      </c>
      <c r="E178" s="70">
        <f t="shared" si="62"/>
        <v>13.967378599600167</v>
      </c>
      <c r="F178" s="128"/>
      <c r="J178" s="114"/>
      <c r="N178" s="67" t="s">
        <v>365</v>
      </c>
      <c r="O178" s="70">
        <f>MIN(O$176*$B178/$O$187,$C178/1,O$176*$D178/$O$187)</f>
        <v>6.4464824305846919</v>
      </c>
      <c r="P178" s="70">
        <f t="shared" si="63"/>
        <v>7.5208961690154732</v>
      </c>
      <c r="Q178" s="70">
        <f t="shared" si="63"/>
        <v>8.5953099074462571</v>
      </c>
      <c r="R178" s="70">
        <f t="shared" si="63"/>
        <v>9.6697236458770384</v>
      </c>
      <c r="S178" s="70">
        <f t="shared" si="63"/>
        <v>10.74413738430782</v>
      </c>
    </row>
    <row r="179" spans="1:19">
      <c r="A179" s="331" t="s">
        <v>358</v>
      </c>
      <c r="B179" s="338">
        <f t="shared" si="60"/>
        <v>10.278366540844845</v>
      </c>
      <c r="C179" s="338">
        <v>34</v>
      </c>
      <c r="D179" s="338">
        <f t="shared" si="61"/>
        <v>12.292678417549761</v>
      </c>
      <c r="E179" s="338">
        <f t="shared" si="62"/>
        <v>10.278366540844845</v>
      </c>
      <c r="F179" s="128"/>
      <c r="J179" s="114"/>
      <c r="N179" s="331" t="s">
        <v>358</v>
      </c>
      <c r="O179" s="338">
        <f t="shared" ref="O179:O186" si="64">MIN(O$176*$B179/$O$187,$C179/1,O$176*$D179/$O$187)</f>
        <v>4.7438614803899277</v>
      </c>
      <c r="P179" s="338">
        <f t="shared" si="63"/>
        <v>5.534505060454916</v>
      </c>
      <c r="Q179" s="338">
        <f t="shared" si="63"/>
        <v>6.3251486405199051</v>
      </c>
      <c r="R179" s="338">
        <f t="shared" si="63"/>
        <v>7.1157922205848916</v>
      </c>
      <c r="S179" s="338">
        <f t="shared" si="63"/>
        <v>7.9064358006498798</v>
      </c>
    </row>
    <row r="180" spans="1:19" ht="16.5" thickBot="1">
      <c r="A180" s="73" t="s">
        <v>359</v>
      </c>
      <c r="B180" s="339">
        <f t="shared" si="60"/>
        <v>22.520452944557761</v>
      </c>
      <c r="C180" s="339">
        <v>34</v>
      </c>
      <c r="D180" s="339">
        <f t="shared" si="61"/>
        <v>21.112216115280962</v>
      </c>
      <c r="E180" s="339">
        <f t="shared" si="62"/>
        <v>21.112216115280962</v>
      </c>
      <c r="F180" s="128"/>
      <c r="J180" s="114"/>
      <c r="N180" s="73" t="s">
        <v>359</v>
      </c>
      <c r="O180" s="339">
        <f t="shared" si="64"/>
        <v>9.7440997455142906</v>
      </c>
      <c r="P180" s="339">
        <f t="shared" si="63"/>
        <v>11.368116369766669</v>
      </c>
      <c r="Q180" s="339">
        <f t="shared" si="63"/>
        <v>12.992132994019054</v>
      </c>
      <c r="R180" s="339">
        <f t="shared" si="63"/>
        <v>14.616149618271436</v>
      </c>
      <c r="S180" s="339">
        <f t="shared" si="63"/>
        <v>16.240166242523816</v>
      </c>
    </row>
    <row r="181" spans="1:19">
      <c r="A181" s="76" t="s">
        <v>360</v>
      </c>
      <c r="B181" s="79">
        <f t="shared" si="60"/>
        <v>12.874137991718278</v>
      </c>
      <c r="C181" s="79">
        <v>50</v>
      </c>
      <c r="D181" s="79">
        <f t="shared" si="61"/>
        <v>18.467514567047132</v>
      </c>
      <c r="E181" s="79">
        <f t="shared" si="62"/>
        <v>12.874137991718278</v>
      </c>
      <c r="F181" s="128"/>
      <c r="J181" s="114"/>
      <c r="N181" s="76" t="s">
        <v>360</v>
      </c>
      <c r="O181" s="79">
        <f t="shared" si="64"/>
        <v>5.9419098423315129</v>
      </c>
      <c r="P181" s="79">
        <f t="shared" si="63"/>
        <v>6.9322281493867646</v>
      </c>
      <c r="Q181" s="79">
        <f t="shared" si="63"/>
        <v>7.922546456442018</v>
      </c>
      <c r="R181" s="79">
        <f t="shared" si="63"/>
        <v>8.9128647634972697</v>
      </c>
      <c r="S181" s="79">
        <f t="shared" si="63"/>
        <v>9.9031830705525223</v>
      </c>
    </row>
    <row r="182" spans="1:19" ht="16.5" thickBot="1">
      <c r="A182" s="67" t="s">
        <v>361</v>
      </c>
      <c r="B182" s="70">
        <f t="shared" si="60"/>
        <v>36.068167852926997</v>
      </c>
      <c r="C182" s="70">
        <v>50</v>
      </c>
      <c r="D182" s="70">
        <f t="shared" si="61"/>
        <v>31.868892255080983</v>
      </c>
      <c r="E182" s="70">
        <f t="shared" si="62"/>
        <v>31.868892255080983</v>
      </c>
      <c r="F182" s="128"/>
      <c r="J182" s="114"/>
      <c r="N182" s="67" t="s">
        <v>361</v>
      </c>
      <c r="O182" s="70">
        <f t="shared" si="64"/>
        <v>14.708719502345069</v>
      </c>
      <c r="P182" s="70">
        <f t="shared" si="63"/>
        <v>17.16017275273591</v>
      </c>
      <c r="Q182" s="70">
        <f t="shared" si="63"/>
        <v>19.611626003126759</v>
      </c>
      <c r="R182" s="70">
        <f t="shared" si="63"/>
        <v>22.063079253517603</v>
      </c>
      <c r="S182" s="70">
        <f t="shared" si="63"/>
        <v>24.514532503908448</v>
      </c>
    </row>
    <row r="183" spans="1:19">
      <c r="A183" s="331" t="s">
        <v>362</v>
      </c>
      <c r="B183" s="338">
        <f t="shared" si="60"/>
        <v>14.131091159800292</v>
      </c>
      <c r="C183" s="338">
        <v>50</v>
      </c>
      <c r="D183" s="338">
        <f t="shared" si="61"/>
        <v>20.270879585504524</v>
      </c>
      <c r="E183" s="338">
        <f t="shared" si="62"/>
        <v>14.131091159800292</v>
      </c>
      <c r="F183" s="128"/>
      <c r="J183" s="114"/>
      <c r="N183" s="331" t="s">
        <v>362</v>
      </c>
      <c r="O183" s="338">
        <f t="shared" si="64"/>
        <v>6.5220420737539806</v>
      </c>
      <c r="P183" s="338">
        <f t="shared" si="63"/>
        <v>7.6090490860463103</v>
      </c>
      <c r="Q183" s="338">
        <f t="shared" si="63"/>
        <v>8.6960560983386408</v>
      </c>
      <c r="R183" s="338">
        <f t="shared" si="63"/>
        <v>9.7830631106309713</v>
      </c>
      <c r="S183" s="338">
        <f t="shared" si="63"/>
        <v>10.8700701229233</v>
      </c>
    </row>
    <row r="184" spans="1:19" ht="16.5" thickBot="1">
      <c r="A184" s="73" t="s">
        <v>363</v>
      </c>
      <c r="B184" s="339">
        <f t="shared" si="60"/>
        <v>21.17774161349735</v>
      </c>
      <c r="C184" s="339">
        <v>50</v>
      </c>
      <c r="D184" s="339">
        <f t="shared" si="61"/>
        <v>47.034466301243214</v>
      </c>
      <c r="E184" s="339">
        <f t="shared" si="62"/>
        <v>21.17774161349735</v>
      </c>
      <c r="F184" s="128"/>
      <c r="J184" s="114"/>
      <c r="N184" s="73" t="s">
        <v>363</v>
      </c>
      <c r="O184" s="339">
        <f t="shared" si="64"/>
        <v>9.7743422831526221</v>
      </c>
      <c r="P184" s="339">
        <f t="shared" si="63"/>
        <v>11.403399330344726</v>
      </c>
      <c r="Q184" s="339">
        <f t="shared" si="63"/>
        <v>13.032456377536832</v>
      </c>
      <c r="R184" s="339">
        <f t="shared" si="63"/>
        <v>14.661513424728934</v>
      </c>
      <c r="S184" s="339">
        <f t="shared" si="63"/>
        <v>16.290570471921036</v>
      </c>
    </row>
    <row r="185" spans="1:19">
      <c r="A185" s="76" t="s">
        <v>211</v>
      </c>
      <c r="B185" s="79">
        <f t="shared" si="60"/>
        <v>34.793561840503209</v>
      </c>
      <c r="C185" s="79">
        <v>50</v>
      </c>
      <c r="D185" s="79">
        <f t="shared" si="61"/>
        <v>55.245947301698351</v>
      </c>
      <c r="E185" s="79">
        <f t="shared" si="62"/>
        <v>34.793561840503209</v>
      </c>
      <c r="N185" s="76" t="s">
        <v>211</v>
      </c>
      <c r="O185" s="79">
        <f t="shared" si="64"/>
        <v>16.058567003309172</v>
      </c>
      <c r="P185" s="79">
        <f t="shared" si="63"/>
        <v>18.734994837194034</v>
      </c>
      <c r="Q185" s="79">
        <f t="shared" si="63"/>
        <v>21.411422671078896</v>
      </c>
      <c r="R185" s="79">
        <f t="shared" si="63"/>
        <v>24.087850504963757</v>
      </c>
      <c r="S185" s="79">
        <f t="shared" si="63"/>
        <v>26.764278338848623</v>
      </c>
    </row>
    <row r="186" spans="1:19">
      <c r="A186" s="62" t="s">
        <v>215</v>
      </c>
      <c r="B186" s="65">
        <f t="shared" si="60"/>
        <v>34.793561840503209</v>
      </c>
      <c r="C186" s="65">
        <v>50</v>
      </c>
      <c r="D186" s="65">
        <f t="shared" si="61"/>
        <v>55.245947301698351</v>
      </c>
      <c r="E186" s="65">
        <f t="shared" si="62"/>
        <v>34.793561840503209</v>
      </c>
      <c r="N186" s="62" t="s">
        <v>215</v>
      </c>
      <c r="O186" s="65">
        <f t="shared" si="64"/>
        <v>16.058567003309172</v>
      </c>
      <c r="P186" s="65">
        <f t="shared" si="63"/>
        <v>18.734994837194034</v>
      </c>
      <c r="Q186" s="65">
        <f t="shared" si="63"/>
        <v>21.411422671078896</v>
      </c>
      <c r="R186" s="65">
        <f t="shared" si="63"/>
        <v>24.087850504963757</v>
      </c>
      <c r="S186" s="65">
        <f t="shared" si="63"/>
        <v>26.764278338848623</v>
      </c>
    </row>
    <row r="187" spans="1:19" ht="18">
      <c r="N187" s="62" t="s">
        <v>352</v>
      </c>
      <c r="O187" s="235">
        <f>Bemessung!G24</f>
        <v>1.3</v>
      </c>
    </row>
  </sheetData>
  <sheetProtection algorithmName="SHA-512" hashValue="m/kkz5eoFLOQeWOfuKVUDhoh5VHNjB7ePdW6CcAYU5vmr3C0ujicT0sL5vSZD6g87fQ56V8KSMm/zYGnG3EWJg==" saltValue="W7x1kb7kqjkuLvBgTwy6oQ==" spinCount="100000" sheet="1" objects="1" scenarios="1" selectLockedCells="1"/>
  <mergeCells count="50">
    <mergeCell ref="A49:A50"/>
    <mergeCell ref="A51:A52"/>
    <mergeCell ref="A66:A67"/>
    <mergeCell ref="A68:A69"/>
    <mergeCell ref="O175:S175"/>
    <mergeCell ref="B49:B50"/>
    <mergeCell ref="C49:C50"/>
    <mergeCell ref="B51:B52"/>
    <mergeCell ref="C51:C52"/>
    <mergeCell ref="M49:M50"/>
    <mergeCell ref="M51:M52"/>
    <mergeCell ref="B66:B67"/>
    <mergeCell ref="B68:B69"/>
    <mergeCell ref="C66:C67"/>
    <mergeCell ref="C68:C69"/>
    <mergeCell ref="M66:M67"/>
    <mergeCell ref="M68:M69"/>
    <mergeCell ref="O7:R7"/>
    <mergeCell ref="O71:R71"/>
    <mergeCell ref="O174:R174"/>
    <mergeCell ref="O8:S8"/>
    <mergeCell ref="O72:S72"/>
    <mergeCell ref="U83:U84"/>
    <mergeCell ref="U85:U86"/>
    <mergeCell ref="X83:X84"/>
    <mergeCell ref="Y83:Y84"/>
    <mergeCell ref="X85:X86"/>
    <mergeCell ref="Y85:Y86"/>
    <mergeCell ref="A120:A121"/>
    <mergeCell ref="A122:A123"/>
    <mergeCell ref="B120:B121"/>
    <mergeCell ref="B122:B123"/>
    <mergeCell ref="J120:J121"/>
    <mergeCell ref="J122:J123"/>
    <mergeCell ref="A153:A154"/>
    <mergeCell ref="A155:A156"/>
    <mergeCell ref="B153:B154"/>
    <mergeCell ref="B155:B156"/>
    <mergeCell ref="J153:J154"/>
    <mergeCell ref="J155:J156"/>
    <mergeCell ref="Z132:Z133"/>
    <mergeCell ref="Z134:Z135"/>
    <mergeCell ref="X128:Z128"/>
    <mergeCell ref="X129:Z129"/>
    <mergeCell ref="U132:U133"/>
    <mergeCell ref="X132:X133"/>
    <mergeCell ref="Y132:Y133"/>
    <mergeCell ref="U134:U135"/>
    <mergeCell ref="X134:X135"/>
    <mergeCell ref="Y134:Y135"/>
  </mergeCells>
  <phoneticPr fontId="5" type="noConversion"/>
  <pageMargins left="0.78740157499999996" right="0.78740157499999996" top="0.984251969" bottom="0.984251969" header="0.4921259845" footer="0.4921259845"/>
  <pageSetup paperSize="9" scale="32" orientation="landscape" r:id="rId1"/>
  <headerFooter alignWithMargins="0"/>
  <rowBreaks count="1" manualBreakCount="1">
    <brk id="83" max="16383" man="1"/>
  </rowBreaks>
  <drawing r:id="rId2"/>
  <legacyDrawing r:id="rId3"/>
  <oleObjects>
    <mc:AlternateContent xmlns:mc="http://schemas.openxmlformats.org/markup-compatibility/2006">
      <mc:Choice Requires="x14">
        <oleObject progId="Equation.3" shapeId="3075" r:id="rId4">
          <objectPr defaultSize="0" autoPict="0" r:id="rId5">
            <anchor moveWithCells="1">
              <from>
                <xdr:col>4</xdr:col>
                <xdr:colOff>28575</xdr:colOff>
                <xdr:row>33</xdr:row>
                <xdr:rowOff>9525</xdr:rowOff>
              </from>
              <to>
                <xdr:col>5</xdr:col>
                <xdr:colOff>676275</xdr:colOff>
                <xdr:row>34</xdr:row>
                <xdr:rowOff>38100</xdr:rowOff>
              </to>
            </anchor>
          </objectPr>
        </oleObject>
      </mc:Choice>
      <mc:Fallback>
        <oleObject progId="Equation.3" shapeId="3075" r:id="rId4"/>
      </mc:Fallback>
    </mc:AlternateContent>
    <mc:AlternateContent xmlns:mc="http://schemas.openxmlformats.org/markup-compatibility/2006">
      <mc:Choice Requires="x14">
        <oleObject progId="Equation.3" shapeId="3077" r:id="rId6">
          <objectPr defaultSize="0" autoPict="0" r:id="rId7">
            <anchor moveWithCells="1">
              <from>
                <xdr:col>6</xdr:col>
                <xdr:colOff>657225</xdr:colOff>
                <xdr:row>71</xdr:row>
                <xdr:rowOff>95250</xdr:rowOff>
              </from>
              <to>
                <xdr:col>11</xdr:col>
                <xdr:colOff>514350</xdr:colOff>
                <xdr:row>80</xdr:row>
                <xdr:rowOff>57150</xdr:rowOff>
              </to>
            </anchor>
          </objectPr>
        </oleObject>
      </mc:Choice>
      <mc:Fallback>
        <oleObject progId="Equation.3" shapeId="3077" r:id="rId6"/>
      </mc:Fallback>
    </mc:AlternateContent>
    <mc:AlternateContent xmlns:mc="http://schemas.openxmlformats.org/markup-compatibility/2006">
      <mc:Choice Requires="x14">
        <oleObject progId="Equation.3" shapeId="3078" r:id="rId8">
          <objectPr defaultSize="0" autoPict="0" r:id="rId9">
            <anchor moveWithCells="1">
              <from>
                <xdr:col>4</xdr:col>
                <xdr:colOff>28575</xdr:colOff>
                <xdr:row>103</xdr:row>
                <xdr:rowOff>123825</xdr:rowOff>
              </from>
              <to>
                <xdr:col>5</xdr:col>
                <xdr:colOff>647700</xdr:colOff>
                <xdr:row>105</xdr:row>
                <xdr:rowOff>0</xdr:rowOff>
              </to>
            </anchor>
          </objectPr>
        </oleObject>
      </mc:Choice>
      <mc:Fallback>
        <oleObject progId="Equation.3" shapeId="3078" r:id="rId8"/>
      </mc:Fallback>
    </mc:AlternateContent>
    <mc:AlternateContent xmlns:mc="http://schemas.openxmlformats.org/markup-compatibility/2006">
      <mc:Choice Requires="x14">
        <oleObject progId="Equation.3" shapeId="3079" r:id="rId10">
          <objectPr defaultSize="0" autoPict="0" r:id="rId5">
            <anchor moveWithCells="1">
              <from>
                <xdr:col>4</xdr:col>
                <xdr:colOff>28575</xdr:colOff>
                <xdr:row>105</xdr:row>
                <xdr:rowOff>28575</xdr:rowOff>
              </from>
              <to>
                <xdr:col>5</xdr:col>
                <xdr:colOff>676275</xdr:colOff>
                <xdr:row>106</xdr:row>
                <xdr:rowOff>57150</xdr:rowOff>
              </to>
            </anchor>
          </objectPr>
        </oleObject>
      </mc:Choice>
      <mc:Fallback>
        <oleObject progId="Equation.3" shapeId="3079" r:id="rId10"/>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9B61B-4F69-42E8-A062-E6B0A92D41DC}">
  <dimension ref="A1:Y140"/>
  <sheetViews>
    <sheetView showGridLines="0" showRowColHeaders="0" topLeftCell="A42" workbookViewId="0">
      <selection activeCell="O141" sqref="O141"/>
    </sheetView>
  </sheetViews>
  <sheetFormatPr baseColWidth="10" defaultRowHeight="15.75"/>
  <cols>
    <col min="1" max="1" width="22" customWidth="1"/>
    <col min="14" max="14" width="30.875" customWidth="1"/>
    <col min="15" max="15" width="11.25" bestFit="1" customWidth="1"/>
    <col min="21" max="21" width="22.875" bestFit="1" customWidth="1"/>
    <col min="22" max="22" width="12.25" bestFit="1" customWidth="1"/>
    <col min="23" max="23" width="14.125" bestFit="1" customWidth="1"/>
    <col min="24" max="25" width="13" bestFit="1" customWidth="1"/>
  </cols>
  <sheetData>
    <row r="1" spans="1:19">
      <c r="A1" s="49" t="s">
        <v>83</v>
      </c>
    </row>
    <row r="2" spans="1:19">
      <c r="A2" s="50" t="s">
        <v>84</v>
      </c>
    </row>
    <row r="4" spans="1:19" ht="26.25">
      <c r="A4" s="51" t="s">
        <v>22</v>
      </c>
      <c r="P4" s="52"/>
      <c r="Q4" s="52"/>
      <c r="R4" s="52"/>
    </row>
    <row r="6" spans="1:19" ht="18.75">
      <c r="A6" s="53" t="s">
        <v>23</v>
      </c>
      <c r="P6" s="52"/>
      <c r="Q6" s="52"/>
      <c r="R6" s="52"/>
    </row>
    <row r="7" spans="1:19">
      <c r="L7" s="52">
        <f>Bemessung!C39</f>
        <v>0</v>
      </c>
      <c r="O7" s="524"/>
      <c r="P7" s="524"/>
      <c r="Q7" s="524"/>
      <c r="R7" s="524"/>
    </row>
    <row r="8" spans="1:19" ht="18.75">
      <c r="A8" s="54" t="s">
        <v>24</v>
      </c>
      <c r="B8" s="55" t="s">
        <v>25</v>
      </c>
      <c r="C8" s="55" t="s">
        <v>26</v>
      </c>
      <c r="D8" s="55" t="s">
        <v>27</v>
      </c>
      <c r="E8" s="55" t="s">
        <v>28</v>
      </c>
      <c r="F8" s="222" t="s">
        <v>392</v>
      </c>
      <c r="G8" s="55" t="s">
        <v>29</v>
      </c>
      <c r="H8" s="55" t="s">
        <v>30</v>
      </c>
      <c r="I8" s="55" t="s">
        <v>31</v>
      </c>
      <c r="J8" s="55" t="s">
        <v>32</v>
      </c>
      <c r="K8" s="55" t="s">
        <v>33</v>
      </c>
      <c r="L8" s="56" t="s">
        <v>88</v>
      </c>
      <c r="M8" s="57" t="s">
        <v>34</v>
      </c>
      <c r="N8" s="54" t="s">
        <v>24</v>
      </c>
      <c r="O8" s="487" t="s">
        <v>92</v>
      </c>
      <c r="P8" s="488"/>
      <c r="Q8" s="488"/>
      <c r="R8" s="488"/>
      <c r="S8" s="489"/>
    </row>
    <row r="9" spans="1:19">
      <c r="A9" s="58"/>
      <c r="B9" s="59" t="s">
        <v>35</v>
      </c>
      <c r="C9" s="59" t="s">
        <v>13</v>
      </c>
      <c r="D9" s="59" t="s">
        <v>13</v>
      </c>
      <c r="E9" s="59" t="s">
        <v>36</v>
      </c>
      <c r="F9" s="59" t="s">
        <v>13</v>
      </c>
      <c r="G9" s="59" t="s">
        <v>13</v>
      </c>
      <c r="H9" s="59" t="s">
        <v>13</v>
      </c>
      <c r="I9" s="59" t="s">
        <v>13</v>
      </c>
      <c r="J9" s="59" t="s">
        <v>35</v>
      </c>
      <c r="K9" s="59" t="s">
        <v>35</v>
      </c>
      <c r="L9" s="59" t="s">
        <v>35</v>
      </c>
      <c r="M9" s="60" t="s">
        <v>35</v>
      </c>
      <c r="N9" s="58"/>
      <c r="O9" s="61">
        <v>0.6</v>
      </c>
      <c r="P9" s="61">
        <v>0.7</v>
      </c>
      <c r="Q9" s="61">
        <v>0.8</v>
      </c>
      <c r="R9" s="61">
        <v>0.9</v>
      </c>
      <c r="S9" s="61">
        <v>1</v>
      </c>
    </row>
    <row r="10" spans="1:19">
      <c r="A10" s="62" t="s">
        <v>366</v>
      </c>
      <c r="B10" s="65">
        <v>9</v>
      </c>
      <c r="C10" s="65">
        <v>60</v>
      </c>
      <c r="D10" s="65">
        <f t="shared" ref="D10:D19" si="0">C10/2</f>
        <v>30</v>
      </c>
      <c r="E10" s="65">
        <f t="shared" ref="E10:E19" si="1">Q26</f>
        <v>0</v>
      </c>
      <c r="F10" s="65">
        <f>Zwischenrechnung!J18</f>
        <v>80</v>
      </c>
      <c r="G10" s="65">
        <f>Zwischenrechnung!D18-10</f>
        <v>70</v>
      </c>
      <c r="H10" s="65">
        <f>IF(Zwischenrechnung!G18=80,Zwischenrechnung!G18-10,Zwischenrechnung!G18-15)</f>
        <v>145</v>
      </c>
      <c r="I10" s="65">
        <f>Zwischenrechnung!F18</f>
        <v>8</v>
      </c>
      <c r="J10" s="65">
        <f t="shared" ref="J10:J19" si="2">(0.52*SQRT(I10)*(G10)^0.9*$B$22^0.8)/1000</f>
        <v>7.8796178754106014</v>
      </c>
      <c r="K10" s="65">
        <f>(IF(H10&gt;=100,$K$21,$K$22)*0.52*SQRT(I10)*H10^0.9*$B$21^0.8)/1000</f>
        <v>9.1054072130615449</v>
      </c>
      <c r="L10" s="65">
        <v>22</v>
      </c>
      <c r="M10" s="65">
        <f t="shared" ref="M10:M19" si="3">E10*MIN(B10,J10,K10,L10)</f>
        <v>0</v>
      </c>
      <c r="N10" s="62" t="s">
        <v>366</v>
      </c>
      <c r="O10" s="65">
        <f t="shared" ref="O10:S19" si="4">$E10*MIN($B10/1,$J10*O$9/$O$20,$K10*O$9/$O$20,$L10/1.25)</f>
        <v>0</v>
      </c>
      <c r="P10" s="65">
        <f t="shared" si="4"/>
        <v>0</v>
      </c>
      <c r="Q10" s="65">
        <f t="shared" si="4"/>
        <v>0</v>
      </c>
      <c r="R10" s="65">
        <f t="shared" si="4"/>
        <v>0</v>
      </c>
      <c r="S10" s="65">
        <f t="shared" si="4"/>
        <v>0</v>
      </c>
    </row>
    <row r="11" spans="1:19" ht="16.5" thickBot="1">
      <c r="A11" s="67" t="s">
        <v>365</v>
      </c>
      <c r="B11" s="70">
        <v>9</v>
      </c>
      <c r="C11" s="70">
        <v>60</v>
      </c>
      <c r="D11" s="70">
        <f t="shared" si="0"/>
        <v>30</v>
      </c>
      <c r="E11" s="70">
        <f t="shared" si="1"/>
        <v>0</v>
      </c>
      <c r="F11" s="70">
        <f>Zwischenrechnung!J19</f>
        <v>80</v>
      </c>
      <c r="G11" s="70">
        <f>Zwischenrechnung!D19-10</f>
        <v>70</v>
      </c>
      <c r="H11" s="70">
        <f>IF(Zwischenrechnung!G19=80,Zwischenrechnung!G19-10,Zwischenrechnung!G19-15)</f>
        <v>145</v>
      </c>
      <c r="I11" s="70">
        <f>Zwischenrechnung!F19</f>
        <v>8</v>
      </c>
      <c r="J11" s="70">
        <f t="shared" si="2"/>
        <v>7.8796178754106014</v>
      </c>
      <c r="K11" s="70">
        <f t="shared" ref="K11:K19" si="5">(IF(H11&gt;=100,$K$21,$K$22)*0.52*SQRT(I11)*H11^0.9*$B$21^0.8)/1000</f>
        <v>9.1054072130615449</v>
      </c>
      <c r="L11" s="70">
        <v>23</v>
      </c>
      <c r="M11" s="70">
        <f t="shared" si="3"/>
        <v>0</v>
      </c>
      <c r="N11" s="67" t="s">
        <v>365</v>
      </c>
      <c r="O11" s="70">
        <f t="shared" si="4"/>
        <v>0</v>
      </c>
      <c r="P11" s="70">
        <f t="shared" si="4"/>
        <v>0</v>
      </c>
      <c r="Q11" s="70">
        <f t="shared" si="4"/>
        <v>0</v>
      </c>
      <c r="R11" s="70">
        <f t="shared" si="4"/>
        <v>0</v>
      </c>
      <c r="S11" s="70">
        <f t="shared" si="4"/>
        <v>0</v>
      </c>
    </row>
    <row r="12" spans="1:19">
      <c r="A12" s="331" t="s">
        <v>358</v>
      </c>
      <c r="B12" s="338">
        <v>9</v>
      </c>
      <c r="C12" s="338">
        <v>120</v>
      </c>
      <c r="D12" s="338">
        <f t="shared" si="0"/>
        <v>60</v>
      </c>
      <c r="E12" s="338">
        <f t="shared" si="1"/>
        <v>0</v>
      </c>
      <c r="F12" s="338">
        <f>Zwischenrechnung!J20</f>
        <v>80</v>
      </c>
      <c r="G12" s="338">
        <f>Zwischenrechnung!D20-10</f>
        <v>70</v>
      </c>
      <c r="H12" s="338">
        <f>IF(Zwischenrechnung!G20=80,Zwischenrechnung!G20-10,Zwischenrechnung!G20-15)</f>
        <v>145</v>
      </c>
      <c r="I12" s="338">
        <f>Zwischenrechnung!F20</f>
        <v>8</v>
      </c>
      <c r="J12" s="338">
        <f t="shared" si="2"/>
        <v>7.8796178754106014</v>
      </c>
      <c r="K12" s="338">
        <f t="shared" si="5"/>
        <v>9.1054072130615449</v>
      </c>
      <c r="L12" s="338">
        <v>22</v>
      </c>
      <c r="M12" s="338">
        <f t="shared" si="3"/>
        <v>0</v>
      </c>
      <c r="N12" s="331" t="s">
        <v>358</v>
      </c>
      <c r="O12" s="338">
        <f t="shared" si="4"/>
        <v>0</v>
      </c>
      <c r="P12" s="338">
        <f t="shared" si="4"/>
        <v>0</v>
      </c>
      <c r="Q12" s="338">
        <f t="shared" si="4"/>
        <v>0</v>
      </c>
      <c r="R12" s="338">
        <f t="shared" si="4"/>
        <v>0</v>
      </c>
      <c r="S12" s="338">
        <f t="shared" si="4"/>
        <v>0</v>
      </c>
    </row>
    <row r="13" spans="1:19" ht="16.5" thickBot="1">
      <c r="A13" s="73" t="s">
        <v>359</v>
      </c>
      <c r="B13" s="339">
        <v>9</v>
      </c>
      <c r="C13" s="339">
        <v>120</v>
      </c>
      <c r="D13" s="339">
        <f t="shared" si="0"/>
        <v>60</v>
      </c>
      <c r="E13" s="339">
        <f t="shared" si="1"/>
        <v>0</v>
      </c>
      <c r="F13" s="339">
        <f>Zwischenrechnung!J21</f>
        <v>80</v>
      </c>
      <c r="G13" s="339">
        <f>Zwischenrechnung!D21-10</f>
        <v>70</v>
      </c>
      <c r="H13" s="339">
        <f>IF(Zwischenrechnung!G21=80,Zwischenrechnung!G21-10,Zwischenrechnung!G21-15)</f>
        <v>145</v>
      </c>
      <c r="I13" s="339">
        <f>Zwischenrechnung!F21</f>
        <v>8</v>
      </c>
      <c r="J13" s="339">
        <f t="shared" si="2"/>
        <v>7.8796178754106014</v>
      </c>
      <c r="K13" s="339">
        <f t="shared" si="5"/>
        <v>9.1054072130615449</v>
      </c>
      <c r="L13" s="339">
        <v>23</v>
      </c>
      <c r="M13" s="339">
        <f t="shared" si="3"/>
        <v>0</v>
      </c>
      <c r="N13" s="73" t="s">
        <v>359</v>
      </c>
      <c r="O13" s="339">
        <f t="shared" si="4"/>
        <v>0</v>
      </c>
      <c r="P13" s="339">
        <f t="shared" si="4"/>
        <v>0</v>
      </c>
      <c r="Q13" s="339">
        <f t="shared" si="4"/>
        <v>0</v>
      </c>
      <c r="R13" s="339">
        <f t="shared" si="4"/>
        <v>0</v>
      </c>
      <c r="S13" s="339">
        <f t="shared" si="4"/>
        <v>0</v>
      </c>
    </row>
    <row r="14" spans="1:19">
      <c r="A14" s="76" t="s">
        <v>360</v>
      </c>
      <c r="B14" s="79">
        <v>9</v>
      </c>
      <c r="C14" s="79">
        <v>120</v>
      </c>
      <c r="D14" s="79">
        <f t="shared" si="0"/>
        <v>60</v>
      </c>
      <c r="E14" s="79">
        <f t="shared" si="1"/>
        <v>0</v>
      </c>
      <c r="F14" s="79">
        <f>Zwischenrechnung!J22</f>
        <v>100</v>
      </c>
      <c r="G14" s="79">
        <f t="shared" ref="G14:G19" si="6">VLOOKUP(F14,$P$102:$Q$104,2,FALSE)</f>
        <v>85</v>
      </c>
      <c r="H14" s="79">
        <f>IF(Zwischenrechnung!G22=100,Zwischenrechnung!G22-15,Zwischenrechnung!G22-20)</f>
        <v>180</v>
      </c>
      <c r="I14" s="79">
        <f>Zwischenrechnung!F22</f>
        <v>10</v>
      </c>
      <c r="J14" s="79">
        <f t="shared" si="2"/>
        <v>10.491774806064372</v>
      </c>
      <c r="K14" s="79">
        <f t="shared" si="5"/>
        <v>12.367115938864831</v>
      </c>
      <c r="L14" s="79">
        <v>31</v>
      </c>
      <c r="M14" s="79">
        <f t="shared" si="3"/>
        <v>0</v>
      </c>
      <c r="N14" s="76" t="s">
        <v>360</v>
      </c>
      <c r="O14" s="79">
        <f t="shared" si="4"/>
        <v>0</v>
      </c>
      <c r="P14" s="79">
        <f t="shared" si="4"/>
        <v>0</v>
      </c>
      <c r="Q14" s="79">
        <f t="shared" si="4"/>
        <v>0</v>
      </c>
      <c r="R14" s="79">
        <f t="shared" si="4"/>
        <v>0</v>
      </c>
      <c r="S14" s="79">
        <f t="shared" si="4"/>
        <v>0</v>
      </c>
    </row>
    <row r="15" spans="1:19" ht="16.5" thickBot="1">
      <c r="A15" s="67" t="s">
        <v>361</v>
      </c>
      <c r="B15" s="70">
        <v>9</v>
      </c>
      <c r="C15" s="70">
        <v>120</v>
      </c>
      <c r="D15" s="70">
        <f t="shared" si="0"/>
        <v>60</v>
      </c>
      <c r="E15" s="70">
        <f t="shared" si="1"/>
        <v>1.5</v>
      </c>
      <c r="F15" s="70">
        <f>Zwischenrechnung!J23</f>
        <v>100</v>
      </c>
      <c r="G15" s="70">
        <f t="shared" si="6"/>
        <v>85</v>
      </c>
      <c r="H15" s="70">
        <f>IF(Zwischenrechnung!G23=100,Zwischenrechnung!G23-15,Zwischenrechnung!G23-20)</f>
        <v>280</v>
      </c>
      <c r="I15" s="70">
        <f>Zwischenrechnung!F23</f>
        <v>10</v>
      </c>
      <c r="J15" s="70">
        <f t="shared" si="2"/>
        <v>10.491774806064372</v>
      </c>
      <c r="K15" s="70">
        <f t="shared" si="5"/>
        <v>18.406253787508255</v>
      </c>
      <c r="L15" s="70">
        <v>32</v>
      </c>
      <c r="M15" s="70">
        <f t="shared" si="3"/>
        <v>13.5</v>
      </c>
      <c r="N15" s="67" t="s">
        <v>361</v>
      </c>
      <c r="O15" s="70">
        <f t="shared" si="4"/>
        <v>7.2635364041984101</v>
      </c>
      <c r="P15" s="70">
        <f t="shared" si="4"/>
        <v>8.4741258048981472</v>
      </c>
      <c r="Q15" s="70">
        <f t="shared" si="4"/>
        <v>9.6847152055978825</v>
      </c>
      <c r="R15" s="70">
        <f t="shared" si="4"/>
        <v>10.895304606297618</v>
      </c>
      <c r="S15" s="70">
        <f t="shared" si="4"/>
        <v>12.105894006997353</v>
      </c>
    </row>
    <row r="16" spans="1:19">
      <c r="A16" s="331" t="s">
        <v>362</v>
      </c>
      <c r="B16" s="338">
        <v>9</v>
      </c>
      <c r="C16" s="338">
        <v>210</v>
      </c>
      <c r="D16" s="338">
        <f t="shared" si="0"/>
        <v>105</v>
      </c>
      <c r="E16" s="338">
        <f t="shared" si="1"/>
        <v>0</v>
      </c>
      <c r="F16" s="338">
        <f>Zwischenrechnung!J24</f>
        <v>100</v>
      </c>
      <c r="G16" s="338">
        <f t="shared" si="6"/>
        <v>85</v>
      </c>
      <c r="H16" s="338">
        <f>IF(Zwischenrechnung!G24=100,Zwischenrechnung!G24-15,Zwischenrechnung!G24-20)</f>
        <v>180</v>
      </c>
      <c r="I16" s="338">
        <f>Zwischenrechnung!F24</f>
        <v>10</v>
      </c>
      <c r="J16" s="338">
        <f t="shared" si="2"/>
        <v>10.491774806064372</v>
      </c>
      <c r="K16" s="338">
        <f t="shared" si="5"/>
        <v>12.367115938864831</v>
      </c>
      <c r="L16" s="338">
        <v>31</v>
      </c>
      <c r="M16" s="338">
        <f t="shared" si="3"/>
        <v>0</v>
      </c>
      <c r="N16" s="331" t="s">
        <v>362</v>
      </c>
      <c r="O16" s="338">
        <f t="shared" si="4"/>
        <v>0</v>
      </c>
      <c r="P16" s="338">
        <f t="shared" si="4"/>
        <v>0</v>
      </c>
      <c r="Q16" s="338">
        <f t="shared" si="4"/>
        <v>0</v>
      </c>
      <c r="R16" s="338">
        <f t="shared" si="4"/>
        <v>0</v>
      </c>
      <c r="S16" s="338">
        <f t="shared" si="4"/>
        <v>0</v>
      </c>
    </row>
    <row r="17" spans="1:19" ht="16.5" thickBot="1">
      <c r="A17" s="73" t="s">
        <v>363</v>
      </c>
      <c r="B17" s="339">
        <v>9</v>
      </c>
      <c r="C17" s="339">
        <v>210</v>
      </c>
      <c r="D17" s="339">
        <f t="shared" si="0"/>
        <v>105</v>
      </c>
      <c r="E17" s="339">
        <f t="shared" si="1"/>
        <v>0</v>
      </c>
      <c r="F17" s="339">
        <f>Zwischenrechnung!J25</f>
        <v>100</v>
      </c>
      <c r="G17" s="339">
        <f t="shared" si="6"/>
        <v>85</v>
      </c>
      <c r="H17" s="339">
        <f>IF(Zwischenrechnung!G25=100,Zwischenrechnung!G25-15,Zwischenrechnung!G25-20)</f>
        <v>85</v>
      </c>
      <c r="I17" s="339">
        <f>Zwischenrechnung!F25</f>
        <v>10</v>
      </c>
      <c r="J17" s="339">
        <f t="shared" si="2"/>
        <v>10.491774806064372</v>
      </c>
      <c r="K17" s="339">
        <f t="shared" si="5"/>
        <v>3.1475324418193114</v>
      </c>
      <c r="L17" s="339">
        <v>32</v>
      </c>
      <c r="M17" s="339">
        <f t="shared" si="3"/>
        <v>0</v>
      </c>
      <c r="N17" s="73" t="s">
        <v>363</v>
      </c>
      <c r="O17" s="339">
        <f t="shared" si="4"/>
        <v>0</v>
      </c>
      <c r="P17" s="339">
        <f t="shared" si="4"/>
        <v>0</v>
      </c>
      <c r="Q17" s="339">
        <f t="shared" si="4"/>
        <v>0</v>
      </c>
      <c r="R17" s="339">
        <f t="shared" si="4"/>
        <v>0</v>
      </c>
      <c r="S17" s="339">
        <f t="shared" si="4"/>
        <v>0</v>
      </c>
    </row>
    <row r="18" spans="1:19">
      <c r="A18" s="76" t="s">
        <v>211</v>
      </c>
      <c r="B18" s="79">
        <v>9</v>
      </c>
      <c r="C18" s="79">
        <v>210</v>
      </c>
      <c r="D18" s="79">
        <f t="shared" si="0"/>
        <v>105</v>
      </c>
      <c r="E18" s="79">
        <f t="shared" si="1"/>
        <v>0</v>
      </c>
      <c r="F18" s="79">
        <f>Zwischenrechnung!J26</f>
        <v>100</v>
      </c>
      <c r="G18" s="79">
        <f t="shared" si="6"/>
        <v>85</v>
      </c>
      <c r="H18" s="79">
        <f>IF(Zwischenrechnung!G26=100,Zwischenrechnung!G26-15,Zwischenrechnung!G26-20)</f>
        <v>180</v>
      </c>
      <c r="I18" s="79">
        <f>Zwischenrechnung!F26</f>
        <v>10</v>
      </c>
      <c r="J18" s="79">
        <f t="shared" si="2"/>
        <v>10.491774806064372</v>
      </c>
      <c r="K18" s="79">
        <f t="shared" si="5"/>
        <v>12.367115938864831</v>
      </c>
      <c r="L18" s="79">
        <v>32</v>
      </c>
      <c r="M18" s="79">
        <f t="shared" si="3"/>
        <v>0</v>
      </c>
      <c r="N18" s="76" t="s">
        <v>211</v>
      </c>
      <c r="O18" s="79">
        <f t="shared" si="4"/>
        <v>0</v>
      </c>
      <c r="P18" s="79">
        <f t="shared" si="4"/>
        <v>0</v>
      </c>
      <c r="Q18" s="79">
        <f t="shared" si="4"/>
        <v>0</v>
      </c>
      <c r="R18" s="79">
        <f t="shared" si="4"/>
        <v>0</v>
      </c>
      <c r="S18" s="79">
        <f t="shared" si="4"/>
        <v>0</v>
      </c>
    </row>
    <row r="19" spans="1:19">
      <c r="A19" s="62" t="s">
        <v>215</v>
      </c>
      <c r="B19" s="65">
        <v>9</v>
      </c>
      <c r="C19" s="65">
        <v>210</v>
      </c>
      <c r="D19" s="65">
        <f t="shared" si="0"/>
        <v>105</v>
      </c>
      <c r="E19" s="65">
        <f t="shared" si="1"/>
        <v>0</v>
      </c>
      <c r="F19" s="65">
        <f>Zwischenrechnung!J27</f>
        <v>100</v>
      </c>
      <c r="G19" s="65">
        <f t="shared" si="6"/>
        <v>85</v>
      </c>
      <c r="H19" s="65">
        <f>IF(Zwischenrechnung!G27=100,Zwischenrechnung!G27-15,Zwischenrechnung!G27-20)</f>
        <v>180</v>
      </c>
      <c r="I19" s="65">
        <f>Zwischenrechnung!F27</f>
        <v>10</v>
      </c>
      <c r="J19" s="65">
        <f t="shared" si="2"/>
        <v>10.491774806064372</v>
      </c>
      <c r="K19" s="65">
        <f t="shared" si="5"/>
        <v>12.367115938864831</v>
      </c>
      <c r="L19" s="65">
        <v>32</v>
      </c>
      <c r="M19" s="65">
        <f t="shared" si="3"/>
        <v>0</v>
      </c>
      <c r="N19" s="62" t="s">
        <v>215</v>
      </c>
      <c r="O19" s="65">
        <f t="shared" si="4"/>
        <v>0</v>
      </c>
      <c r="P19" s="65">
        <f t="shared" si="4"/>
        <v>0</v>
      </c>
      <c r="Q19" s="65">
        <f t="shared" si="4"/>
        <v>0</v>
      </c>
      <c r="R19" s="65">
        <f t="shared" si="4"/>
        <v>0</v>
      </c>
      <c r="S19" s="65">
        <f t="shared" si="4"/>
        <v>0</v>
      </c>
    </row>
    <row r="20" spans="1:19" ht="18">
      <c r="I20" s="215" t="s">
        <v>213</v>
      </c>
      <c r="J20" s="216">
        <v>90</v>
      </c>
      <c r="K20" s="216">
        <f>90-Bemessung!B34</f>
        <v>0</v>
      </c>
      <c r="L20" s="216"/>
      <c r="N20" s="62" t="s">
        <v>352</v>
      </c>
      <c r="O20" s="235">
        <f>Bemessung!G24</f>
        <v>1.3</v>
      </c>
      <c r="P20" s="52"/>
      <c r="Q20" s="52"/>
      <c r="R20" s="52"/>
    </row>
    <row r="21" spans="1:19" ht="18">
      <c r="A21" s="81" t="s">
        <v>37</v>
      </c>
      <c r="B21" s="82">
        <f>MIN(Bemessung!B36,590)</f>
        <v>385</v>
      </c>
      <c r="C21" t="s">
        <v>38</v>
      </c>
      <c r="D21" s="83" t="str">
        <f>Bemessung!B35</f>
        <v>GL24h</v>
      </c>
      <c r="E21" t="s">
        <v>313</v>
      </c>
      <c r="I21" s="215" t="s">
        <v>212</v>
      </c>
      <c r="J21">
        <v>1</v>
      </c>
      <c r="K21" s="224">
        <f>IF(K20&gt;45,1,0.6+0.4*K20/45)</f>
        <v>0.6</v>
      </c>
      <c r="L21" s="215" t="s">
        <v>231</v>
      </c>
      <c r="P21" s="52"/>
      <c r="Q21" s="52"/>
      <c r="R21" s="52"/>
    </row>
    <row r="22" spans="1:19" ht="18.75">
      <c r="A22" s="81" t="s">
        <v>37</v>
      </c>
      <c r="B22" s="82">
        <f>Bemessung!B38</f>
        <v>385</v>
      </c>
      <c r="C22" t="s">
        <v>38</v>
      </c>
      <c r="D22" s="83" t="str">
        <f>Bemessung!B37</f>
        <v>GL24h</v>
      </c>
      <c r="E22" t="s">
        <v>355</v>
      </c>
      <c r="I22" s="215" t="s">
        <v>212</v>
      </c>
      <c r="J22">
        <v>1</v>
      </c>
      <c r="K22" s="224">
        <f>IF(K20&gt;45,1,0.3+0.7*K20/45)</f>
        <v>0.3</v>
      </c>
      <c r="L22" s="215" t="s">
        <v>232</v>
      </c>
      <c r="N22" s="180" t="s">
        <v>179</v>
      </c>
      <c r="O22">
        <f>Bemessung!E83</f>
        <v>0</v>
      </c>
      <c r="P22" s="52"/>
      <c r="Q22" s="52"/>
      <c r="R22" s="52"/>
    </row>
    <row r="23" spans="1:19" ht="18.75">
      <c r="N23" s="180" t="s">
        <v>180</v>
      </c>
      <c r="O23" s="181">
        <f>Bemessung!B80</f>
        <v>40</v>
      </c>
      <c r="P23" s="182" t="s">
        <v>181</v>
      </c>
      <c r="Q23" s="124">
        <f>Bemessung!B80</f>
        <v>40</v>
      </c>
      <c r="R23" s="52"/>
    </row>
    <row r="25" spans="1:19" ht="18.75">
      <c r="N25" s="54" t="s">
        <v>24</v>
      </c>
      <c r="O25" s="161" t="s">
        <v>182</v>
      </c>
      <c r="P25" s="161" t="s">
        <v>183</v>
      </c>
      <c r="Q25" s="161" t="s">
        <v>184</v>
      </c>
    </row>
    <row r="26" spans="1:19">
      <c r="N26" s="62" t="s">
        <v>366</v>
      </c>
      <c r="O26" s="65">
        <v>59</v>
      </c>
      <c r="P26" s="65">
        <f t="shared" ref="P26:P35" si="7">MIN($O$22/2-$Q$23,$O$22/2-$O$23,O26-$O$22/2+$Q$23,O26-$O$22/2+$O$23)</f>
        <v>-40</v>
      </c>
      <c r="Q26" s="65">
        <f>IF(Bemessung!$B$28="RICON S 140/60 VS min",O26/(O26-P26),0)*2</f>
        <v>0</v>
      </c>
    </row>
    <row r="27" spans="1:19" ht="16.5" thickBot="1">
      <c r="N27" s="67" t="s">
        <v>365</v>
      </c>
      <c r="O27" s="70">
        <v>60</v>
      </c>
      <c r="P27" s="70">
        <f t="shared" si="7"/>
        <v>-40</v>
      </c>
      <c r="Q27" s="70">
        <f>IF(Bemessung!$B$28="RICON S 140/60 VS st",O27/(O27-P27),0)*2</f>
        <v>0</v>
      </c>
      <c r="R27" s="52"/>
    </row>
    <row r="28" spans="1:19">
      <c r="N28" s="331" t="s">
        <v>358</v>
      </c>
      <c r="O28" s="338">
        <v>119</v>
      </c>
      <c r="P28" s="338">
        <f t="shared" si="7"/>
        <v>-40</v>
      </c>
      <c r="Q28" s="338">
        <f>IF(Bemessung!$B$28="RICON S 200/60 VS min",O28/(O28-P28),0)*2</f>
        <v>0</v>
      </c>
      <c r="R28" s="52"/>
    </row>
    <row r="29" spans="1:19" ht="16.5" thickBot="1">
      <c r="N29" s="73" t="s">
        <v>359</v>
      </c>
      <c r="O29" s="339">
        <v>120</v>
      </c>
      <c r="P29" s="339">
        <f t="shared" si="7"/>
        <v>-40</v>
      </c>
      <c r="Q29" s="339">
        <f>IF(Bemessung!$B$28="RICON S 200/60 VS st",O29/(O29-P29),0)*2</f>
        <v>0</v>
      </c>
      <c r="R29" s="52"/>
    </row>
    <row r="30" spans="1:19">
      <c r="N30" s="76" t="s">
        <v>360</v>
      </c>
      <c r="O30" s="79">
        <v>119</v>
      </c>
      <c r="P30" s="79">
        <f t="shared" si="7"/>
        <v>-40</v>
      </c>
      <c r="Q30" s="79">
        <f>IF(Bemessung!$B$28="RICON S 200/80 VS min",O30/(O30-P30),0)*2</f>
        <v>0</v>
      </c>
      <c r="R30" s="52"/>
    </row>
    <row r="31" spans="1:19" ht="16.5" thickBot="1">
      <c r="N31" s="67" t="s">
        <v>361</v>
      </c>
      <c r="O31" s="70">
        <v>120</v>
      </c>
      <c r="P31" s="70">
        <f t="shared" si="7"/>
        <v>-40</v>
      </c>
      <c r="Q31" s="70">
        <f>IF(Bemessung!$B$28="RICON S 200/80 VS st",O31/(O31-P31),0)*2</f>
        <v>1.5</v>
      </c>
      <c r="R31" s="52"/>
    </row>
    <row r="32" spans="1:19">
      <c r="N32" s="331" t="s">
        <v>362</v>
      </c>
      <c r="O32" s="338">
        <v>209</v>
      </c>
      <c r="P32" s="338">
        <f t="shared" si="7"/>
        <v>-40</v>
      </c>
      <c r="Q32" s="338">
        <f>IF(Bemessung!$B$28="RICON S 290/80 VS min",O32/(O32-P32),0)*2</f>
        <v>0</v>
      </c>
      <c r="R32" s="52"/>
    </row>
    <row r="33" spans="1:18" ht="16.5" thickBot="1">
      <c r="N33" s="73" t="s">
        <v>363</v>
      </c>
      <c r="O33" s="339">
        <v>210</v>
      </c>
      <c r="P33" s="339">
        <f t="shared" si="7"/>
        <v>-40</v>
      </c>
      <c r="Q33" s="339">
        <f>IF(Bemessung!$B$28="RICON S 290/80 VS st",O33/(O33-P33),0)*2</f>
        <v>0</v>
      </c>
      <c r="R33" s="52"/>
    </row>
    <row r="34" spans="1:18">
      <c r="N34" s="76" t="s">
        <v>211</v>
      </c>
      <c r="O34" s="79">
        <v>270</v>
      </c>
      <c r="P34" s="79">
        <f t="shared" si="7"/>
        <v>-40</v>
      </c>
      <c r="Q34" s="79">
        <f>IF(Bemessung!$B$28="RICON S 390x80 VS+ZP",O34/(O34-P34),0)*2</f>
        <v>0</v>
      </c>
      <c r="R34" s="52"/>
    </row>
    <row r="35" spans="1:18">
      <c r="N35" s="62" t="s">
        <v>215</v>
      </c>
      <c r="O35" s="65">
        <v>270</v>
      </c>
      <c r="P35" s="65">
        <f t="shared" si="7"/>
        <v>-40</v>
      </c>
      <c r="Q35" s="65">
        <f>IF(Bemessung!$B$28="RICON S 390x80 VS+ZP max",O35/(O35-P35),0)*2</f>
        <v>0</v>
      </c>
      <c r="R35" s="52"/>
    </row>
    <row r="36" spans="1:18">
      <c r="P36" s="52"/>
      <c r="Q36" s="52"/>
      <c r="R36" s="52"/>
    </row>
    <row r="37" spans="1:18" ht="26.25">
      <c r="A37" s="51" t="s">
        <v>354</v>
      </c>
    </row>
    <row r="39" spans="1:18" ht="18.75">
      <c r="A39" s="53" t="s">
        <v>23</v>
      </c>
      <c r="D39" s="84"/>
    </row>
    <row r="40" spans="1:18" ht="18.75">
      <c r="A40" s="53"/>
      <c r="D40" s="84"/>
    </row>
    <row r="41" spans="1:18" ht="18">
      <c r="A41" s="85" t="s">
        <v>93</v>
      </c>
      <c r="B41" s="86">
        <f>Bemessung!B36</f>
        <v>385</v>
      </c>
      <c r="C41" s="87" t="s">
        <v>38</v>
      </c>
      <c r="D41" s="86" t="str">
        <f>Bemessung!B35</f>
        <v>GL24h</v>
      </c>
      <c r="E41" t="s">
        <v>313</v>
      </c>
      <c r="H41" s="215" t="s">
        <v>213</v>
      </c>
      <c r="I41" s="216">
        <f>Bemessung!B34</f>
        <v>90</v>
      </c>
      <c r="J41" s="216">
        <f>90-I41</f>
        <v>0</v>
      </c>
    </row>
    <row r="42" spans="1:18" ht="18">
      <c r="A42" s="85" t="s">
        <v>93</v>
      </c>
      <c r="B42" s="86">
        <f>Bemessung!B38</f>
        <v>385</v>
      </c>
      <c r="C42" t="s">
        <v>38</v>
      </c>
      <c r="D42" s="86" t="str">
        <f>Bemessung!B37</f>
        <v>GL24h</v>
      </c>
      <c r="E42" t="s">
        <v>355</v>
      </c>
    </row>
    <row r="43" spans="1:18" ht="18">
      <c r="A43" s="85" t="s">
        <v>94</v>
      </c>
      <c r="B43" s="86">
        <f>'Herleitung_HT-NT-Anschlüsse'!B31</f>
        <v>35000</v>
      </c>
      <c r="C43" s="86">
        <f>'Herleitung_HT-NT-Anschlüsse'!C31</f>
        <v>20000</v>
      </c>
      <c r="D43" s="87" t="s">
        <v>40</v>
      </c>
      <c r="E43" s="87"/>
    </row>
    <row r="44" spans="1:18">
      <c r="A44" s="85" t="s">
        <v>41</v>
      </c>
      <c r="B44" s="87">
        <v>10</v>
      </c>
      <c r="C44" s="87">
        <v>8</v>
      </c>
      <c r="D44" s="87" t="s">
        <v>42</v>
      </c>
      <c r="R44" s="52"/>
    </row>
    <row r="45" spans="1:18" ht="18">
      <c r="A45" s="85" t="s">
        <v>95</v>
      </c>
      <c r="B45" s="88">
        <f>0.082*B44^-0.3*B41/(2.5*COS(RADIANS($J$41))^2+SIN(RADIANS($J$41))^2)</f>
        <v>6.3289923862451936</v>
      </c>
      <c r="C45" s="88">
        <f>0.082*C44^-0.3*B41/(2.5*COS(RADIANS($J$41))^2+SIN(RADIANS($J$41))^2)</f>
        <v>6.767177642454155</v>
      </c>
      <c r="D45" s="87" t="s">
        <v>15</v>
      </c>
      <c r="R45" s="52"/>
    </row>
    <row r="46" spans="1:18" ht="18">
      <c r="A46" s="85" t="s">
        <v>96</v>
      </c>
      <c r="B46" s="88">
        <f>0.082*B44^-0.3*B42</f>
        <v>15.822480965612984</v>
      </c>
      <c r="C46" s="88">
        <f>0.082*C44^-0.3*B42</f>
        <v>16.917944106135387</v>
      </c>
      <c r="D46" s="87" t="s">
        <v>15</v>
      </c>
      <c r="R46" s="52"/>
    </row>
    <row r="47" spans="1:18">
      <c r="A47" s="85"/>
      <c r="B47" s="88"/>
      <c r="C47" s="88"/>
      <c r="D47" s="330"/>
      <c r="R47" s="52"/>
    </row>
    <row r="48" spans="1:18">
      <c r="A48" s="85"/>
      <c r="B48" s="88"/>
      <c r="C48" s="88"/>
      <c r="D48" s="330"/>
      <c r="P48" s="52"/>
      <c r="Q48" s="52"/>
      <c r="R48" s="52"/>
    </row>
    <row r="49" spans="1:18">
      <c r="P49" s="52"/>
      <c r="Q49" s="52"/>
      <c r="R49" s="52"/>
    </row>
    <row r="50" spans="1:18" ht="18.75">
      <c r="A50" s="54" t="s">
        <v>24</v>
      </c>
      <c r="B50" s="55" t="s">
        <v>43</v>
      </c>
      <c r="C50" s="55" t="s">
        <v>31</v>
      </c>
      <c r="D50" s="222" t="s">
        <v>414</v>
      </c>
      <c r="E50" s="222" t="s">
        <v>427</v>
      </c>
      <c r="F50" s="55" t="s">
        <v>45</v>
      </c>
      <c r="G50" s="55" t="s">
        <v>46</v>
      </c>
      <c r="H50" s="55" t="s">
        <v>47</v>
      </c>
      <c r="J50" s="52"/>
      <c r="K50" s="329"/>
      <c r="O50" s="377" t="s">
        <v>415</v>
      </c>
      <c r="P50" s="378"/>
      <c r="Q50" s="379"/>
    </row>
    <row r="51" spans="1:18" ht="18">
      <c r="A51" s="58"/>
      <c r="B51" s="59" t="s">
        <v>36</v>
      </c>
      <c r="C51" s="59" t="s">
        <v>13</v>
      </c>
      <c r="D51" s="59" t="s">
        <v>13</v>
      </c>
      <c r="E51" s="59" t="s">
        <v>13</v>
      </c>
      <c r="F51" s="59" t="s">
        <v>35</v>
      </c>
      <c r="G51" s="59" t="s">
        <v>35</v>
      </c>
      <c r="H51" s="89" t="s">
        <v>35</v>
      </c>
      <c r="J51" s="52"/>
      <c r="K51" s="52"/>
      <c r="O51" s="359" t="s">
        <v>122</v>
      </c>
      <c r="P51" s="359" t="s">
        <v>152</v>
      </c>
      <c r="Q51" s="359" t="s">
        <v>389</v>
      </c>
    </row>
    <row r="52" spans="1:18" ht="19.5">
      <c r="A52" s="62" t="s">
        <v>366</v>
      </c>
      <c r="B52" s="340">
        <f>Zwischenrechnung!E18</f>
        <v>7</v>
      </c>
      <c r="C52" s="340">
        <f>Zwischenrechnung!F18</f>
        <v>8</v>
      </c>
      <c r="D52" s="340">
        <f>Zwischenrechnung!G18</f>
        <v>160</v>
      </c>
      <c r="E52" s="340">
        <f>VLOOKUP(D52,$P$52:$Q$54,2,FALSE)</f>
        <v>145</v>
      </c>
      <c r="F52" s="235">
        <f>(IF(E52&gt;100,$J$65,$J$66)*0.52*SQRT(C52)*E52^0.9*$B$41^0.8)/1000</f>
        <v>9.1054072130615449</v>
      </c>
      <c r="G52" s="235">
        <f>MIN($C$45*$E$53*$C52/1000,$C$45*$E52*$C52/1000*(SQRT(2+4*$C$43/($C$45*$C52*$E52^2))-1)+$F52/4,(2.3*SQRT($C$43*$C$45*$C52))/1000+(F52/4))</f>
        <v>4.6696213569457061</v>
      </c>
      <c r="H52" s="65">
        <f t="shared" ref="H52:H59" si="8">B52^0.9*G52</f>
        <v>26.907286476487887</v>
      </c>
      <c r="I52" s="90" t="s">
        <v>140</v>
      </c>
      <c r="J52" s="52"/>
      <c r="K52" s="52"/>
      <c r="O52" s="359">
        <v>8</v>
      </c>
      <c r="P52" s="359">
        <v>80</v>
      </c>
      <c r="Q52" s="359">
        <v>70</v>
      </c>
    </row>
    <row r="53" spans="1:18" ht="20.25" thickBot="1">
      <c r="A53" s="67" t="s">
        <v>365</v>
      </c>
      <c r="B53" s="341">
        <f>Zwischenrechnung!E19</f>
        <v>10</v>
      </c>
      <c r="C53" s="341">
        <f>Zwischenrechnung!F19</f>
        <v>8</v>
      </c>
      <c r="D53" s="341">
        <f>Zwischenrechnung!G19</f>
        <v>160</v>
      </c>
      <c r="E53" s="341">
        <f t="shared" ref="E53:E55" si="9">VLOOKUP(D53,$P$52:$Q$54,2,FALSE)</f>
        <v>145</v>
      </c>
      <c r="F53" s="233">
        <f t="shared" ref="F53:F58" si="10">(IF(E53&gt;100,$J$65,$J$66)*0.52*SQRT(C53)*E53^0.9*$B$41^0.8)/1000</f>
        <v>9.1054072130615449</v>
      </c>
      <c r="G53" s="233">
        <f>MIN($C$45*$E$53*$C53/1000,$C$45*$E53*$C53/1000*(SQRT(2+4*$C$43/($C$45*$C53*$E53^2))-1)+$F53/4,(2.3*SQRT($C$43*$C$45*$C53))/1000+(F53/4))</f>
        <v>4.6696213569457061</v>
      </c>
      <c r="H53" s="70">
        <f t="shared" si="8"/>
        <v>37.092120892934879</v>
      </c>
      <c r="I53" s="90" t="s">
        <v>140</v>
      </c>
      <c r="J53" s="217"/>
      <c r="K53" s="217"/>
      <c r="O53" s="359">
        <v>8</v>
      </c>
      <c r="P53" s="359">
        <v>160</v>
      </c>
      <c r="Q53" s="359">
        <v>145</v>
      </c>
    </row>
    <row r="54" spans="1:18" ht="19.5">
      <c r="A54" s="331" t="s">
        <v>358</v>
      </c>
      <c r="B54" s="342">
        <f>Zwischenrechnung!E20</f>
        <v>8</v>
      </c>
      <c r="C54" s="342">
        <f>Zwischenrechnung!F20</f>
        <v>8</v>
      </c>
      <c r="D54" s="342">
        <f>Zwischenrechnung!G20</f>
        <v>160</v>
      </c>
      <c r="E54" s="342">
        <f t="shared" si="9"/>
        <v>145</v>
      </c>
      <c r="F54" s="337">
        <f t="shared" si="10"/>
        <v>9.1054072130615449</v>
      </c>
      <c r="G54" s="337">
        <f>MIN($C$45*$E$53*$C54/1000,$C$45*$E54*$C54/1000*(SQRT(2+4*$C$43/($C$45*$C54*$E54^2))-1)+$F54/4,(2.3*SQRT($C$43*$C$45*$C54))/1000+(F54/4))</f>
        <v>4.6696213569457061</v>
      </c>
      <c r="H54" s="338">
        <f t="shared" si="8"/>
        <v>30.343289098043243</v>
      </c>
      <c r="I54" s="90" t="s">
        <v>140</v>
      </c>
      <c r="J54" s="217"/>
      <c r="K54" s="217"/>
      <c r="O54" s="359">
        <v>8</v>
      </c>
      <c r="P54" s="359">
        <v>240</v>
      </c>
      <c r="Q54" s="359">
        <v>225</v>
      </c>
    </row>
    <row r="55" spans="1:18" ht="20.25" thickBot="1">
      <c r="A55" s="73" t="s">
        <v>359</v>
      </c>
      <c r="B55" s="343">
        <f>Zwischenrechnung!E21</f>
        <v>16</v>
      </c>
      <c r="C55" s="343">
        <f>Zwischenrechnung!F21</f>
        <v>8</v>
      </c>
      <c r="D55" s="343">
        <f>Zwischenrechnung!G21</f>
        <v>160</v>
      </c>
      <c r="E55" s="343">
        <f t="shared" si="9"/>
        <v>145</v>
      </c>
      <c r="F55" s="238">
        <f t="shared" si="10"/>
        <v>9.1054072130615449</v>
      </c>
      <c r="G55" s="238">
        <f>MIN($C$45*$E$53*$C55/1000,$C$45*$E55*$C55/1000*(SQRT(2+4*$C$43/($C$45*$C55*$E55^2))-1)+$F55/4,(2.3*SQRT($C$43*$C$45*$C55))/1000+(F55/4))</f>
        <v>4.6696213569457061</v>
      </c>
      <c r="H55" s="339">
        <f t="shared" si="8"/>
        <v>56.622579600426967</v>
      </c>
      <c r="I55" s="90" t="s">
        <v>140</v>
      </c>
      <c r="J55" s="214"/>
      <c r="K55" s="214"/>
      <c r="O55" s="380" t="s">
        <v>416</v>
      </c>
      <c r="P55" s="380"/>
      <c r="Q55" s="380"/>
      <c r="R55" s="215" t="s">
        <v>421</v>
      </c>
    </row>
    <row r="56" spans="1:18" ht="19.5">
      <c r="A56" s="76" t="s">
        <v>360</v>
      </c>
      <c r="B56" s="344">
        <f>Zwischenrechnung!E22</f>
        <v>8</v>
      </c>
      <c r="C56" s="344">
        <f>Zwischenrechnung!F22</f>
        <v>10</v>
      </c>
      <c r="D56" s="344">
        <f>Zwischenrechnung!G22</f>
        <v>200</v>
      </c>
      <c r="E56" s="344">
        <f>VLOOKUP(D56,$P$57:$Q$59,2,FALSE)</f>
        <v>180</v>
      </c>
      <c r="F56" s="234">
        <f t="shared" si="10"/>
        <v>12.367115938864831</v>
      </c>
      <c r="G56" s="234">
        <f>MIN($B$45*$E$53*$C56/1000,$B$45*$E56*$C56/1000*(SQRT(2+4*$B$43/($B$45*$C56*$E56^2))-1)+$F56/4,(2.3*SQRT($B$43*$B$45*$C56))/1000+(F56/4))</f>
        <v>6.5149543239492091</v>
      </c>
      <c r="H56" s="79">
        <f t="shared" si="8"/>
        <v>42.334298094233297</v>
      </c>
      <c r="I56" s="90" t="s">
        <v>140</v>
      </c>
      <c r="J56" s="214"/>
      <c r="K56" s="214"/>
      <c r="O56" s="359" t="s">
        <v>122</v>
      </c>
      <c r="P56" s="359" t="s">
        <v>152</v>
      </c>
      <c r="Q56" s="359" t="s">
        <v>389</v>
      </c>
      <c r="R56" s="359" t="s">
        <v>389</v>
      </c>
    </row>
    <row r="57" spans="1:18" ht="20.25" thickBot="1">
      <c r="A57" s="67" t="s">
        <v>361</v>
      </c>
      <c r="B57" s="341">
        <f>Zwischenrechnung!E23</f>
        <v>16</v>
      </c>
      <c r="C57" s="341">
        <f>Zwischenrechnung!F23</f>
        <v>10</v>
      </c>
      <c r="D57" s="341">
        <f>Zwischenrechnung!G23</f>
        <v>300</v>
      </c>
      <c r="E57" s="341">
        <f t="shared" ref="E57:E59" si="11">VLOOKUP(D57,$P$57:$Q$59,2,FALSE)</f>
        <v>280</v>
      </c>
      <c r="F57" s="233">
        <f t="shared" si="10"/>
        <v>18.406253787508255</v>
      </c>
      <c r="G57" s="233">
        <f>MIN($B$45*$E$53*$C57/1000,$B$45*$E57*$C57/1000*(SQRT(2+4*$B$43/($B$45*$C57*$E57^2))-1)+$F57/4,(2.3*SQRT($B$43*$B$45*$C57))/1000+(F57/4))</f>
        <v>8.0247387861100652</v>
      </c>
      <c r="H57" s="70">
        <f t="shared" si="8"/>
        <v>97.305836160204535</v>
      </c>
      <c r="I57" s="90" t="s">
        <v>140</v>
      </c>
      <c r="J57" s="214"/>
      <c r="K57" s="214"/>
      <c r="L57" s="245"/>
      <c r="O57" s="359">
        <v>10</v>
      </c>
      <c r="P57" s="359">
        <v>100</v>
      </c>
      <c r="Q57" s="359">
        <v>85</v>
      </c>
      <c r="R57" s="359">
        <f>P57-25</f>
        <v>75</v>
      </c>
    </row>
    <row r="58" spans="1:18" ht="19.5">
      <c r="A58" s="331" t="s">
        <v>362</v>
      </c>
      <c r="B58" s="342">
        <f>Zwischenrechnung!E24</f>
        <v>8</v>
      </c>
      <c r="C58" s="342">
        <f>Zwischenrechnung!F24</f>
        <v>10</v>
      </c>
      <c r="D58" s="342">
        <f>Zwischenrechnung!G24</f>
        <v>200</v>
      </c>
      <c r="E58" s="342">
        <f t="shared" si="11"/>
        <v>180</v>
      </c>
      <c r="F58" s="337">
        <f t="shared" si="10"/>
        <v>12.367115938864831</v>
      </c>
      <c r="G58" s="337">
        <f>MIN($B$45*$E$53*$C58/1000,$B$45*$E58*$C58/1000*(SQRT(2+4*$B$43/($B$45*$C58*$E58^2))-1)+$F58/4,(2.3*SQRT($B$43*$B$45*$C58))/1000+(F58/4))</f>
        <v>6.5149543239492091</v>
      </c>
      <c r="H58" s="338">
        <f t="shared" si="8"/>
        <v>42.334298094233297</v>
      </c>
      <c r="I58" s="90" t="s">
        <v>140</v>
      </c>
      <c r="J58" s="214"/>
      <c r="K58" s="214"/>
      <c r="L58" s="245"/>
      <c r="O58" s="359">
        <v>10</v>
      </c>
      <c r="P58" s="359">
        <v>200</v>
      </c>
      <c r="Q58" s="359">
        <v>180</v>
      </c>
      <c r="R58" s="359">
        <f t="shared" ref="R58:R59" si="12">P58-25</f>
        <v>175</v>
      </c>
    </row>
    <row r="59" spans="1:18" ht="20.25" thickBot="1">
      <c r="A59" s="73" t="s">
        <v>363</v>
      </c>
      <c r="B59" s="343">
        <f>Zwischenrechnung!E25</f>
        <v>25</v>
      </c>
      <c r="C59" s="343">
        <f>Zwischenrechnung!F25</f>
        <v>10</v>
      </c>
      <c r="D59" s="343">
        <f>Zwischenrechnung!G25</f>
        <v>100</v>
      </c>
      <c r="E59" s="343">
        <f t="shared" si="11"/>
        <v>85</v>
      </c>
      <c r="F59" s="238">
        <f>(IF(E59&gt;100,$J$65,$J$66)*0.52*SQRT(C59)*E59^0.9*$B$41^0.8)/1000</f>
        <v>3.1475324418193114</v>
      </c>
      <c r="G59" s="238">
        <f>MIN($B$45*$E$53*$C59/1000,$B$45*$E59*$C59/1000*(SQRT(2+4*$B$43/($B$45*$C59*$E59^2))-1)+$F59/4,(2.3*SQRT($B$43*$B$45*$C59))/1000+(F59/4))</f>
        <v>3.576800055273746</v>
      </c>
      <c r="H59" s="339">
        <f t="shared" si="8"/>
        <v>64.80979852759171</v>
      </c>
      <c r="I59" s="404" t="s">
        <v>140</v>
      </c>
      <c r="J59" s="214"/>
      <c r="K59" s="214"/>
      <c r="O59" s="359">
        <v>10</v>
      </c>
      <c r="P59" s="359">
        <v>300</v>
      </c>
      <c r="Q59" s="359">
        <v>280</v>
      </c>
      <c r="R59" s="359">
        <f t="shared" si="12"/>
        <v>275</v>
      </c>
    </row>
    <row r="60" spans="1:18" ht="20.25" thickBot="1">
      <c r="A60" s="394"/>
      <c r="B60" s="395" t="s">
        <v>422</v>
      </c>
      <c r="C60" s="395" t="s">
        <v>426</v>
      </c>
      <c r="D60" s="395" t="s">
        <v>43</v>
      </c>
      <c r="E60" s="396" t="s">
        <v>423</v>
      </c>
      <c r="F60" s="395" t="s">
        <v>425</v>
      </c>
      <c r="G60" s="400" t="s">
        <v>31</v>
      </c>
      <c r="H60" s="401" t="s">
        <v>414</v>
      </c>
      <c r="I60" s="395" t="s">
        <v>427</v>
      </c>
      <c r="J60" s="403" t="s">
        <v>45</v>
      </c>
      <c r="K60" s="403" t="s">
        <v>46</v>
      </c>
      <c r="L60" s="397" t="s">
        <v>424</v>
      </c>
      <c r="M60" s="395" t="s">
        <v>433</v>
      </c>
    </row>
    <row r="61" spans="1:18">
      <c r="A61" s="510" t="s">
        <v>211</v>
      </c>
      <c r="B61" s="528">
        <f>D61+D62</f>
        <v>28</v>
      </c>
      <c r="C61" s="528">
        <f>B61^0.9</f>
        <v>20.065141567878999</v>
      </c>
      <c r="D61" s="344">
        <f>Zwischenrechnung!$E$26-3</f>
        <v>25</v>
      </c>
      <c r="E61" s="387">
        <f>D61/B61</f>
        <v>0.8928571428571429</v>
      </c>
      <c r="F61" s="388">
        <f>C61*E61</f>
        <v>17.915304971320538</v>
      </c>
      <c r="G61" s="344">
        <f>Zwischenrechnung!$F$26</f>
        <v>10</v>
      </c>
      <c r="H61" s="344">
        <f>Zwischenrechnung!$G$26</f>
        <v>200</v>
      </c>
      <c r="I61" s="344">
        <f>VLOOKUP(H61,$P$57:$Q$59,2,FALSE)</f>
        <v>180</v>
      </c>
      <c r="J61" s="234">
        <f>(IF(I61&gt;=100,$J$65,$J$66)*0.52*SQRT(G61)*I61^0.9*$B$41^0.8)/1000</f>
        <v>12.367115938864831</v>
      </c>
      <c r="K61" s="234">
        <f>MIN($B$45*$E$53*$G61/1000,$B$45*$I61*$G61/1000*(SQRT(2+4*$B$43/($B$45*$G61*$I61^2))-1)+$J61/4,(2.3*SQRT($B$43*$B$45*$G61))/1000+(J61/4))</f>
        <v>6.5149543239492091</v>
      </c>
      <c r="L61" s="389">
        <f>F61*K61</f>
        <v>116.7173935877735</v>
      </c>
      <c r="M61" s="522">
        <f>L61+L62</f>
        <v>130.55707715016831</v>
      </c>
    </row>
    <row r="62" spans="1:18" ht="16.5" thickBot="1">
      <c r="A62" s="511"/>
      <c r="B62" s="529"/>
      <c r="C62" s="529"/>
      <c r="D62" s="341">
        <f>Zwischenrechnung!$E$26-D61</f>
        <v>3</v>
      </c>
      <c r="E62" s="390">
        <f>D62/B61</f>
        <v>0.10714285714285714</v>
      </c>
      <c r="F62" s="391">
        <f>C61*E62</f>
        <v>2.149836596558464</v>
      </c>
      <c r="G62" s="341">
        <f>Zwischenrechnung!$F$26</f>
        <v>10</v>
      </c>
      <c r="H62" s="341">
        <f>Zwischenrechnung!$G$26</f>
        <v>200</v>
      </c>
      <c r="I62" s="341">
        <f>VLOOKUP(H62,$P$57:$R$59,3,FALSE)</f>
        <v>175</v>
      </c>
      <c r="J62" s="233">
        <f t="shared" ref="J62:J64" si="13">(IF(I62&gt;=100,$J$65,$J$66)*0.52*SQRT(G62)*I62^0.9*$B$41^0.8)/1000</f>
        <v>12.057504188084518</v>
      </c>
      <c r="K62" s="233">
        <f>MIN($B$45*$E$53*$G62/1000,$B$45*$I62*$G62/1000*(SQRT(2+4*$B$43/($B$45*$G62*$I62^2))-1)+$J62/4,(2.3*SQRT($B$43*$B$45*$G62))/1000+(J62/4))</f>
        <v>6.4375513862541309</v>
      </c>
      <c r="L62" s="392">
        <f>F62*K62</f>
        <v>13.839683562394804</v>
      </c>
      <c r="M62" s="530"/>
      <c r="Q62" s="52"/>
      <c r="R62" s="52"/>
    </row>
    <row r="63" spans="1:18">
      <c r="A63" s="510" t="s">
        <v>215</v>
      </c>
      <c r="B63" s="528">
        <f>D63+D64</f>
        <v>28</v>
      </c>
      <c r="C63" s="528">
        <f>B63^0.9</f>
        <v>20.065141567878999</v>
      </c>
      <c r="D63" s="344">
        <f>Zwischenrechnung!$E$27-3</f>
        <v>25</v>
      </c>
      <c r="E63" s="387">
        <f>D63/B63</f>
        <v>0.8928571428571429</v>
      </c>
      <c r="F63" s="388">
        <f>C63*E63</f>
        <v>17.915304971320538</v>
      </c>
      <c r="G63" s="344">
        <f>Zwischenrechnung!$F$27</f>
        <v>10</v>
      </c>
      <c r="H63" s="344">
        <f>Zwischenrechnung!$G$27</f>
        <v>200</v>
      </c>
      <c r="I63" s="344">
        <f t="shared" ref="I63" si="14">VLOOKUP(H63,$P$57:$Q$59,2,FALSE)</f>
        <v>180</v>
      </c>
      <c r="J63" s="234">
        <f t="shared" si="13"/>
        <v>12.367115938864831</v>
      </c>
      <c r="K63" s="234">
        <f>MIN($B$45*$E$53*$G63/1000,$B$45*$I63*$G63/1000*(SQRT(2+4*$B$43/($B$45*$G63*$I63^2))-1)+$J63/4,(2.3*SQRT($B$43*$B$45*$G63))/1000+(J63/4))</f>
        <v>6.5149543239492091</v>
      </c>
      <c r="L63" s="389">
        <f>F63*K63</f>
        <v>116.7173935877735</v>
      </c>
      <c r="M63" s="522">
        <f>L63+L64</f>
        <v>130.55707715016831</v>
      </c>
      <c r="Q63" s="52"/>
      <c r="R63" s="52"/>
    </row>
    <row r="64" spans="1:18">
      <c r="A64" s="513"/>
      <c r="B64" s="516"/>
      <c r="C64" s="516"/>
      <c r="D64" s="340">
        <f>Zwischenrechnung!$E$27-D63</f>
        <v>3</v>
      </c>
      <c r="E64" s="381">
        <f>D64/B63</f>
        <v>0.10714285714285714</v>
      </c>
      <c r="F64" s="382">
        <f>C63*E64</f>
        <v>2.149836596558464</v>
      </c>
      <c r="G64" s="340">
        <f>Zwischenrechnung!$F$27</f>
        <v>10</v>
      </c>
      <c r="H64" s="340">
        <f>Zwischenrechnung!$G$27</f>
        <v>200</v>
      </c>
      <c r="I64" s="340">
        <f>VLOOKUP(H64,$P$57:$R$59,3,FALSE)</f>
        <v>175</v>
      </c>
      <c r="J64" s="235">
        <f t="shared" si="13"/>
        <v>12.057504188084518</v>
      </c>
      <c r="K64" s="235">
        <f>MIN($B$45*$E$53*$G64/1000,$B$45*$I64*$G64/1000*(SQRT(2+4*$B$43/($B$45*$G64*$I64^2))-1)+$J64/4,(2.3*SQRT($B$43*$B$45*$G64))/1000+(J64/4))</f>
        <v>6.4375513862541309</v>
      </c>
      <c r="L64" s="383">
        <f>F64*K64</f>
        <v>13.839683562394804</v>
      </c>
      <c r="M64" s="523"/>
      <c r="Q64" s="52"/>
      <c r="R64" s="52"/>
    </row>
    <row r="65" spans="1:19">
      <c r="I65" s="237" t="s">
        <v>214</v>
      </c>
      <c r="J65" s="393">
        <f>K21</f>
        <v>0.6</v>
      </c>
      <c r="K65" s="215" t="s">
        <v>231</v>
      </c>
      <c r="Q65" s="52"/>
      <c r="R65" s="52"/>
    </row>
    <row r="66" spans="1:19">
      <c r="I66" s="237" t="s">
        <v>214</v>
      </c>
      <c r="J66" s="225">
        <f>K22</f>
        <v>0.3</v>
      </c>
      <c r="K66" s="215" t="s">
        <v>232</v>
      </c>
      <c r="Q66" s="52"/>
      <c r="R66" s="52"/>
    </row>
    <row r="67" spans="1:19">
      <c r="D67" s="215"/>
      <c r="E67" s="215"/>
      <c r="F67" s="215"/>
      <c r="P67" s="52"/>
      <c r="Q67" s="52"/>
      <c r="R67" s="52"/>
    </row>
    <row r="68" spans="1:19" ht="18.75">
      <c r="A68" s="54" t="s">
        <v>24</v>
      </c>
      <c r="B68" s="405" t="s">
        <v>434</v>
      </c>
      <c r="C68" s="106" t="s">
        <v>53</v>
      </c>
      <c r="D68" s="215"/>
      <c r="E68" s="215"/>
      <c r="N68" s="54" t="s">
        <v>24</v>
      </c>
      <c r="O68" s="490" t="s">
        <v>368</v>
      </c>
      <c r="P68" s="488"/>
      <c r="Q68" s="488"/>
      <c r="R68" s="488"/>
      <c r="S68" s="489"/>
    </row>
    <row r="69" spans="1:19">
      <c r="A69" s="58"/>
      <c r="B69" s="109" t="s">
        <v>35</v>
      </c>
      <c r="C69" s="109" t="s">
        <v>35</v>
      </c>
      <c r="D69" s="215"/>
      <c r="E69" s="215"/>
      <c r="N69" s="58"/>
      <c r="O69" s="61">
        <v>0.6</v>
      </c>
      <c r="P69" s="61">
        <v>0.7</v>
      </c>
      <c r="Q69" s="61">
        <v>0.8</v>
      </c>
      <c r="R69" s="61">
        <v>0.9</v>
      </c>
      <c r="S69" s="61">
        <v>1</v>
      </c>
    </row>
    <row r="70" spans="1:19">
      <c r="A70" s="62" t="s">
        <v>366</v>
      </c>
      <c r="B70" s="65">
        <f t="shared" ref="B70:B77" si="15">H52</f>
        <v>26.907286476487887</v>
      </c>
      <c r="C70" s="65">
        <v>59</v>
      </c>
      <c r="D70" s="215"/>
      <c r="E70" s="215"/>
      <c r="N70" s="62" t="s">
        <v>366</v>
      </c>
      <c r="O70" s="65">
        <f>MIN($C70/1,O$69*$B70/$O$80)</f>
        <v>12.41874760453287</v>
      </c>
      <c r="P70" s="65">
        <f t="shared" ref="P70:S79" si="16">MIN($C70/1,P$69*$B70/$O$80)</f>
        <v>14.488538871955015</v>
      </c>
      <c r="Q70" s="65">
        <f t="shared" si="16"/>
        <v>16.558330139377162</v>
      </c>
      <c r="R70" s="65">
        <f t="shared" si="16"/>
        <v>18.628121406799306</v>
      </c>
      <c r="S70" s="65">
        <f t="shared" si="16"/>
        <v>20.697912674221449</v>
      </c>
    </row>
    <row r="71" spans="1:19" ht="16.5" thickBot="1">
      <c r="A71" s="67" t="s">
        <v>365</v>
      </c>
      <c r="B71" s="70">
        <f t="shared" si="15"/>
        <v>37.092120892934879</v>
      </c>
      <c r="C71" s="70">
        <v>60</v>
      </c>
      <c r="D71" s="215"/>
      <c r="E71" s="215"/>
      <c r="N71" s="67" t="s">
        <v>365</v>
      </c>
      <c r="O71" s="70">
        <f>MIN($C71/1,O$69*$B71/$O$80)</f>
        <v>17.11944041212379</v>
      </c>
      <c r="P71" s="70">
        <f t="shared" si="16"/>
        <v>19.972680480811086</v>
      </c>
      <c r="Q71" s="70">
        <f t="shared" si="16"/>
        <v>22.825920549498388</v>
      </c>
      <c r="R71" s="70">
        <f t="shared" si="16"/>
        <v>25.679160618185687</v>
      </c>
      <c r="S71" s="70">
        <f t="shared" si="16"/>
        <v>28.532400686872982</v>
      </c>
    </row>
    <row r="72" spans="1:19">
      <c r="A72" s="331" t="s">
        <v>358</v>
      </c>
      <c r="B72" s="338">
        <f t="shared" si="15"/>
        <v>30.343289098043243</v>
      </c>
      <c r="C72" s="338">
        <v>59</v>
      </c>
      <c r="D72" s="215"/>
      <c r="E72" s="215"/>
      <c r="N72" s="331" t="s">
        <v>358</v>
      </c>
      <c r="O72" s="338">
        <f t="shared" ref="O72:O79" si="17">MIN($C72/1,O$69*$B72/$O$80)</f>
        <v>14.004594968327648</v>
      </c>
      <c r="P72" s="338">
        <f t="shared" si="16"/>
        <v>16.338694129715591</v>
      </c>
      <c r="Q72" s="338">
        <f t="shared" si="16"/>
        <v>18.672793291103535</v>
      </c>
      <c r="R72" s="338">
        <f t="shared" si="16"/>
        <v>21.006892452491478</v>
      </c>
      <c r="S72" s="338">
        <f t="shared" si="16"/>
        <v>23.340991613879417</v>
      </c>
    </row>
    <row r="73" spans="1:19" ht="16.5" thickBot="1">
      <c r="A73" s="73" t="s">
        <v>359</v>
      </c>
      <c r="B73" s="339">
        <f t="shared" si="15"/>
        <v>56.622579600426967</v>
      </c>
      <c r="C73" s="339">
        <v>60</v>
      </c>
      <c r="D73" s="215"/>
      <c r="N73" s="73" t="s">
        <v>359</v>
      </c>
      <c r="O73" s="339">
        <f t="shared" si="17"/>
        <v>26.13349827712014</v>
      </c>
      <c r="P73" s="339">
        <f t="shared" si="16"/>
        <v>30.489081323306827</v>
      </c>
      <c r="Q73" s="339">
        <f t="shared" si="16"/>
        <v>34.844664369493522</v>
      </c>
      <c r="R73" s="339">
        <f t="shared" si="16"/>
        <v>39.200247415680209</v>
      </c>
      <c r="S73" s="339">
        <f t="shared" si="16"/>
        <v>43.555830461866897</v>
      </c>
    </row>
    <row r="74" spans="1:19">
      <c r="A74" s="76" t="s">
        <v>360</v>
      </c>
      <c r="B74" s="79">
        <f t="shared" si="15"/>
        <v>42.334298094233297</v>
      </c>
      <c r="C74" s="79">
        <v>98</v>
      </c>
      <c r="D74" s="215"/>
      <c r="E74" s="81"/>
      <c r="F74" s="244"/>
      <c r="N74" s="76" t="s">
        <v>360</v>
      </c>
      <c r="O74" s="79">
        <f t="shared" si="17"/>
        <v>19.538906812723059</v>
      </c>
      <c r="P74" s="79">
        <f t="shared" si="16"/>
        <v>22.795391281510234</v>
      </c>
      <c r="Q74" s="79">
        <f t="shared" si="16"/>
        <v>26.051875750297416</v>
      </c>
      <c r="R74" s="79">
        <f t="shared" si="16"/>
        <v>29.308360219084591</v>
      </c>
      <c r="S74" s="79">
        <f t="shared" si="16"/>
        <v>32.564844687871769</v>
      </c>
    </row>
    <row r="75" spans="1:19" ht="16.5" thickBot="1">
      <c r="A75" s="67" t="s">
        <v>361</v>
      </c>
      <c r="B75" s="70">
        <f t="shared" si="15"/>
        <v>97.305836160204535</v>
      </c>
      <c r="C75" s="70">
        <v>99</v>
      </c>
      <c r="D75" s="215"/>
      <c r="E75" s="81"/>
      <c r="F75" s="244"/>
      <c r="N75" s="67" t="s">
        <v>361</v>
      </c>
      <c r="O75" s="70">
        <f t="shared" si="17"/>
        <v>44.910385920094399</v>
      </c>
      <c r="P75" s="70">
        <f t="shared" si="16"/>
        <v>52.395450240110129</v>
      </c>
      <c r="Q75" s="70">
        <f t="shared" si="16"/>
        <v>59.880514560125867</v>
      </c>
      <c r="R75" s="70">
        <f t="shared" si="16"/>
        <v>67.365578880141598</v>
      </c>
      <c r="S75" s="70">
        <f t="shared" si="16"/>
        <v>74.850643200157336</v>
      </c>
    </row>
    <row r="76" spans="1:19">
      <c r="A76" s="331" t="s">
        <v>362</v>
      </c>
      <c r="B76" s="338">
        <f t="shared" si="15"/>
        <v>42.334298094233297</v>
      </c>
      <c r="C76" s="338">
        <v>98</v>
      </c>
      <c r="D76" s="215"/>
      <c r="E76" s="81"/>
      <c r="F76" s="244"/>
      <c r="N76" s="331" t="s">
        <v>362</v>
      </c>
      <c r="O76" s="338">
        <f t="shared" si="17"/>
        <v>19.538906812723059</v>
      </c>
      <c r="P76" s="338">
        <f t="shared" si="16"/>
        <v>22.795391281510234</v>
      </c>
      <c r="Q76" s="338">
        <f t="shared" si="16"/>
        <v>26.051875750297416</v>
      </c>
      <c r="R76" s="338">
        <f t="shared" si="16"/>
        <v>29.308360219084591</v>
      </c>
      <c r="S76" s="338">
        <f t="shared" si="16"/>
        <v>32.564844687871769</v>
      </c>
    </row>
    <row r="77" spans="1:19" ht="16.5" thickBot="1">
      <c r="A77" s="73" t="s">
        <v>363</v>
      </c>
      <c r="B77" s="339">
        <f t="shared" si="15"/>
        <v>64.80979852759171</v>
      </c>
      <c r="C77" s="339">
        <v>99</v>
      </c>
      <c r="D77" s="215"/>
      <c r="E77" s="81"/>
      <c r="F77" s="244"/>
      <c r="N77" s="73" t="s">
        <v>363</v>
      </c>
      <c r="O77" s="339">
        <f t="shared" si="17"/>
        <v>29.912214705042324</v>
      </c>
      <c r="P77" s="339">
        <f t="shared" si="16"/>
        <v>34.897583822549379</v>
      </c>
      <c r="Q77" s="339">
        <f t="shared" si="16"/>
        <v>39.882952940056441</v>
      </c>
      <c r="R77" s="339">
        <f t="shared" si="16"/>
        <v>44.868322057563489</v>
      </c>
      <c r="S77" s="339">
        <f t="shared" si="16"/>
        <v>49.853691175070544</v>
      </c>
    </row>
    <row r="78" spans="1:19">
      <c r="A78" s="76" t="s">
        <v>211</v>
      </c>
      <c r="B78" s="79">
        <f>M61</f>
        <v>130.55707715016831</v>
      </c>
      <c r="C78" s="79">
        <v>180</v>
      </c>
      <c r="D78" s="215"/>
      <c r="E78" s="81"/>
      <c r="F78" s="244"/>
      <c r="N78" s="76" t="s">
        <v>211</v>
      </c>
      <c r="O78" s="79">
        <f t="shared" si="17"/>
        <v>60.257112530846904</v>
      </c>
      <c r="P78" s="79">
        <f t="shared" si="16"/>
        <v>70.299964619321401</v>
      </c>
      <c r="Q78" s="79">
        <f t="shared" si="16"/>
        <v>80.342816707795876</v>
      </c>
      <c r="R78" s="79">
        <f t="shared" si="16"/>
        <v>90.385668796270366</v>
      </c>
      <c r="S78" s="79">
        <f t="shared" si="16"/>
        <v>100.42852088474486</v>
      </c>
    </row>
    <row r="79" spans="1:19">
      <c r="A79" s="62" t="s">
        <v>215</v>
      </c>
      <c r="B79" s="65">
        <f>M63+B80</f>
        <v>170.55707715016831</v>
      </c>
      <c r="C79" s="65">
        <v>180</v>
      </c>
      <c r="D79" s="215"/>
      <c r="E79" s="81"/>
      <c r="F79" s="244"/>
      <c r="N79" s="62" t="s">
        <v>215</v>
      </c>
      <c r="O79" s="65">
        <f t="shared" si="17"/>
        <v>78.718650992385363</v>
      </c>
      <c r="P79" s="65">
        <f t="shared" si="16"/>
        <v>91.838426157782934</v>
      </c>
      <c r="Q79" s="65">
        <f t="shared" si="16"/>
        <v>104.9582013231805</v>
      </c>
      <c r="R79" s="65">
        <f t="shared" si="16"/>
        <v>118.07797648857806</v>
      </c>
      <c r="S79" s="65">
        <f t="shared" si="16"/>
        <v>131.19775165397562</v>
      </c>
    </row>
    <row r="80" spans="1:19" ht="18">
      <c r="A80" s="81" t="s">
        <v>216</v>
      </c>
      <c r="B80" s="63">
        <f>F92</f>
        <v>39.999999999999993</v>
      </c>
      <c r="D80" s="215"/>
      <c r="E80" s="81"/>
      <c r="F80" s="244"/>
      <c r="N80" s="62" t="s">
        <v>352</v>
      </c>
      <c r="O80" s="235">
        <f>Bemessung!G24</f>
        <v>1.3</v>
      </c>
    </row>
    <row r="81" spans="1:18">
      <c r="A81" s="81"/>
      <c r="B81" s="211"/>
      <c r="C81" s="215" t="s">
        <v>402</v>
      </c>
      <c r="E81" s="211"/>
      <c r="F81" s="215" t="s">
        <v>403</v>
      </c>
    </row>
    <row r="82" spans="1:18">
      <c r="A82" s="81" t="s">
        <v>406</v>
      </c>
      <c r="B82" s="181">
        <f>Zwischenrechnung!E28</f>
        <v>2</v>
      </c>
      <c r="C82" s="371">
        <v>450</v>
      </c>
      <c r="D82" s="215" t="s">
        <v>407</v>
      </c>
      <c r="E82" s="181">
        <f>Zwischenrechnung!E28</f>
        <v>2</v>
      </c>
      <c r="F82" s="371">
        <f>Zwischenrechnung!G28</f>
        <v>450</v>
      </c>
      <c r="G82" s="215" t="s">
        <v>407</v>
      </c>
    </row>
    <row r="83" spans="1:18">
      <c r="B83" s="81" t="s">
        <v>377</v>
      </c>
      <c r="C83" s="244">
        <v>2</v>
      </c>
      <c r="D83" t="s">
        <v>90</v>
      </c>
      <c r="E83" s="81" t="s">
        <v>377</v>
      </c>
      <c r="F83" s="244">
        <f>E82</f>
        <v>2</v>
      </c>
      <c r="G83" t="s">
        <v>90</v>
      </c>
    </row>
    <row r="84" spans="1:18">
      <c r="B84" s="81" t="s">
        <v>409</v>
      </c>
      <c r="C84" s="244">
        <f>C83*40/C91</f>
        <v>1.1227105696469881</v>
      </c>
      <c r="D84" t="s">
        <v>90</v>
      </c>
      <c r="E84" s="81" t="s">
        <v>409</v>
      </c>
      <c r="F84" s="244">
        <f>C84</f>
        <v>1.1227105696469881</v>
      </c>
      <c r="G84" t="s">
        <v>90</v>
      </c>
    </row>
    <row r="85" spans="1:18">
      <c r="B85" s="81" t="s">
        <v>378</v>
      </c>
      <c r="C85" s="244">
        <v>10</v>
      </c>
      <c r="D85" t="s">
        <v>42</v>
      </c>
      <c r="E85" s="81" t="s">
        <v>378</v>
      </c>
      <c r="F85" s="244">
        <v>10</v>
      </c>
      <c r="G85" t="s">
        <v>42</v>
      </c>
    </row>
    <row r="86" spans="1:18">
      <c r="B86" s="81" t="s">
        <v>410</v>
      </c>
      <c r="C86" s="372">
        <f>C82</f>
        <v>450</v>
      </c>
      <c r="D86" t="s">
        <v>42</v>
      </c>
      <c r="E86" s="81" t="s">
        <v>410</v>
      </c>
      <c r="F86" s="372">
        <f>F82</f>
        <v>450</v>
      </c>
      <c r="G86" t="s">
        <v>42</v>
      </c>
    </row>
    <row r="87" spans="1:18">
      <c r="B87" s="81" t="s">
        <v>379</v>
      </c>
      <c r="C87" s="244">
        <f>C86-31</f>
        <v>419</v>
      </c>
      <c r="D87" t="s">
        <v>42</v>
      </c>
      <c r="E87" s="81" t="s">
        <v>379</v>
      </c>
      <c r="F87" s="244">
        <f>F86-31</f>
        <v>419</v>
      </c>
      <c r="G87" t="s">
        <v>42</v>
      </c>
      <c r="H87" s="215" t="s">
        <v>428</v>
      </c>
    </row>
    <row r="88" spans="1:18">
      <c r="B88" s="81" t="s">
        <v>380</v>
      </c>
      <c r="C88" s="244">
        <v>30</v>
      </c>
      <c r="D88" t="s">
        <v>381</v>
      </c>
      <c r="E88" s="81" t="s">
        <v>380</v>
      </c>
      <c r="F88" s="244">
        <v>30</v>
      </c>
      <c r="G88" t="s">
        <v>381</v>
      </c>
    </row>
    <row r="89" spans="1:18">
      <c r="B89" s="81" t="s">
        <v>212</v>
      </c>
      <c r="C89" s="244">
        <v>1</v>
      </c>
      <c r="E89" s="81" t="s">
        <v>212</v>
      </c>
      <c r="F89" s="244">
        <v>1</v>
      </c>
      <c r="H89" s="215"/>
    </row>
    <row r="90" spans="1:18">
      <c r="B90" s="81" t="s">
        <v>382</v>
      </c>
      <c r="C90" s="244">
        <f>(C89*0.52*SQRT(C85)*C87^0.9*B41^0.8)/1000</f>
        <v>44.092482164851496</v>
      </c>
      <c r="D90" t="s">
        <v>254</v>
      </c>
      <c r="E90" s="81" t="s">
        <v>382</v>
      </c>
      <c r="F90" s="244">
        <f>(F89*0.52*SQRT(F85)*F87^0.9*B41^0.8)/1000</f>
        <v>44.092482164851496</v>
      </c>
      <c r="G90" t="s">
        <v>254</v>
      </c>
      <c r="H90" s="215" t="s">
        <v>411</v>
      </c>
    </row>
    <row r="91" spans="1:18">
      <c r="B91" s="81" t="s">
        <v>412</v>
      </c>
      <c r="C91" s="244">
        <f>C90*COS(RADIANS(C88))*C83^0.9</f>
        <v>71.256120822977778</v>
      </c>
      <c r="D91" t="s">
        <v>254</v>
      </c>
      <c r="E91" s="81" t="s">
        <v>412</v>
      </c>
      <c r="F91" s="244">
        <f>F90*COS(RADIANS(F88))*F83^0.9</f>
        <v>71.256120822977778</v>
      </c>
      <c r="G91" t="s">
        <v>254</v>
      </c>
      <c r="H91" s="215" t="s">
        <v>413</v>
      </c>
    </row>
    <row r="92" spans="1:18">
      <c r="A92" s="81"/>
      <c r="B92" s="81" t="s">
        <v>216</v>
      </c>
      <c r="C92" s="245">
        <f>C91*C84/C83</f>
        <v>39.999999999999993</v>
      </c>
      <c r="D92" t="s">
        <v>254</v>
      </c>
      <c r="E92" s="81" t="s">
        <v>216</v>
      </c>
      <c r="F92" s="245">
        <f>F91/C91*C92</f>
        <v>39.999999999999993</v>
      </c>
      <c r="G92" t="s">
        <v>254</v>
      </c>
    </row>
    <row r="93" spans="1:18">
      <c r="D93" s="215"/>
      <c r="E93" s="215"/>
      <c r="P93" s="52"/>
      <c r="Q93" s="52"/>
      <c r="R93" s="52"/>
    </row>
    <row r="94" spans="1:18">
      <c r="D94" s="215"/>
      <c r="E94" s="215"/>
      <c r="P94" s="52"/>
      <c r="Q94" s="52"/>
      <c r="R94" s="52"/>
    </row>
    <row r="95" spans="1:18" ht="18.75">
      <c r="A95" s="54" t="s">
        <v>24</v>
      </c>
      <c r="B95" s="55" t="s">
        <v>43</v>
      </c>
      <c r="C95" s="222" t="s">
        <v>357</v>
      </c>
      <c r="D95" s="222" t="s">
        <v>364</v>
      </c>
      <c r="E95" s="55" t="s">
        <v>31</v>
      </c>
      <c r="F95" s="222" t="s">
        <v>387</v>
      </c>
      <c r="G95" s="55" t="s">
        <v>44</v>
      </c>
      <c r="H95" s="55" t="s">
        <v>48</v>
      </c>
      <c r="I95" s="55" t="s">
        <v>49</v>
      </c>
      <c r="J95" s="55" t="s">
        <v>50</v>
      </c>
      <c r="K95" s="52"/>
      <c r="L95" s="52"/>
      <c r="P95" s="52"/>
      <c r="Q95" s="52"/>
      <c r="R95" s="52"/>
    </row>
    <row r="96" spans="1:18">
      <c r="A96" s="58"/>
      <c r="B96" s="59" t="s">
        <v>36</v>
      </c>
      <c r="C96" s="59" t="s">
        <v>36</v>
      </c>
      <c r="D96" s="59" t="s">
        <v>13</v>
      </c>
      <c r="E96" s="59" t="s">
        <v>13</v>
      </c>
      <c r="F96" s="59" t="s">
        <v>13</v>
      </c>
      <c r="G96" s="59" t="s">
        <v>13</v>
      </c>
      <c r="H96" s="59" t="s">
        <v>35</v>
      </c>
      <c r="I96" s="59" t="s">
        <v>35</v>
      </c>
      <c r="J96" s="89" t="s">
        <v>35</v>
      </c>
      <c r="K96" s="52"/>
      <c r="L96" s="52"/>
      <c r="P96" s="52"/>
      <c r="Q96" s="52"/>
      <c r="R96" s="52"/>
    </row>
    <row r="97" spans="1:18">
      <c r="A97" s="62" t="s">
        <v>366</v>
      </c>
      <c r="B97" s="64">
        <v>6</v>
      </c>
      <c r="C97" s="127">
        <f>$B97*(D97/(13*$E97))^0.25</f>
        <v>5.2291455240085831</v>
      </c>
      <c r="D97" s="64">
        <v>60</v>
      </c>
      <c r="E97" s="64">
        <f>Zwischenrechnung!I18</f>
        <v>8</v>
      </c>
      <c r="F97" s="64">
        <f>Zwischenrechnung!J18</f>
        <v>80</v>
      </c>
      <c r="G97" s="64">
        <f>VLOOKUP(F97,$P$99:$Q$100,2,FALSE)</f>
        <v>70</v>
      </c>
      <c r="H97" s="63">
        <f>($K$110*0.52*SQRT(E97)*G97^0.9*$B$42^0.8)/1000</f>
        <v>7.8796178754106014</v>
      </c>
      <c r="I97" s="63">
        <f>MIN(($C$46*G97*E97)/1000,($C$46*G97*E97)/1000*(SQRT(2+(4*$C$43)/($C$46*E97*G97^2))-1)+H97/4,(2.3*SQRT($C$43*$C$46*E97))/1000+H97/4)</f>
        <v>5.7539958910348616</v>
      </c>
      <c r="J97" s="63">
        <f t="shared" ref="J97:J104" si="18">C97*I97</f>
        <v>30.088481858768727</v>
      </c>
      <c r="K97" s="52"/>
      <c r="L97" s="52"/>
      <c r="O97" s="377" t="s">
        <v>401</v>
      </c>
      <c r="P97" s="378"/>
      <c r="Q97" s="379"/>
      <c r="R97" s="52"/>
    </row>
    <row r="98" spans="1:18" ht="18.75" thickBot="1">
      <c r="A98" s="67" t="s">
        <v>365</v>
      </c>
      <c r="B98" s="69">
        <f>Zwischenrechnung!$H$19</f>
        <v>8</v>
      </c>
      <c r="C98" s="184">
        <f>$B98*(D98/(13*$E98))^0.25</f>
        <v>5.8628929679717654</v>
      </c>
      <c r="D98" s="69">
        <v>30</v>
      </c>
      <c r="E98" s="69">
        <f>Zwischenrechnung!I19</f>
        <v>8</v>
      </c>
      <c r="F98" s="69">
        <f>Zwischenrechnung!J19</f>
        <v>80</v>
      </c>
      <c r="G98" s="69">
        <f t="shared" ref="G98:G100" si="19">VLOOKUP(F98,$P$99:$Q$100,2,FALSE)</f>
        <v>70</v>
      </c>
      <c r="H98" s="68">
        <f t="shared" ref="H98:H104" si="20">($K$110*0.52*SQRT(E98)*G98^0.9*$B$42^0.8)/1000</f>
        <v>7.8796178754106014</v>
      </c>
      <c r="I98" s="68">
        <f>MIN(($C$46*G98*E98)/1000,($C$46*G98*E98)/1000*(SQRT(2+(4*$C$43)/($C$46*E98*G98^2))-1)+H98/4,(2.3*SQRT($C$43*$C$46*E98))/1000+H98/4)</f>
        <v>5.7539958910348616</v>
      </c>
      <c r="J98" s="68">
        <f t="shared" si="18"/>
        <v>33.735062047286725</v>
      </c>
      <c r="K98" s="52"/>
      <c r="L98" s="217"/>
      <c r="O98" s="359" t="s">
        <v>122</v>
      </c>
      <c r="P98" s="359" t="s">
        <v>152</v>
      </c>
      <c r="Q98" s="359" t="s">
        <v>389</v>
      </c>
      <c r="R98" s="52"/>
    </row>
    <row r="99" spans="1:18">
      <c r="A99" s="331" t="s">
        <v>358</v>
      </c>
      <c r="B99" s="332">
        <v>9</v>
      </c>
      <c r="C99" s="334">
        <f t="shared" ref="C99:C104" si="21">$B99*(D99/(13*$E99))^0.25</f>
        <v>7.8437182860128747</v>
      </c>
      <c r="D99" s="332">
        <v>60</v>
      </c>
      <c r="E99" s="332">
        <f>Zwischenrechnung!I20</f>
        <v>8</v>
      </c>
      <c r="F99" s="332">
        <f>Zwischenrechnung!J20</f>
        <v>80</v>
      </c>
      <c r="G99" s="332">
        <f t="shared" si="19"/>
        <v>70</v>
      </c>
      <c r="H99" s="333">
        <f t="shared" si="20"/>
        <v>7.8796178754106014</v>
      </c>
      <c r="I99" s="333">
        <f>MIN(($C$46*G99*E99)/1000,($C$46*G99*E99)/1000*(SQRT(2+(4*$C$43)/($C$46*E99*G99^2))-1)+H99/4,(2.3*SQRT($C$43*$C$46*E99))/1000+H99/4)</f>
        <v>5.7539958910348616</v>
      </c>
      <c r="J99" s="333">
        <f t="shared" si="18"/>
        <v>45.132722788153089</v>
      </c>
      <c r="K99" s="52"/>
      <c r="L99" s="217"/>
      <c r="O99" s="359">
        <v>8</v>
      </c>
      <c r="P99" s="359">
        <v>80</v>
      </c>
      <c r="Q99" s="359">
        <v>70</v>
      </c>
      <c r="R99" s="52"/>
    </row>
    <row r="100" spans="1:18" ht="16.5" thickBot="1">
      <c r="A100" s="73" t="s">
        <v>359</v>
      </c>
      <c r="B100" s="75">
        <f>Zwischenrechnung!H21</f>
        <v>13</v>
      </c>
      <c r="C100" s="185">
        <f t="shared" si="21"/>
        <v>9.527201072954119</v>
      </c>
      <c r="D100" s="75">
        <v>30</v>
      </c>
      <c r="E100" s="75">
        <f>Zwischenrechnung!I21</f>
        <v>8</v>
      </c>
      <c r="F100" s="75">
        <f>Zwischenrechnung!J21</f>
        <v>80</v>
      </c>
      <c r="G100" s="75">
        <f t="shared" si="19"/>
        <v>70</v>
      </c>
      <c r="H100" s="74">
        <f t="shared" si="20"/>
        <v>7.8796178754106014</v>
      </c>
      <c r="I100" s="74">
        <f>MIN(($C$46*G100*E100)/1000,($C$46*G100*E100)/1000*(SQRT(2+(4*$C$43)/($C$46*E100*G100^2))-1)+H100/4,(2.3*SQRT($C$43*$C$46*E100))/1000+H100/4)</f>
        <v>5.7539958910348616</v>
      </c>
      <c r="J100" s="74">
        <f t="shared" si="18"/>
        <v>54.819475826840929</v>
      </c>
      <c r="O100" s="359">
        <v>8</v>
      </c>
      <c r="P100" s="359">
        <v>120</v>
      </c>
      <c r="Q100" s="359">
        <v>100</v>
      </c>
      <c r="R100" s="215" t="s">
        <v>421</v>
      </c>
    </row>
    <row r="101" spans="1:18" ht="18">
      <c r="A101" s="76" t="s">
        <v>360</v>
      </c>
      <c r="B101" s="78">
        <v>9</v>
      </c>
      <c r="C101" s="186">
        <f t="shared" si="21"/>
        <v>7.4181307523814484</v>
      </c>
      <c r="D101" s="78">
        <v>60</v>
      </c>
      <c r="E101" s="78">
        <f>Zwischenrechnung!I22</f>
        <v>10</v>
      </c>
      <c r="F101" s="78">
        <f>Zwischenrechnung!J22</f>
        <v>100</v>
      </c>
      <c r="G101" s="78">
        <f>VLOOKUP(F101,$P$102:$Q$104,2,FALSE)</f>
        <v>85</v>
      </c>
      <c r="H101" s="77">
        <f t="shared" si="20"/>
        <v>10.491774806064372</v>
      </c>
      <c r="I101" s="77">
        <f t="shared" ref="I101:I104" si="22">MIN($B$46*$G101*$E101/1000,(2.3*SQRT($B$43*$B$46*$E101))/1000+($H101/4),$B$46*$G101*$E101/1000*(SQRT(2+4*$B$43/($B$46*$E101*$G101^2))-1)+$H101/4)</f>
        <v>8.0354591525640107</v>
      </c>
      <c r="J101" s="77">
        <f t="shared" si="18"/>
        <v>59.608086649140063</v>
      </c>
      <c r="O101" s="359" t="s">
        <v>122</v>
      </c>
      <c r="P101" s="359" t="s">
        <v>152</v>
      </c>
      <c r="Q101" s="359" t="s">
        <v>389</v>
      </c>
      <c r="R101" s="359" t="s">
        <v>389</v>
      </c>
    </row>
    <row r="102" spans="1:18" ht="16.5" thickBot="1">
      <c r="A102" s="67" t="s">
        <v>361</v>
      </c>
      <c r="B102" s="69">
        <f>Zwischenrechnung!H23</f>
        <v>13</v>
      </c>
      <c r="C102" s="184">
        <f t="shared" si="21"/>
        <v>9.0102704720324116</v>
      </c>
      <c r="D102" s="69">
        <v>30</v>
      </c>
      <c r="E102" s="69">
        <f>Zwischenrechnung!I23</f>
        <v>10</v>
      </c>
      <c r="F102" s="69">
        <f>Zwischenrechnung!J23</f>
        <v>100</v>
      </c>
      <c r="G102" s="69">
        <f t="shared" ref="G102:G104" si="23">VLOOKUP(F102,$P$102:$Q$104,2,FALSE)</f>
        <v>85</v>
      </c>
      <c r="H102" s="68">
        <f t="shared" si="20"/>
        <v>10.491774806064372</v>
      </c>
      <c r="I102" s="68">
        <f t="shared" si="22"/>
        <v>8.0354591525640107</v>
      </c>
      <c r="J102" s="68">
        <f t="shared" si="18"/>
        <v>72.401660331570085</v>
      </c>
      <c r="O102" s="359">
        <v>10</v>
      </c>
      <c r="P102" s="359">
        <v>80</v>
      </c>
      <c r="Q102" s="359">
        <v>54</v>
      </c>
      <c r="R102" s="359">
        <f>Q102</f>
        <v>54</v>
      </c>
    </row>
    <row r="103" spans="1:18">
      <c r="A103" s="331" t="s">
        <v>362</v>
      </c>
      <c r="B103" s="332">
        <f>Zwischenrechnung!H23</f>
        <v>13</v>
      </c>
      <c r="C103" s="334">
        <f t="shared" si="21"/>
        <v>10.71507775343987</v>
      </c>
      <c r="D103" s="332">
        <v>60</v>
      </c>
      <c r="E103" s="332">
        <f>Zwischenrechnung!I24</f>
        <v>10</v>
      </c>
      <c r="F103" s="332">
        <f>Zwischenrechnung!J24</f>
        <v>100</v>
      </c>
      <c r="G103" s="332">
        <f t="shared" si="23"/>
        <v>85</v>
      </c>
      <c r="H103" s="333">
        <f t="shared" si="20"/>
        <v>10.491774806064372</v>
      </c>
      <c r="I103" s="333">
        <f t="shared" si="22"/>
        <v>8.0354591525640107</v>
      </c>
      <c r="J103" s="333">
        <f t="shared" si="18"/>
        <v>86.100569604313421</v>
      </c>
      <c r="O103" s="359">
        <v>10</v>
      </c>
      <c r="P103" s="359">
        <v>100</v>
      </c>
      <c r="Q103" s="359">
        <v>85</v>
      </c>
      <c r="R103" s="359">
        <f t="shared" ref="R103" si="24">P103-25</f>
        <v>75</v>
      </c>
    </row>
    <row r="104" spans="1:18" ht="16.5" thickBot="1">
      <c r="A104" s="73" t="s">
        <v>363</v>
      </c>
      <c r="B104" s="75">
        <f>Zwischenrechnung!H25</f>
        <v>20</v>
      </c>
      <c r="C104" s="185">
        <f t="shared" si="21"/>
        <v>13.861954572357556</v>
      </c>
      <c r="D104" s="75">
        <v>30</v>
      </c>
      <c r="E104" s="75">
        <f>Zwischenrechnung!I25</f>
        <v>10</v>
      </c>
      <c r="F104" s="75">
        <f>Zwischenrechnung!J25</f>
        <v>100</v>
      </c>
      <c r="G104" s="75">
        <f t="shared" si="23"/>
        <v>85</v>
      </c>
      <c r="H104" s="74">
        <f t="shared" si="20"/>
        <v>10.491774806064372</v>
      </c>
      <c r="I104" s="74">
        <f t="shared" si="22"/>
        <v>8.0354591525640107</v>
      </c>
      <c r="J104" s="74">
        <f t="shared" si="18"/>
        <v>111.38716974087706</v>
      </c>
      <c r="O104" s="359">
        <v>10</v>
      </c>
      <c r="P104" s="359">
        <v>120</v>
      </c>
      <c r="Q104" s="359">
        <v>84</v>
      </c>
      <c r="R104" s="359">
        <f>Q104</f>
        <v>84</v>
      </c>
    </row>
    <row r="105" spans="1:18" ht="19.5" thickBot="1">
      <c r="A105" s="394"/>
      <c r="B105" s="395" t="s">
        <v>422</v>
      </c>
      <c r="C105" s="395" t="s">
        <v>357</v>
      </c>
      <c r="D105" s="403" t="s">
        <v>43</v>
      </c>
      <c r="E105" s="396" t="s">
        <v>423</v>
      </c>
      <c r="F105" s="395" t="s">
        <v>425</v>
      </c>
      <c r="G105" s="395" t="s">
        <v>364</v>
      </c>
      <c r="H105" s="403" t="s">
        <v>31</v>
      </c>
      <c r="I105" s="395" t="s">
        <v>387</v>
      </c>
      <c r="J105" s="403" t="s">
        <v>44</v>
      </c>
      <c r="K105" s="403" t="s">
        <v>48</v>
      </c>
      <c r="L105" s="403" t="s">
        <v>49</v>
      </c>
      <c r="M105" s="403" t="s">
        <v>50</v>
      </c>
      <c r="N105" s="395" t="s">
        <v>432</v>
      </c>
      <c r="R105" s="52"/>
    </row>
    <row r="106" spans="1:18">
      <c r="A106" s="510" t="s">
        <v>211</v>
      </c>
      <c r="B106" s="528">
        <f>Zwischenrechnung!H26</f>
        <v>23</v>
      </c>
      <c r="C106" s="533">
        <f>$B106*(G106/(13*$H106))^0.25</f>
        <v>15.941247758211189</v>
      </c>
      <c r="D106" s="78">
        <f>Zwischenrechnung!$H$26-3</f>
        <v>20</v>
      </c>
      <c r="E106" s="387">
        <f>D106/B106</f>
        <v>0.86956521739130432</v>
      </c>
      <c r="F106" s="186">
        <f>$C$106*E106</f>
        <v>13.861954572357554</v>
      </c>
      <c r="G106" s="78">
        <v>30</v>
      </c>
      <c r="H106" s="78">
        <f>Zwischenrechnung!I26</f>
        <v>10</v>
      </c>
      <c r="I106" s="78">
        <f>Zwischenrechnung!$J$26</f>
        <v>100</v>
      </c>
      <c r="J106" s="77">
        <f>VLOOKUP(I106,$P$102:$Q$104,2,FALSE)</f>
        <v>85</v>
      </c>
      <c r="K106" s="77">
        <f>($K$110*0.52*SQRT(H106)*J106^0.9*$B$42^0.8)/1000</f>
        <v>10.491774806064372</v>
      </c>
      <c r="L106" s="186">
        <f>MIN($B$46*$J106*$H106/1000,(2.3*SQRT($B$43*$B$46*$H106))/1000+($K106/4),$B$46*$J106*$H106/1000*(SQRT(2+4*$B$43/($B$46*$H106*$J106^2))-1)+$K106/4)</f>
        <v>8.0354591525640107</v>
      </c>
      <c r="M106" s="389">
        <f>F106*L106</f>
        <v>111.38716974087704</v>
      </c>
      <c r="N106" s="533">
        <f>M106+M107</f>
        <v>127.51422354940011</v>
      </c>
      <c r="R106" s="52"/>
    </row>
    <row r="107" spans="1:18" ht="16.5" thickBot="1">
      <c r="A107" s="511"/>
      <c r="B107" s="529"/>
      <c r="C107" s="534"/>
      <c r="D107" s="69">
        <f>B106-D106</f>
        <v>3</v>
      </c>
      <c r="E107" s="390">
        <f>D107/B106</f>
        <v>0.13043478260869565</v>
      </c>
      <c r="F107" s="184">
        <f>$C$106*E107</f>
        <v>2.0792931858536332</v>
      </c>
      <c r="G107" s="69">
        <v>30</v>
      </c>
      <c r="H107" s="69">
        <f>H106</f>
        <v>10</v>
      </c>
      <c r="I107" s="69">
        <f>Zwischenrechnung!$J$26</f>
        <v>100</v>
      </c>
      <c r="J107" s="68">
        <f>VLOOKUP(I107,$P$102:$R$104,3,FALSE)</f>
        <v>75</v>
      </c>
      <c r="K107" s="68">
        <f>($K$110*0.52*SQRT(H107)*J107^0.9*$B$42^0.8)/1000</f>
        <v>9.3740456535592109</v>
      </c>
      <c r="L107" s="184">
        <f>MIN($B$46*$J107*$H107/1000,(2.3*SQRT($B$43*$B$46*$H107))/1000+($K107/4),$B$46*$J107*$H107/1000*(SQRT(2+4*$B$43/($B$46*$H107*$J107^2))-1)+$K107/4)</f>
        <v>7.7560268644377208</v>
      </c>
      <c r="M107" s="392">
        <f>F107*L107</f>
        <v>16.127053808523073</v>
      </c>
      <c r="N107" s="534"/>
      <c r="R107" s="52"/>
    </row>
    <row r="108" spans="1:18">
      <c r="A108" s="536" t="s">
        <v>215</v>
      </c>
      <c r="B108" s="528">
        <f>Zwischenrechnung!H27</f>
        <v>23</v>
      </c>
      <c r="C108" s="533">
        <f>$B108*(G108/(13*$H108))^0.25</f>
        <v>15.941247758211189</v>
      </c>
      <c r="D108" s="78">
        <f>B108-3</f>
        <v>20</v>
      </c>
      <c r="E108" s="387">
        <f>D108/B108</f>
        <v>0.86956521739130432</v>
      </c>
      <c r="F108" s="186">
        <f>$C$108*E108</f>
        <v>13.861954572357554</v>
      </c>
      <c r="G108" s="78">
        <v>30</v>
      </c>
      <c r="H108" s="78">
        <f>Zwischenrechnung!F27</f>
        <v>10</v>
      </c>
      <c r="I108" s="78">
        <f>Zwischenrechnung!$J$27</f>
        <v>100</v>
      </c>
      <c r="J108" s="77">
        <f>VLOOKUP(I108,$P$102:$Q$104,2,FALSE)</f>
        <v>85</v>
      </c>
      <c r="K108" s="77">
        <f>($K$110*0.52*SQRT(H108)*J108^0.9*$B$42^0.8)/1000</f>
        <v>10.491774806064372</v>
      </c>
      <c r="L108" s="186">
        <f>MIN($B$46*$J108*$H108/1000,(2.3*SQRT($B$43*$B$46*$H108))/1000+($K108/4),$B$46*$J108*$H108/1000*(SQRT(2+4*$B$43/($B$46*$H108*$J108^2))-1)+$K108/4)</f>
        <v>8.0354591525640107</v>
      </c>
      <c r="M108" s="386">
        <f>F108*L108</f>
        <v>111.38716974087704</v>
      </c>
      <c r="N108" s="533">
        <f>M108+M109</f>
        <v>127.51422354940011</v>
      </c>
      <c r="R108" s="52"/>
    </row>
    <row r="109" spans="1:18">
      <c r="A109" s="537"/>
      <c r="B109" s="516"/>
      <c r="C109" s="535"/>
      <c r="D109" s="64">
        <f>B108-D108</f>
        <v>3</v>
      </c>
      <c r="E109" s="381">
        <f>D109/B108</f>
        <v>0.13043478260869565</v>
      </c>
      <c r="F109" s="127">
        <f>$C$108*E109</f>
        <v>2.0792931858536332</v>
      </c>
      <c r="G109" s="64">
        <v>30</v>
      </c>
      <c r="H109" s="64">
        <f>H108</f>
        <v>10</v>
      </c>
      <c r="I109" s="64">
        <f>Zwischenrechnung!$J$27</f>
        <v>100</v>
      </c>
      <c r="J109" s="63">
        <f>VLOOKUP(I109,$P$102:$R$104,3,FALSE)</f>
        <v>75</v>
      </c>
      <c r="K109" s="63">
        <f>($K$110*0.52*SQRT(H109)*J109^0.9*$B$42^0.8)/1000</f>
        <v>9.3740456535592109</v>
      </c>
      <c r="L109" s="127">
        <f>MIN($B$46*$J109*$H109/1000,(2.3*SQRT($B$43*$B$46*$H109))/1000+($K109/4),$B$46*$J109*$H109/1000*(SQRT(2+4*$B$43/($B$46*$H109*$J109^2))-1)+$K109/4)</f>
        <v>7.7560268644377208</v>
      </c>
      <c r="M109" s="383">
        <f>F109*L109</f>
        <v>16.127053808523073</v>
      </c>
      <c r="N109" s="535"/>
      <c r="R109" s="52"/>
    </row>
    <row r="110" spans="1:18">
      <c r="E110" s="398"/>
      <c r="F110" s="399"/>
      <c r="G110" s="398"/>
      <c r="J110" s="237" t="s">
        <v>212</v>
      </c>
      <c r="K110" s="393">
        <v>1</v>
      </c>
      <c r="L110">
        <v>90</v>
      </c>
      <c r="M110" t="s">
        <v>381</v>
      </c>
      <c r="O110" s="214"/>
      <c r="R110" s="52"/>
    </row>
    <row r="111" spans="1:18">
      <c r="J111" s="237" t="s">
        <v>212</v>
      </c>
      <c r="K111" s="225">
        <f>0.3+(0.7*L111)/45</f>
        <v>0.76666666666666661</v>
      </c>
      <c r="L111">
        <v>30</v>
      </c>
      <c r="M111" t="s">
        <v>381</v>
      </c>
      <c r="O111" s="214"/>
      <c r="R111" s="52"/>
    </row>
    <row r="112" spans="1:18">
      <c r="B112" s="105"/>
      <c r="L112" s="214"/>
    </row>
    <row r="113" spans="1:19" ht="18.75">
      <c r="A113" s="54" t="s">
        <v>24</v>
      </c>
      <c r="B113" s="106" t="s">
        <v>53</v>
      </c>
      <c r="C113" s="55" t="s">
        <v>54</v>
      </c>
      <c r="D113" s="411" t="s">
        <v>430</v>
      </c>
      <c r="E113" s="336"/>
      <c r="G113" s="125"/>
      <c r="K113" s="214"/>
      <c r="N113" s="54" t="s">
        <v>24</v>
      </c>
      <c r="O113" s="490" t="s">
        <v>367</v>
      </c>
      <c r="P113" s="488"/>
      <c r="Q113" s="488"/>
      <c r="R113" s="488"/>
      <c r="S113" s="489"/>
    </row>
    <row r="114" spans="1:19">
      <c r="A114" s="58"/>
      <c r="B114" s="109" t="s">
        <v>35</v>
      </c>
      <c r="C114" s="59" t="s">
        <v>14</v>
      </c>
      <c r="D114" s="109" t="s">
        <v>35</v>
      </c>
      <c r="E114" s="336"/>
      <c r="G114" s="125"/>
      <c r="N114" s="58"/>
      <c r="O114" s="61">
        <v>0.6</v>
      </c>
      <c r="P114" s="61">
        <v>0.7</v>
      </c>
      <c r="Q114" s="61">
        <v>0.8</v>
      </c>
      <c r="R114" s="61">
        <v>0.9</v>
      </c>
      <c r="S114" s="61">
        <v>1</v>
      </c>
    </row>
    <row r="115" spans="1:19">
      <c r="A115" s="62" t="s">
        <v>366</v>
      </c>
      <c r="B115" s="63">
        <v>60</v>
      </c>
      <c r="C115" s="63">
        <v>8</v>
      </c>
      <c r="D115" s="63">
        <f t="shared" ref="D115:D122" si="25">1/SQRT((1/J97)^2+(1/(C115*H97))^2)</f>
        <v>27.153837541411178</v>
      </c>
      <c r="E115" s="336"/>
      <c r="G115" s="125"/>
      <c r="N115" s="62" t="s">
        <v>366</v>
      </c>
      <c r="O115" s="63">
        <f>MIN($B115/1,O$114*$D115/$O$125)</f>
        <v>12.532540403728236</v>
      </c>
      <c r="P115" s="63">
        <f t="shared" ref="P115:S124" si="26">MIN($B115/1,P$114*$D115/$O$125)</f>
        <v>14.621297137682941</v>
      </c>
      <c r="Q115" s="63">
        <f t="shared" si="26"/>
        <v>16.710053871637648</v>
      </c>
      <c r="R115" s="63">
        <f t="shared" si="26"/>
        <v>18.798810605592355</v>
      </c>
      <c r="S115" s="63">
        <f t="shared" si="26"/>
        <v>20.887567339547058</v>
      </c>
    </row>
    <row r="116" spans="1:19" ht="16.5" thickBot="1">
      <c r="A116" s="67" t="s">
        <v>365</v>
      </c>
      <c r="B116" s="68">
        <v>60</v>
      </c>
      <c r="C116" s="68">
        <v>8</v>
      </c>
      <c r="D116" s="68">
        <f t="shared" si="25"/>
        <v>29.743599738096705</v>
      </c>
      <c r="E116" s="336"/>
      <c r="G116" s="128"/>
      <c r="N116" s="67" t="s">
        <v>365</v>
      </c>
      <c r="O116" s="68">
        <f t="shared" ref="O116:O124" si="27">MIN($B116/1,O$114*$D116/$O$125)</f>
        <v>13.727815263736939</v>
      </c>
      <c r="P116" s="68">
        <f t="shared" si="26"/>
        <v>16.015784474359762</v>
      </c>
      <c r="Q116" s="68">
        <f t="shared" si="26"/>
        <v>18.303753684982588</v>
      </c>
      <c r="R116" s="68">
        <f t="shared" si="26"/>
        <v>20.591722895605411</v>
      </c>
      <c r="S116" s="68">
        <f t="shared" si="26"/>
        <v>22.879692106228234</v>
      </c>
    </row>
    <row r="117" spans="1:19">
      <c r="A117" s="331" t="s">
        <v>358</v>
      </c>
      <c r="B117" s="333">
        <v>60</v>
      </c>
      <c r="C117" s="333">
        <v>18</v>
      </c>
      <c r="D117" s="333">
        <f t="shared" si="25"/>
        <v>43.007784410163197</v>
      </c>
      <c r="E117" s="336"/>
      <c r="G117" s="128"/>
      <c r="N117" s="331" t="s">
        <v>358</v>
      </c>
      <c r="O117" s="333">
        <f t="shared" si="27"/>
        <v>19.849746650844551</v>
      </c>
      <c r="P117" s="333">
        <f t="shared" si="26"/>
        <v>23.158037759318642</v>
      </c>
      <c r="Q117" s="333">
        <f t="shared" si="26"/>
        <v>26.466328867792736</v>
      </c>
      <c r="R117" s="333">
        <f t="shared" si="26"/>
        <v>29.774619976266827</v>
      </c>
      <c r="S117" s="333">
        <f t="shared" si="26"/>
        <v>33.082911084740921</v>
      </c>
    </row>
    <row r="118" spans="1:19" ht="16.5" thickBot="1">
      <c r="A118" s="73" t="s">
        <v>359</v>
      </c>
      <c r="B118" s="74">
        <v>60</v>
      </c>
      <c r="C118" s="74">
        <v>19.600000000000001</v>
      </c>
      <c r="D118" s="74">
        <f t="shared" si="25"/>
        <v>51.66149666708958</v>
      </c>
      <c r="E118" s="336"/>
      <c r="G118" s="335"/>
      <c r="M118" s="114"/>
      <c r="N118" s="73" t="s">
        <v>359</v>
      </c>
      <c r="O118" s="74">
        <f t="shared" si="27"/>
        <v>23.843767692502883</v>
      </c>
      <c r="P118" s="74">
        <f t="shared" si="26"/>
        <v>27.817728974586696</v>
      </c>
      <c r="Q118" s="74">
        <f t="shared" si="26"/>
        <v>31.79169025667051</v>
      </c>
      <c r="R118" s="74">
        <f t="shared" si="26"/>
        <v>35.765651538754327</v>
      </c>
      <c r="S118" s="74">
        <f t="shared" si="26"/>
        <v>39.73961282083814</v>
      </c>
    </row>
    <row r="119" spans="1:19">
      <c r="A119" s="76" t="s">
        <v>360</v>
      </c>
      <c r="B119" s="77">
        <v>99</v>
      </c>
      <c r="C119" s="77">
        <v>18</v>
      </c>
      <c r="D119" s="77">
        <f t="shared" si="25"/>
        <v>56.843776089454273</v>
      </c>
      <c r="E119" s="336"/>
      <c r="G119" s="335"/>
      <c r="M119" s="114"/>
      <c r="N119" s="76" t="s">
        <v>360</v>
      </c>
      <c r="O119" s="77">
        <f t="shared" si="27"/>
        <v>26.235588964363512</v>
      </c>
      <c r="P119" s="77">
        <f t="shared" si="26"/>
        <v>30.608187125090762</v>
      </c>
      <c r="Q119" s="77">
        <f t="shared" si="26"/>
        <v>34.980785285818015</v>
      </c>
      <c r="R119" s="77">
        <f t="shared" si="26"/>
        <v>39.353383446545266</v>
      </c>
      <c r="S119" s="77">
        <f t="shared" si="26"/>
        <v>43.725981607272516</v>
      </c>
    </row>
    <row r="120" spans="1:19" ht="16.5" thickBot="1">
      <c r="A120" s="67" t="s">
        <v>361</v>
      </c>
      <c r="B120" s="68">
        <v>99</v>
      </c>
      <c r="C120" s="68">
        <v>19.600000000000001</v>
      </c>
      <c r="D120" s="68">
        <f t="shared" si="25"/>
        <v>68.29246660077375</v>
      </c>
      <c r="E120" s="336"/>
      <c r="G120" s="335"/>
      <c r="M120" s="114"/>
      <c r="N120" s="67" t="s">
        <v>361</v>
      </c>
      <c r="O120" s="68">
        <f t="shared" si="27"/>
        <v>31.519599969587883</v>
      </c>
      <c r="P120" s="68">
        <f t="shared" si="26"/>
        <v>36.772866631185863</v>
      </c>
      <c r="Q120" s="68">
        <f t="shared" si="26"/>
        <v>42.026133292783847</v>
      </c>
      <c r="R120" s="68">
        <f t="shared" si="26"/>
        <v>47.279399954381823</v>
      </c>
      <c r="S120" s="68">
        <f t="shared" si="26"/>
        <v>52.532666615979807</v>
      </c>
    </row>
    <row r="121" spans="1:19">
      <c r="A121" s="331" t="s">
        <v>362</v>
      </c>
      <c r="B121" s="333">
        <v>99</v>
      </c>
      <c r="C121" s="333">
        <v>40.4</v>
      </c>
      <c r="D121" s="333">
        <f t="shared" si="25"/>
        <v>84.377371566376766</v>
      </c>
      <c r="E121" s="336"/>
      <c r="G121" s="335"/>
      <c r="M121" s="114"/>
      <c r="N121" s="331" t="s">
        <v>362</v>
      </c>
      <c r="O121" s="333">
        <f t="shared" si="27"/>
        <v>38.943402261404657</v>
      </c>
      <c r="P121" s="333">
        <f t="shared" si="26"/>
        <v>45.433969304972102</v>
      </c>
      <c r="Q121" s="333">
        <f t="shared" si="26"/>
        <v>51.924536348539554</v>
      </c>
      <c r="R121" s="333">
        <f t="shared" si="26"/>
        <v>58.415103392106985</v>
      </c>
      <c r="S121" s="333">
        <f t="shared" si="26"/>
        <v>64.905670435674438</v>
      </c>
    </row>
    <row r="122" spans="1:19" ht="16.5" thickBot="1">
      <c r="A122" s="73" t="s">
        <v>363</v>
      </c>
      <c r="B122" s="74">
        <v>99</v>
      </c>
      <c r="C122" s="74">
        <v>45.4</v>
      </c>
      <c r="D122" s="74">
        <f t="shared" si="25"/>
        <v>108.46109355206295</v>
      </c>
      <c r="E122" s="336"/>
      <c r="G122" s="335"/>
      <c r="M122" s="114"/>
      <c r="N122" s="73" t="s">
        <v>363</v>
      </c>
      <c r="O122" s="74">
        <f t="shared" si="27"/>
        <v>50.058966254798285</v>
      </c>
      <c r="P122" s="74">
        <f t="shared" si="26"/>
        <v>58.402127297264663</v>
      </c>
      <c r="Q122" s="74">
        <f t="shared" si="26"/>
        <v>66.745288339731047</v>
      </c>
      <c r="R122" s="74">
        <f t="shared" si="26"/>
        <v>75.088449382197425</v>
      </c>
      <c r="S122" s="74">
        <f t="shared" si="26"/>
        <v>83.431610424663802</v>
      </c>
    </row>
    <row r="123" spans="1:19">
      <c r="A123" s="76" t="s">
        <v>211</v>
      </c>
      <c r="B123" s="77">
        <v>180</v>
      </c>
      <c r="C123" s="77">
        <v>57.9</v>
      </c>
      <c r="D123" s="77">
        <f>1/SQRT((1/N106)^2+(1/(C123*K106))^2)</f>
        <v>124.7945237941407</v>
      </c>
      <c r="E123" s="336"/>
      <c r="G123" s="335"/>
      <c r="M123" s="114"/>
      <c r="N123" s="76" t="s">
        <v>211</v>
      </c>
      <c r="O123" s="77">
        <f t="shared" si="27"/>
        <v>57.597472520372627</v>
      </c>
      <c r="P123" s="77">
        <f t="shared" si="26"/>
        <v>67.197051273768068</v>
      </c>
      <c r="Q123" s="77">
        <f t="shared" si="26"/>
        <v>76.796630027163502</v>
      </c>
      <c r="R123" s="77">
        <f t="shared" si="26"/>
        <v>86.39620878055895</v>
      </c>
      <c r="S123" s="77">
        <f t="shared" si="26"/>
        <v>95.995787533954385</v>
      </c>
    </row>
    <row r="124" spans="1:19">
      <c r="A124" s="62" t="s">
        <v>215</v>
      </c>
      <c r="B124" s="63">
        <v>180</v>
      </c>
      <c r="C124" s="63">
        <v>57.9</v>
      </c>
      <c r="D124" s="63">
        <f>1/SQRT((1/N108)^2+(1/(C124*K108))^2)+B125</f>
        <v>164.7945237941407</v>
      </c>
      <c r="E124" s="336"/>
      <c r="N124" s="62" t="s">
        <v>215</v>
      </c>
      <c r="O124" s="63">
        <f t="shared" si="27"/>
        <v>76.059010981911086</v>
      </c>
      <c r="P124" s="63">
        <f t="shared" si="26"/>
        <v>88.735512812229601</v>
      </c>
      <c r="Q124" s="63">
        <f t="shared" si="26"/>
        <v>101.41201464254812</v>
      </c>
      <c r="R124" s="63">
        <f t="shared" si="26"/>
        <v>114.08851647286664</v>
      </c>
      <c r="S124" s="63">
        <f t="shared" si="26"/>
        <v>126.76501830318514</v>
      </c>
    </row>
    <row r="125" spans="1:19" ht="18">
      <c r="A125" s="81" t="s">
        <v>216</v>
      </c>
      <c r="B125" s="63">
        <f>E138</f>
        <v>40</v>
      </c>
      <c r="N125" s="62" t="s">
        <v>352</v>
      </c>
      <c r="O125" s="235">
        <f>Bemessung!G24</f>
        <v>1.3</v>
      </c>
    </row>
    <row r="127" spans="1:19">
      <c r="B127" s="215" t="s">
        <v>417</v>
      </c>
      <c r="E127" s="215" t="s">
        <v>418</v>
      </c>
    </row>
    <row r="128" spans="1:19" ht="18.75">
      <c r="A128" s="181">
        <f>Zwischenrechnung!H28</f>
        <v>2</v>
      </c>
      <c r="B128" s="371">
        <v>400</v>
      </c>
      <c r="C128" s="215" t="s">
        <v>408</v>
      </c>
      <c r="D128" s="181">
        <f>Zwischenrechnung!H28</f>
        <v>2</v>
      </c>
      <c r="E128" s="371">
        <f>Zwischenrechnung!J28</f>
        <v>400</v>
      </c>
      <c r="F128" s="215" t="s">
        <v>408</v>
      </c>
      <c r="N128" s="54" t="s">
        <v>24</v>
      </c>
      <c r="O128" s="490" t="s">
        <v>369</v>
      </c>
      <c r="P128" s="488"/>
      <c r="Q128" s="488"/>
      <c r="R128" s="488"/>
      <c r="S128" s="489"/>
    </row>
    <row r="129" spans="1:25">
      <c r="A129" s="81" t="s">
        <v>377</v>
      </c>
      <c r="B129" s="244">
        <v>2</v>
      </c>
      <c r="C129" t="s">
        <v>90</v>
      </c>
      <c r="D129" s="81" t="s">
        <v>377</v>
      </c>
      <c r="E129" s="244">
        <f>Zwischenrechnung!H28</f>
        <v>2</v>
      </c>
      <c r="F129" t="s">
        <v>90</v>
      </c>
      <c r="N129" s="58"/>
      <c r="O129" s="61">
        <v>0.6</v>
      </c>
      <c r="P129" s="61">
        <v>0.7</v>
      </c>
      <c r="Q129" s="61">
        <v>0.8</v>
      </c>
      <c r="R129" s="61">
        <v>0.9</v>
      </c>
      <c r="S129" s="61">
        <v>1</v>
      </c>
    </row>
    <row r="130" spans="1:25">
      <c r="A130" s="81" t="s">
        <v>409</v>
      </c>
      <c r="B130" s="244">
        <f>B129*40/B137</f>
        <v>1.6418373120066878</v>
      </c>
      <c r="C130" t="s">
        <v>90</v>
      </c>
      <c r="D130" s="81" t="s">
        <v>409</v>
      </c>
      <c r="E130" s="244">
        <f>B130</f>
        <v>1.6418373120066878</v>
      </c>
      <c r="F130" t="s">
        <v>90</v>
      </c>
      <c r="N130" s="62" t="s">
        <v>366</v>
      </c>
      <c r="O130" s="63">
        <f t="shared" ref="O130:S139" si="28">MIN(O70,O115)</f>
        <v>12.41874760453287</v>
      </c>
      <c r="P130" s="63">
        <f t="shared" si="28"/>
        <v>14.488538871955015</v>
      </c>
      <c r="Q130" s="63">
        <f t="shared" si="28"/>
        <v>16.558330139377162</v>
      </c>
      <c r="R130" s="63">
        <f t="shared" si="28"/>
        <v>18.628121406799306</v>
      </c>
      <c r="S130" s="63">
        <f t="shared" si="28"/>
        <v>20.697912674221449</v>
      </c>
    </row>
    <row r="131" spans="1:25" ht="16.5" thickBot="1">
      <c r="A131" s="81" t="s">
        <v>378</v>
      </c>
      <c r="B131" s="244">
        <v>10</v>
      </c>
      <c r="C131" t="s">
        <v>42</v>
      </c>
      <c r="D131" s="81" t="s">
        <v>378</v>
      </c>
      <c r="E131" s="244">
        <v>10</v>
      </c>
      <c r="F131" t="s">
        <v>42</v>
      </c>
      <c r="N131" s="67" t="s">
        <v>365</v>
      </c>
      <c r="O131" s="68">
        <f t="shared" si="28"/>
        <v>13.727815263736939</v>
      </c>
      <c r="P131" s="68">
        <f t="shared" si="28"/>
        <v>16.015784474359762</v>
      </c>
      <c r="Q131" s="68">
        <f t="shared" si="28"/>
        <v>18.303753684982588</v>
      </c>
      <c r="R131" s="68">
        <f t="shared" si="28"/>
        <v>20.591722895605411</v>
      </c>
      <c r="S131" s="68">
        <f t="shared" si="28"/>
        <v>22.879692106228234</v>
      </c>
    </row>
    <row r="132" spans="1:25">
      <c r="A132" s="81" t="s">
        <v>410</v>
      </c>
      <c r="B132" s="372">
        <f>B128</f>
        <v>400</v>
      </c>
      <c r="C132" t="s">
        <v>42</v>
      </c>
      <c r="D132" s="81" t="s">
        <v>410</v>
      </c>
      <c r="E132" s="372">
        <f>E128</f>
        <v>400</v>
      </c>
      <c r="F132" t="s">
        <v>42</v>
      </c>
      <c r="N132" s="331" t="s">
        <v>358</v>
      </c>
      <c r="O132" s="333">
        <f t="shared" si="28"/>
        <v>14.004594968327648</v>
      </c>
      <c r="P132" s="333">
        <f t="shared" si="28"/>
        <v>16.338694129715591</v>
      </c>
      <c r="Q132" s="333">
        <f t="shared" si="28"/>
        <v>18.672793291103535</v>
      </c>
      <c r="R132" s="333">
        <f t="shared" si="28"/>
        <v>21.006892452491478</v>
      </c>
      <c r="S132" s="333">
        <f t="shared" si="28"/>
        <v>23.340991613879417</v>
      </c>
      <c r="U132" s="98"/>
      <c r="V132" s="92"/>
      <c r="W132" s="413"/>
      <c r="X132" s="100" t="s">
        <v>450</v>
      </c>
      <c r="Y132" s="37" t="s">
        <v>451</v>
      </c>
    </row>
    <row r="133" spans="1:25" ht="16.5" thickBot="1">
      <c r="A133" s="81" t="s">
        <v>379</v>
      </c>
      <c r="B133" s="244">
        <f>B132-31</f>
        <v>369</v>
      </c>
      <c r="C133" t="s">
        <v>42</v>
      </c>
      <c r="D133" s="81" t="s">
        <v>379</v>
      </c>
      <c r="E133" s="244">
        <f>E132-31</f>
        <v>369</v>
      </c>
      <c r="F133" t="s">
        <v>42</v>
      </c>
      <c r="G133" s="215" t="s">
        <v>428</v>
      </c>
      <c r="N133" s="73" t="s">
        <v>359</v>
      </c>
      <c r="O133" s="74">
        <f t="shared" si="28"/>
        <v>23.843767692502883</v>
      </c>
      <c r="P133" s="74">
        <f t="shared" si="28"/>
        <v>27.817728974586696</v>
      </c>
      <c r="Q133" s="74">
        <f t="shared" si="28"/>
        <v>31.79169025667051</v>
      </c>
      <c r="R133" s="74">
        <f t="shared" si="28"/>
        <v>35.765651538754327</v>
      </c>
      <c r="S133" s="74">
        <f t="shared" si="28"/>
        <v>39.73961282083814</v>
      </c>
      <c r="U133" s="414" t="s">
        <v>442</v>
      </c>
      <c r="V133" s="531" t="s">
        <v>437</v>
      </c>
      <c r="W133" s="532"/>
      <c r="X133" s="421" t="s">
        <v>447</v>
      </c>
      <c r="Y133" s="421" t="s">
        <v>447</v>
      </c>
    </row>
    <row r="134" spans="1:25" ht="18.75">
      <c r="A134" s="81" t="s">
        <v>380</v>
      </c>
      <c r="B134" s="244">
        <v>30</v>
      </c>
      <c r="C134" t="s">
        <v>381</v>
      </c>
      <c r="D134" s="81" t="s">
        <v>380</v>
      </c>
      <c r="E134" s="244">
        <v>30</v>
      </c>
      <c r="F134" t="s">
        <v>381</v>
      </c>
      <c r="N134" s="76" t="s">
        <v>360</v>
      </c>
      <c r="O134" s="77">
        <f t="shared" si="28"/>
        <v>19.538906812723059</v>
      </c>
      <c r="P134" s="77">
        <f t="shared" si="28"/>
        <v>22.795391281510234</v>
      </c>
      <c r="Q134" s="77">
        <f t="shared" si="28"/>
        <v>26.051875750297416</v>
      </c>
      <c r="R134" s="77">
        <f t="shared" si="28"/>
        <v>29.308360219084591</v>
      </c>
      <c r="S134" s="77">
        <f t="shared" si="28"/>
        <v>32.564844687871769</v>
      </c>
      <c r="U134" s="417" t="s">
        <v>441</v>
      </c>
      <c r="V134" s="418" t="s">
        <v>439</v>
      </c>
      <c r="W134" s="25" t="s">
        <v>452</v>
      </c>
      <c r="X134" s="25" t="s">
        <v>448</v>
      </c>
      <c r="Y134" s="25" t="s">
        <v>449</v>
      </c>
    </row>
    <row r="135" spans="1:25" ht="16.5" thickBot="1">
      <c r="A135" s="81" t="s">
        <v>212</v>
      </c>
      <c r="B135" s="244">
        <f>0.3+(0.7*B134)/45</f>
        <v>0.76666666666666661</v>
      </c>
      <c r="D135" s="81" t="s">
        <v>212</v>
      </c>
      <c r="E135" s="244">
        <f>0.3+(0.7*E134)/45</f>
        <v>0.76666666666666661</v>
      </c>
      <c r="G135" s="215"/>
      <c r="N135" s="67" t="s">
        <v>361</v>
      </c>
      <c r="O135" s="68">
        <f t="shared" si="28"/>
        <v>31.519599969587883</v>
      </c>
      <c r="P135" s="68">
        <f t="shared" si="28"/>
        <v>36.772866631185863</v>
      </c>
      <c r="Q135" s="68">
        <f t="shared" si="28"/>
        <v>42.026133292783847</v>
      </c>
      <c r="R135" s="68">
        <f t="shared" si="28"/>
        <v>47.279399954381823</v>
      </c>
      <c r="S135" s="68">
        <f t="shared" si="28"/>
        <v>52.532666615979807</v>
      </c>
      <c r="U135" s="422" t="s">
        <v>435</v>
      </c>
      <c r="V135" s="419" t="s">
        <v>440</v>
      </c>
      <c r="W135" s="420" t="s">
        <v>453</v>
      </c>
      <c r="X135" s="423">
        <v>125.3</v>
      </c>
      <c r="Y135" s="423">
        <v>124.8</v>
      </c>
    </row>
    <row r="136" spans="1:25">
      <c r="A136" s="81" t="s">
        <v>382</v>
      </c>
      <c r="B136" s="244">
        <f>(B135*0.52*SQRT(B131)*B133^0.9*B42^0.8)/1000</f>
        <v>30.151035919598129</v>
      </c>
      <c r="C136" t="s">
        <v>254</v>
      </c>
      <c r="D136" s="81" t="s">
        <v>382</v>
      </c>
      <c r="E136" s="244">
        <f>(E135*0.52*SQRT(E131)*E133^0.9*B42^0.8)/1000</f>
        <v>30.151035919598129</v>
      </c>
      <c r="F136" t="s">
        <v>254</v>
      </c>
      <c r="G136" s="215" t="s">
        <v>411</v>
      </c>
      <c r="N136" s="331" t="s">
        <v>362</v>
      </c>
      <c r="O136" s="333">
        <f t="shared" si="28"/>
        <v>19.538906812723059</v>
      </c>
      <c r="P136" s="333">
        <f t="shared" si="28"/>
        <v>22.795391281510234</v>
      </c>
      <c r="Q136" s="333">
        <f t="shared" si="28"/>
        <v>26.051875750297416</v>
      </c>
      <c r="R136" s="333">
        <f t="shared" si="28"/>
        <v>29.308360219084591</v>
      </c>
      <c r="S136" s="333">
        <f t="shared" si="28"/>
        <v>32.564844687871769</v>
      </c>
      <c r="U136" s="508" t="s">
        <v>436</v>
      </c>
      <c r="V136" s="415" t="s">
        <v>440</v>
      </c>
      <c r="W136" s="416" t="s">
        <v>453</v>
      </c>
      <c r="X136" s="501">
        <v>165.3</v>
      </c>
      <c r="Y136" s="501">
        <v>164.8</v>
      </c>
    </row>
    <row r="137" spans="1:25" ht="16.5" thickBot="1">
      <c r="A137" s="81" t="s">
        <v>412</v>
      </c>
      <c r="B137" s="244">
        <f>B136*COS(RADIANS(B134))*B129^0.9</f>
        <v>48.725899585155808</v>
      </c>
      <c r="C137" t="s">
        <v>254</v>
      </c>
      <c r="D137" s="81" t="s">
        <v>412</v>
      </c>
      <c r="E137" s="244">
        <f>E136*COS(RADIANS(E134))*E129^0.9</f>
        <v>48.725899585155808</v>
      </c>
      <c r="F137" t="s">
        <v>254</v>
      </c>
      <c r="G137" s="215" t="s">
        <v>413</v>
      </c>
      <c r="N137" s="73" t="s">
        <v>363</v>
      </c>
      <c r="O137" s="74">
        <f>MIN(O77,O122)</f>
        <v>29.912214705042324</v>
      </c>
      <c r="P137" s="74">
        <f t="shared" si="28"/>
        <v>34.897583822549379</v>
      </c>
      <c r="Q137" s="74">
        <f t="shared" si="28"/>
        <v>39.882952940056441</v>
      </c>
      <c r="R137" s="74">
        <f t="shared" si="28"/>
        <v>44.868322057563489</v>
      </c>
      <c r="S137" s="74">
        <f t="shared" si="28"/>
        <v>49.853691175070544</v>
      </c>
      <c r="U137" s="509"/>
      <c r="V137" s="424" t="s">
        <v>444</v>
      </c>
      <c r="W137" s="425" t="s">
        <v>446</v>
      </c>
      <c r="X137" s="502"/>
      <c r="Y137" s="502"/>
    </row>
    <row r="138" spans="1:25">
      <c r="A138" s="81" t="s">
        <v>216</v>
      </c>
      <c r="B138" s="245">
        <f>B137*B130/B129</f>
        <v>40</v>
      </c>
      <c r="C138" t="s">
        <v>254</v>
      </c>
      <c r="D138" s="81" t="s">
        <v>216</v>
      </c>
      <c r="E138" s="245">
        <f>E137/B137*B138</f>
        <v>40</v>
      </c>
      <c r="F138" t="s">
        <v>254</v>
      </c>
      <c r="N138" s="76" t="s">
        <v>211</v>
      </c>
      <c r="O138" s="77">
        <f t="shared" si="28"/>
        <v>57.597472520372627</v>
      </c>
      <c r="P138" s="77">
        <f t="shared" si="28"/>
        <v>67.197051273768068</v>
      </c>
      <c r="Q138" s="77">
        <f t="shared" si="28"/>
        <v>76.796630027163502</v>
      </c>
      <c r="R138" s="77">
        <f t="shared" si="28"/>
        <v>86.39620878055895</v>
      </c>
      <c r="S138" s="77">
        <f t="shared" si="28"/>
        <v>95.995787533954385</v>
      </c>
      <c r="U138" s="508" t="s">
        <v>215</v>
      </c>
      <c r="V138" s="415" t="s">
        <v>445</v>
      </c>
      <c r="W138" s="416" t="s">
        <v>453</v>
      </c>
      <c r="X138" s="503">
        <v>165.3</v>
      </c>
      <c r="Y138" s="503">
        <v>164.8</v>
      </c>
    </row>
    <row r="139" spans="1:25">
      <c r="N139" s="62" t="s">
        <v>215</v>
      </c>
      <c r="O139" s="63">
        <f t="shared" si="28"/>
        <v>76.059010981911086</v>
      </c>
      <c r="P139" s="63">
        <f t="shared" si="28"/>
        <v>88.735512812229601</v>
      </c>
      <c r="Q139" s="63">
        <f t="shared" si="28"/>
        <v>101.41201464254812</v>
      </c>
      <c r="R139" s="63">
        <f t="shared" si="28"/>
        <v>114.08851647286664</v>
      </c>
      <c r="S139" s="63">
        <f t="shared" si="28"/>
        <v>126.76501830318514</v>
      </c>
      <c r="U139" s="509"/>
      <c r="V139" s="424" t="s">
        <v>444</v>
      </c>
      <c r="W139" s="425" t="s">
        <v>446</v>
      </c>
      <c r="X139" s="504"/>
      <c r="Y139" s="504"/>
    </row>
    <row r="140" spans="1:25" ht="18">
      <c r="N140" s="62" t="s">
        <v>352</v>
      </c>
      <c r="O140" s="235">
        <f>Bemessung!G24</f>
        <v>1.3</v>
      </c>
    </row>
  </sheetData>
  <sheetProtection algorithmName="SHA-512" hashValue="oRnuepZkNVtoRLDcZ+pzLuZlDLKgV1UsJyprqDClmaxyNaXg9bm2R0A1nnFFHwx1BuNFh99OeMHcMsPEX1Wigg==" saltValue="dkCgtZCBCfCnyeD5CnuVYQ==" spinCount="100000" sheet="1" objects="1" scenarios="1" selectLockedCells="1"/>
  <mergeCells count="28">
    <mergeCell ref="N106:N107"/>
    <mergeCell ref="N108:N109"/>
    <mergeCell ref="A108:A109"/>
    <mergeCell ref="A61:A62"/>
    <mergeCell ref="A63:A64"/>
    <mergeCell ref="A106:A107"/>
    <mergeCell ref="B106:B107"/>
    <mergeCell ref="B61:B62"/>
    <mergeCell ref="C61:C62"/>
    <mergeCell ref="B63:B64"/>
    <mergeCell ref="C63:C64"/>
    <mergeCell ref="M61:M62"/>
    <mergeCell ref="M63:M64"/>
    <mergeCell ref="B108:B109"/>
    <mergeCell ref="C106:C107"/>
    <mergeCell ref="C108:C109"/>
    <mergeCell ref="O128:S128"/>
    <mergeCell ref="O7:R7"/>
    <mergeCell ref="O8:S8"/>
    <mergeCell ref="O113:S113"/>
    <mergeCell ref="O68:S68"/>
    <mergeCell ref="V133:W133"/>
    <mergeCell ref="U136:U137"/>
    <mergeCell ref="X136:X137"/>
    <mergeCell ref="Y136:Y137"/>
    <mergeCell ref="U138:U139"/>
    <mergeCell ref="X138:X139"/>
    <mergeCell ref="Y138:Y139"/>
  </mergeCells>
  <pageMargins left="0.7" right="0.7" top="0.78740157499999996" bottom="0.78740157499999996" header="0.3" footer="0.3"/>
  <pageSetup paperSize="9" orientation="portrait" r:id="rId1"/>
  <drawing r:id="rId2"/>
  <legacyDrawing r:id="rId3"/>
  <oleObjects>
    <mc:AlternateContent xmlns:mc="http://schemas.openxmlformats.org/markup-compatibility/2006">
      <mc:Choice Requires="x14">
        <oleObject progId="Equation.3" shapeId="19457" r:id="rId4">
          <objectPr defaultSize="0" autoPict="0" r:id="rId5">
            <anchor moveWithCells="1">
              <from>
                <xdr:col>4</xdr:col>
                <xdr:colOff>28575</xdr:colOff>
                <xdr:row>45</xdr:row>
                <xdr:rowOff>9525</xdr:rowOff>
              </from>
              <to>
                <xdr:col>5</xdr:col>
                <xdr:colOff>676275</xdr:colOff>
                <xdr:row>46</xdr:row>
                <xdr:rowOff>38100</xdr:rowOff>
              </to>
            </anchor>
          </objectPr>
        </oleObject>
      </mc:Choice>
      <mc:Fallback>
        <oleObject progId="Equation.3" shapeId="19457"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F5679-4CE7-4E99-8F9A-73D6000A8BE6}">
  <dimension ref="A1:I77"/>
  <sheetViews>
    <sheetView showGridLines="0" showRowColHeaders="0" topLeftCell="A44" workbookViewId="0">
      <selection activeCell="C53" sqref="C53"/>
    </sheetView>
  </sheetViews>
  <sheetFormatPr baseColWidth="10" defaultRowHeight="15.75"/>
  <cols>
    <col min="1" max="1" width="21.5" customWidth="1"/>
    <col min="2" max="2" width="12.75" customWidth="1"/>
  </cols>
  <sheetData>
    <row r="1" spans="1:4">
      <c r="A1" s="215" t="s">
        <v>243</v>
      </c>
    </row>
    <row r="3" spans="1:4">
      <c r="A3" s="10" t="s">
        <v>144</v>
      </c>
      <c r="B3" s="10" t="s">
        <v>244</v>
      </c>
      <c r="C3" s="10" t="s">
        <v>246</v>
      </c>
      <c r="D3" s="10" t="s">
        <v>247</v>
      </c>
    </row>
    <row r="4" spans="1:4">
      <c r="A4" s="10"/>
      <c r="B4" s="10" t="s">
        <v>245</v>
      </c>
      <c r="C4" s="10" t="s">
        <v>250</v>
      </c>
      <c r="D4" s="10" t="s">
        <v>250</v>
      </c>
    </row>
    <row r="5" spans="1:4">
      <c r="A5" s="10" t="s">
        <v>146</v>
      </c>
      <c r="B5" s="10">
        <v>2.2999999999999998</v>
      </c>
      <c r="C5" s="10">
        <v>1</v>
      </c>
      <c r="D5" s="10">
        <v>5</v>
      </c>
    </row>
    <row r="6" spans="1:4">
      <c r="A6" s="10" t="s">
        <v>147</v>
      </c>
      <c r="B6" s="10">
        <v>2.2999999999999998</v>
      </c>
      <c r="C6" s="10">
        <v>1</v>
      </c>
      <c r="D6" s="10">
        <v>5</v>
      </c>
    </row>
    <row r="7" spans="1:4">
      <c r="A7" s="10" t="s">
        <v>148</v>
      </c>
      <c r="B7" s="10">
        <v>3.5</v>
      </c>
      <c r="C7" s="10">
        <v>0.71399999999999997</v>
      </c>
      <c r="D7" s="10">
        <v>6.5</v>
      </c>
    </row>
    <row r="8" spans="1:4">
      <c r="A8" s="10" t="s">
        <v>143</v>
      </c>
      <c r="B8" s="10">
        <v>3.5</v>
      </c>
      <c r="C8" s="10">
        <v>0.71399999999999997</v>
      </c>
      <c r="D8" s="10">
        <v>6.5</v>
      </c>
    </row>
    <row r="9" spans="1:4">
      <c r="A9" s="10" t="s">
        <v>149</v>
      </c>
      <c r="B9" s="10">
        <v>3.5</v>
      </c>
      <c r="C9" s="10">
        <v>0.71399999999999997</v>
      </c>
      <c r="D9" s="10">
        <v>6.5</v>
      </c>
    </row>
    <row r="10" spans="1:4">
      <c r="A10" s="10" t="s">
        <v>198</v>
      </c>
      <c r="B10" s="10">
        <v>3.5</v>
      </c>
      <c r="C10" s="10">
        <v>0.71399999999999997</v>
      </c>
      <c r="D10" s="10">
        <v>6.5</v>
      </c>
    </row>
    <row r="11" spans="1:4">
      <c r="A11" s="10" t="s">
        <v>197</v>
      </c>
      <c r="B11" s="10">
        <v>3.5</v>
      </c>
      <c r="C11" s="10">
        <v>0.71399999999999997</v>
      </c>
      <c r="D11" s="10">
        <v>6.5</v>
      </c>
    </row>
    <row r="12" spans="1:4">
      <c r="A12" s="10" t="s">
        <v>199</v>
      </c>
      <c r="B12" s="10">
        <v>3.5</v>
      </c>
      <c r="C12" s="10">
        <v>0.71399999999999997</v>
      </c>
      <c r="D12" s="10">
        <v>6.5</v>
      </c>
    </row>
    <row r="13" spans="1:4">
      <c r="A13" s="10" t="s">
        <v>221</v>
      </c>
      <c r="B13" s="10">
        <v>3.5</v>
      </c>
      <c r="C13" s="10">
        <v>0.71399999999999997</v>
      </c>
      <c r="D13" s="10">
        <v>6.5</v>
      </c>
    </row>
    <row r="14" spans="1:4">
      <c r="A14" s="10" t="s">
        <v>222</v>
      </c>
      <c r="B14" s="10">
        <v>3.5</v>
      </c>
      <c r="C14" s="10">
        <v>0.71399999999999997</v>
      </c>
      <c r="D14" s="10">
        <v>6.5</v>
      </c>
    </row>
    <row r="15" spans="1:4">
      <c r="A15" s="10" t="s">
        <v>223</v>
      </c>
      <c r="B15" s="10">
        <v>3.5</v>
      </c>
      <c r="C15" s="10">
        <v>0.71399999999999997</v>
      </c>
      <c r="D15" s="10">
        <v>6.5</v>
      </c>
    </row>
    <row r="17" spans="1:5">
      <c r="A17" s="1" t="s">
        <v>275</v>
      </c>
    </row>
    <row r="18" spans="1:5">
      <c r="A18" s="1"/>
      <c r="D18" s="237" t="s">
        <v>465</v>
      </c>
      <c r="E18">
        <f>Bemessung!G126+Bemessung!C129</f>
        <v>0</v>
      </c>
    </row>
    <row r="19" spans="1:5">
      <c r="A19" s="345" t="s">
        <v>276</v>
      </c>
      <c r="B19" s="161" t="s">
        <v>279</v>
      </c>
      <c r="C19" s="161" t="s">
        <v>277</v>
      </c>
      <c r="D19" s="161" t="s">
        <v>280</v>
      </c>
      <c r="E19" s="161" t="s">
        <v>278</v>
      </c>
    </row>
    <row r="20" spans="1:5">
      <c r="A20" s="62" t="s">
        <v>366</v>
      </c>
      <c r="B20" s="340">
        <v>140</v>
      </c>
      <c r="C20" s="340">
        <v>40</v>
      </c>
      <c r="D20" s="340">
        <f t="shared" ref="D20" si="0">B20-C20</f>
        <v>100</v>
      </c>
      <c r="E20" s="340">
        <f>Bemessung!$D$79+Ausklinkungsbemessung!D20</f>
        <v>100</v>
      </c>
    </row>
    <row r="21" spans="1:5" ht="16.5" thickBot="1">
      <c r="A21" s="67" t="s">
        <v>365</v>
      </c>
      <c r="B21" s="341">
        <v>140</v>
      </c>
      <c r="C21" s="341">
        <v>40</v>
      </c>
      <c r="D21" s="341">
        <f t="shared" ref="D21:D29" si="1">B21-C21</f>
        <v>100</v>
      </c>
      <c r="E21" s="341">
        <f>Bemessung!$D$79+Ausklinkungsbemessung!D21</f>
        <v>100</v>
      </c>
    </row>
    <row r="22" spans="1:5">
      <c r="A22" s="331" t="s">
        <v>358</v>
      </c>
      <c r="B22" s="342">
        <v>200</v>
      </c>
      <c r="C22" s="342">
        <v>40</v>
      </c>
      <c r="D22" s="342">
        <f t="shared" ref="D22" si="2">B22-C22</f>
        <v>160</v>
      </c>
      <c r="E22" s="342">
        <f>Bemessung!$D$79+Ausklinkungsbemessung!D22</f>
        <v>160</v>
      </c>
    </row>
    <row r="23" spans="1:5" ht="16.5" thickBot="1">
      <c r="A23" s="73" t="s">
        <v>359</v>
      </c>
      <c r="B23" s="343">
        <v>200</v>
      </c>
      <c r="C23" s="343">
        <v>40</v>
      </c>
      <c r="D23" s="343">
        <f t="shared" si="1"/>
        <v>160</v>
      </c>
      <c r="E23" s="343">
        <f>Bemessung!$D$79+Ausklinkungsbemessung!D23</f>
        <v>160</v>
      </c>
    </row>
    <row r="24" spans="1:5">
      <c r="A24" s="76" t="s">
        <v>360</v>
      </c>
      <c r="B24" s="344">
        <v>200</v>
      </c>
      <c r="C24" s="344">
        <v>40</v>
      </c>
      <c r="D24" s="344">
        <f t="shared" ref="D24" si="3">B24-C24</f>
        <v>160</v>
      </c>
      <c r="E24" s="344">
        <f>Bemessung!$D$79+Ausklinkungsbemessung!D24</f>
        <v>160</v>
      </c>
    </row>
    <row r="25" spans="1:5" ht="16.5" thickBot="1">
      <c r="A25" s="67" t="s">
        <v>361</v>
      </c>
      <c r="B25" s="341">
        <v>200</v>
      </c>
      <c r="C25" s="341">
        <v>40</v>
      </c>
      <c r="D25" s="341">
        <f t="shared" si="1"/>
        <v>160</v>
      </c>
      <c r="E25" s="341">
        <f>Bemessung!$D$79+Ausklinkungsbemessung!D25</f>
        <v>160</v>
      </c>
    </row>
    <row r="26" spans="1:5">
      <c r="A26" s="331" t="s">
        <v>362</v>
      </c>
      <c r="B26" s="342">
        <v>290</v>
      </c>
      <c r="C26" s="342">
        <v>40</v>
      </c>
      <c r="D26" s="342">
        <f t="shared" ref="D26" si="4">B26-C26</f>
        <v>250</v>
      </c>
      <c r="E26" s="342">
        <f>Bemessung!$D$79+Ausklinkungsbemessung!D26</f>
        <v>250</v>
      </c>
    </row>
    <row r="27" spans="1:5" ht="16.5" thickBot="1">
      <c r="A27" s="73" t="s">
        <v>363</v>
      </c>
      <c r="B27" s="343">
        <v>290</v>
      </c>
      <c r="C27" s="343">
        <v>40</v>
      </c>
      <c r="D27" s="343">
        <f t="shared" si="1"/>
        <v>250</v>
      </c>
      <c r="E27" s="343">
        <f>Bemessung!$D$79+Ausklinkungsbemessung!D27</f>
        <v>250</v>
      </c>
    </row>
    <row r="28" spans="1:5" ht="16.5" thickBot="1">
      <c r="A28" s="76" t="s">
        <v>211</v>
      </c>
      <c r="B28" s="344">
        <v>390</v>
      </c>
      <c r="C28" s="344">
        <v>90</v>
      </c>
      <c r="D28" s="344">
        <f t="shared" si="1"/>
        <v>300</v>
      </c>
      <c r="E28" s="344">
        <f>Bemessung!$D$79+Ausklinkungsbemessung!D28</f>
        <v>300</v>
      </c>
    </row>
    <row r="29" spans="1:5">
      <c r="A29" s="76" t="s">
        <v>215</v>
      </c>
      <c r="B29" s="340">
        <v>390</v>
      </c>
      <c r="C29" s="340">
        <v>-14</v>
      </c>
      <c r="D29" s="340">
        <f t="shared" si="1"/>
        <v>404</v>
      </c>
      <c r="E29" s="340">
        <f>Bemessung!$D$79+Ausklinkungsbemessung!D29</f>
        <v>404</v>
      </c>
    </row>
    <row r="31" spans="1:5" ht="20.25" thickBot="1">
      <c r="A31" s="249" t="s">
        <v>258</v>
      </c>
      <c r="B31" s="250" t="e">
        <f>B38/B37</f>
        <v>#DIV/0!</v>
      </c>
      <c r="C31" s="251" t="e">
        <f>IF(B31&lt;0.6,"&lt;0,6",IF(B31=0.6,"=0,6","&gt;0,6"))</f>
        <v>#DIV/0!</v>
      </c>
      <c r="D31" s="227" t="e">
        <f>IF(B31&gt;0.6,"Das Ausklinkungsverhältnis ist eingehalten!","Das Ausklinkungsverhältnis ist nicht eingehalten. Bitte Verbinder weiter nach unten versetzen!")</f>
        <v>#DIV/0!</v>
      </c>
    </row>
    <row r="32" spans="1:5" ht="16.5" thickTop="1">
      <c r="A32" s="2" t="s">
        <v>163</v>
      </c>
      <c r="B32" s="81" t="str">
        <f>VLOOKUP(Bemessung!$B$35,Ausklinkungsbemessung!$A$5:$D$15,1,FALSE)</f>
        <v>GL24h</v>
      </c>
    </row>
    <row r="33" spans="1:7" ht="18.75">
      <c r="A33" s="237" t="s">
        <v>262</v>
      </c>
      <c r="B33">
        <f>VLOOKUP(Bemessung!$B$35,Ausklinkungsbemessung!$A$5:$D$15,2,FALSE)</f>
        <v>3.5</v>
      </c>
      <c r="C33" s="215" t="s">
        <v>15</v>
      </c>
    </row>
    <row r="34" spans="1:7" ht="18.75">
      <c r="A34" s="237" t="s">
        <v>263</v>
      </c>
      <c r="B34">
        <f>VLOOKUP(Bemessung!$B$35,Ausklinkungsbemessung!$A$5:$D$15,3,FALSE)</f>
        <v>0.71399999999999997</v>
      </c>
    </row>
    <row r="35" spans="1:7" ht="18.75">
      <c r="A35" s="237" t="s">
        <v>264</v>
      </c>
      <c r="B35">
        <f>VLOOKUP(Bemessung!$B$35,Ausklinkungsbemessung!$A$5:$D$15,4,FALSE)</f>
        <v>6.5</v>
      </c>
    </row>
    <row r="36" spans="1:7">
      <c r="A36" s="237" t="s">
        <v>252</v>
      </c>
      <c r="B36" s="181">
        <f>Bemessung!C91</f>
        <v>0</v>
      </c>
      <c r="C36" s="215" t="s">
        <v>42</v>
      </c>
    </row>
    <row r="37" spans="1:7" ht="18.75">
      <c r="A37" s="237" t="s">
        <v>265</v>
      </c>
      <c r="B37">
        <f>Bemessung!E83</f>
        <v>0</v>
      </c>
      <c r="C37" s="215" t="s">
        <v>42</v>
      </c>
    </row>
    <row r="38" spans="1:7" ht="18.75">
      <c r="A38" s="237" t="s">
        <v>266</v>
      </c>
      <c r="B38">
        <f>IF(E18&gt;Bemessung!B82,E18,Bemessung!B82)</f>
        <v>160</v>
      </c>
      <c r="C38" s="215" t="s">
        <v>42</v>
      </c>
      <c r="D38" s="161"/>
      <c r="E38" s="161" t="s">
        <v>278</v>
      </c>
      <c r="F38" s="161" t="s">
        <v>310</v>
      </c>
      <c r="G38" s="161" t="s">
        <v>311</v>
      </c>
    </row>
    <row r="39" spans="1:7" ht="18.75">
      <c r="A39" s="262" t="s">
        <v>308</v>
      </c>
      <c r="B39" s="273">
        <f>IF(B38=E39,E39,IF(B38&lt;=G39,F39,G39))</f>
        <v>160</v>
      </c>
      <c r="C39" s="215" t="s">
        <v>42</v>
      </c>
      <c r="D39" s="161" t="s">
        <v>309</v>
      </c>
      <c r="E39" s="161">
        <f>Bemessung!B82</f>
        <v>160</v>
      </c>
      <c r="F39" s="161">
        <f>E18</f>
        <v>0</v>
      </c>
      <c r="G39" s="161">
        <f>Bemessung!E83-Bemessung!C166</f>
        <v>0</v>
      </c>
    </row>
    <row r="40" spans="1:7" ht="18.75">
      <c r="A40" s="237" t="s">
        <v>267</v>
      </c>
      <c r="B40" s="244" t="e">
        <f>MIN(1,B35/(SQRT(B37)*(SQRT(B31*(1-B31))+0.8*(B41/B37)*SQRT((1/B31)-B31^2))))</f>
        <v>#DIV/0!</v>
      </c>
    </row>
    <row r="41" spans="1:7">
      <c r="A41" s="237" t="s">
        <v>251</v>
      </c>
      <c r="B41">
        <v>50</v>
      </c>
      <c r="C41" s="215" t="s">
        <v>42</v>
      </c>
    </row>
    <row r="43" spans="1:7">
      <c r="A43" s="215" t="s">
        <v>253</v>
      </c>
    </row>
    <row r="44" spans="1:7" ht="18.75">
      <c r="A44" s="237" t="s">
        <v>268</v>
      </c>
      <c r="B44" s="245" t="e">
        <f>B36*B34*B38*B40*B33/(1.5*1000)</f>
        <v>#DIV/0!</v>
      </c>
      <c r="C44" s="215" t="s">
        <v>254</v>
      </c>
    </row>
    <row r="45" spans="1:7">
      <c r="A45" s="237"/>
      <c r="B45" s="245"/>
      <c r="C45" s="215"/>
    </row>
    <row r="46" spans="1:7" ht="36">
      <c r="A46" s="246" t="s">
        <v>113</v>
      </c>
      <c r="B46" s="246" t="s">
        <v>255</v>
      </c>
      <c r="C46" s="247" t="s">
        <v>270</v>
      </c>
      <c r="D46" s="246" t="s">
        <v>256</v>
      </c>
      <c r="E46" s="246" t="s">
        <v>257</v>
      </c>
    </row>
    <row r="47" spans="1:7">
      <c r="A47" s="10" t="s">
        <v>100</v>
      </c>
      <c r="B47" s="248">
        <f>Bemessung!C19</f>
        <v>0</v>
      </c>
      <c r="C47" s="248">
        <f>Bemessung!G19</f>
        <v>0.6</v>
      </c>
      <c r="D47" s="248" t="e">
        <f>C47*$B$44/$C$52</f>
        <v>#DIV/0!</v>
      </c>
      <c r="E47" s="248" t="e">
        <f>B47/D47</f>
        <v>#DIV/0!</v>
      </c>
    </row>
    <row r="48" spans="1:7">
      <c r="A48" s="10" t="s">
        <v>103</v>
      </c>
      <c r="B48" s="248">
        <f>Bemessung!C20</f>
        <v>0</v>
      </c>
      <c r="C48" s="248">
        <f>Bemessung!G20</f>
        <v>0.9</v>
      </c>
      <c r="D48" s="248" t="e">
        <f>C48*$B$44/$C$52</f>
        <v>#DIV/0!</v>
      </c>
      <c r="E48" s="248" t="e">
        <f>B48/D48</f>
        <v>#DIV/0!</v>
      </c>
    </row>
    <row r="49" spans="1:9">
      <c r="A49" s="10" t="s">
        <v>104</v>
      </c>
      <c r="B49" s="248">
        <f>Bemessung!C21</f>
        <v>0</v>
      </c>
      <c r="C49" s="248">
        <f>Bemessung!G21</f>
        <v>0.8</v>
      </c>
      <c r="D49" s="248" t="e">
        <f>C49*$B$44/$C$52</f>
        <v>#DIV/0!</v>
      </c>
      <c r="E49" s="248" t="e">
        <f>B49/D49</f>
        <v>#DIV/0!</v>
      </c>
    </row>
    <row r="50" spans="1:9">
      <c r="A50" s="10" t="s">
        <v>105</v>
      </c>
      <c r="B50" s="248">
        <f>Bemessung!C22</f>
        <v>0</v>
      </c>
      <c r="C50" s="248">
        <f>Bemessung!G22</f>
        <v>0.9</v>
      </c>
      <c r="D50" s="248" t="e">
        <f>C50*$B$44/$C$52</f>
        <v>#DIV/0!</v>
      </c>
      <c r="E50" s="248" t="e">
        <f>B50/D50</f>
        <v>#DIV/0!</v>
      </c>
    </row>
    <row r="51" spans="1:9">
      <c r="A51" s="10" t="s">
        <v>106</v>
      </c>
      <c r="B51" s="248">
        <f>Bemessung!C23</f>
        <v>0</v>
      </c>
      <c r="C51" s="248">
        <f>Bemessung!G23</f>
        <v>0.9</v>
      </c>
      <c r="D51" s="248" t="e">
        <f>C51*$B$44/$C$52</f>
        <v>#DIV/0!</v>
      </c>
      <c r="E51" s="248" t="e">
        <f>B51/D51</f>
        <v>#DIV/0!</v>
      </c>
    </row>
    <row r="52" spans="1:9" ht="18.75">
      <c r="B52" s="257" t="s">
        <v>269</v>
      </c>
      <c r="C52">
        <f>VLOOKUP(Bemessung!B35,Zwischenrechnung!J2:M12,4,FALSE)</f>
        <v>1.25</v>
      </c>
    </row>
    <row r="56" spans="1:9" ht="18.75">
      <c r="A56" s="1" t="s">
        <v>249</v>
      </c>
      <c r="B56" s="1"/>
      <c r="C56" s="1"/>
      <c r="D56" s="1"/>
      <c r="E56" s="1"/>
      <c r="F56" s="1"/>
      <c r="G56" s="1"/>
      <c r="H56" s="1"/>
      <c r="I56" s="1"/>
    </row>
    <row r="57" spans="1:9">
      <c r="A57" s="1"/>
      <c r="B57" s="2" t="str">
        <f>IF(Bemessung!G126&gt;Bemessung!B82,"hef,Scr =","hef =")</f>
        <v>hef =</v>
      </c>
      <c r="C57" s="175">
        <f>Bemessung!B113</f>
        <v>160</v>
      </c>
      <c r="D57" s="1"/>
      <c r="E57" s="1"/>
      <c r="F57" s="1"/>
      <c r="G57" s="1"/>
      <c r="H57" s="1"/>
      <c r="I57" s="1"/>
    </row>
    <row r="58" spans="1:9" ht="21" thickBot="1">
      <c r="A58" s="266" t="s">
        <v>297</v>
      </c>
      <c r="B58" s="264" t="e">
        <f>Ausklinkungsbemessung!B31</f>
        <v>#DIV/0!</v>
      </c>
      <c r="C58" s="265" t="e">
        <f>IF(B58&lt;0.6,"&lt;0,6",IF(B58=0.6,"=0,6","&gt;0,6"))</f>
        <v>#DIV/0!</v>
      </c>
      <c r="D58" s="227" t="e">
        <f>IF(B58&gt;0.6,"Das Ausklinkungsverhältnis ist eingehalten!","Das Ausklinkungsverhältnis ist nicht eingehalten. Bitte Verbinder weiter nach unten versetzen!")</f>
        <v>#DIV/0!</v>
      </c>
      <c r="E58" s="1"/>
      <c r="F58" s="1"/>
      <c r="G58" s="1"/>
      <c r="H58" s="1"/>
      <c r="I58" s="1"/>
    </row>
    <row r="59" spans="1:9" ht="16.5" thickTop="1">
      <c r="A59" s="1"/>
      <c r="B59" s="1"/>
      <c r="C59" s="1"/>
      <c r="D59" s="1"/>
      <c r="E59" s="1"/>
      <c r="F59" s="1"/>
      <c r="G59" s="1"/>
      <c r="H59" s="1"/>
      <c r="I59" s="1"/>
    </row>
    <row r="60" spans="1:9">
      <c r="A60" s="538" t="s">
        <v>284</v>
      </c>
      <c r="B60" s="539"/>
      <c r="C60" s="539"/>
      <c r="D60" s="539"/>
      <c r="E60" s="539"/>
      <c r="F60" s="539"/>
      <c r="G60" s="539"/>
      <c r="H60" s="539"/>
      <c r="I60" s="540"/>
    </row>
    <row r="61" spans="1:9">
      <c r="A61" s="541"/>
      <c r="B61" s="542"/>
      <c r="C61" s="542"/>
      <c r="D61" s="542"/>
      <c r="E61" s="542"/>
      <c r="F61" s="542"/>
      <c r="G61" s="542"/>
      <c r="H61" s="542"/>
      <c r="I61" s="543"/>
    </row>
    <row r="62" spans="1:9">
      <c r="A62" s="258"/>
      <c r="B62" s="258"/>
      <c r="C62" s="258"/>
      <c r="D62" s="258"/>
      <c r="E62" s="258"/>
      <c r="F62" s="258"/>
      <c r="G62" s="258"/>
      <c r="H62" s="258"/>
      <c r="I62" s="258"/>
    </row>
    <row r="63" spans="1:9" ht="18.75">
      <c r="A63" s="258"/>
      <c r="B63" s="2" t="s">
        <v>273</v>
      </c>
      <c r="C63" s="259">
        <f>Bemessung!C91</f>
        <v>0</v>
      </c>
      <c r="D63" s="1" t="s">
        <v>42</v>
      </c>
      <c r="E63" s="258"/>
      <c r="F63" s="258"/>
      <c r="G63" s="258"/>
      <c r="H63" s="258"/>
      <c r="I63" s="258"/>
    </row>
    <row r="64" spans="1:9">
      <c r="A64" s="258"/>
      <c r="B64" s="2" t="s">
        <v>307</v>
      </c>
      <c r="C64" s="259">
        <f>Bemessung!B113</f>
        <v>160</v>
      </c>
      <c r="D64" s="1" t="s">
        <v>42</v>
      </c>
      <c r="E64" s="258"/>
      <c r="F64" s="258"/>
      <c r="G64" s="258"/>
      <c r="H64" s="258"/>
      <c r="I64" s="258"/>
    </row>
    <row r="65" spans="1:9">
      <c r="A65" s="544" t="s">
        <v>300</v>
      </c>
      <c r="B65" s="544"/>
      <c r="C65" s="259">
        <f>Ausklinkungsbemessung!B39</f>
        <v>160</v>
      </c>
      <c r="D65" s="258" t="s">
        <v>42</v>
      </c>
      <c r="E65" s="258"/>
      <c r="F65" s="258"/>
      <c r="G65" s="258"/>
      <c r="H65" s="258"/>
      <c r="I65" s="258"/>
    </row>
    <row r="66" spans="1:9" ht="37.5">
      <c r="A66" s="258"/>
      <c r="B66" s="2" t="s">
        <v>285</v>
      </c>
      <c r="C66" s="1">
        <f>C63*C64/100</f>
        <v>0</v>
      </c>
      <c r="D66" s="1" t="s">
        <v>272</v>
      </c>
      <c r="E66" s="258" t="s">
        <v>286</v>
      </c>
      <c r="F66" s="258"/>
      <c r="G66" s="258"/>
      <c r="H66" s="258"/>
      <c r="I66" s="258"/>
    </row>
    <row r="67" spans="1:9">
      <c r="A67" s="258"/>
      <c r="B67" s="2" t="s">
        <v>292</v>
      </c>
      <c r="C67" s="327" t="e">
        <f>MAX(Bemessung!E117:E120)</f>
        <v>#DIV/0!</v>
      </c>
      <c r="D67" s="1"/>
      <c r="E67" s="260" t="s">
        <v>346</v>
      </c>
      <c r="F67" s="258"/>
      <c r="G67" s="258"/>
      <c r="H67" s="258"/>
      <c r="I67" s="258"/>
    </row>
    <row r="68" spans="1:9" ht="34.5">
      <c r="A68" s="258"/>
      <c r="B68" s="2" t="s">
        <v>274</v>
      </c>
      <c r="C68" s="318" t="e">
        <f>C67*C66</f>
        <v>#DIV/0!</v>
      </c>
      <c r="D68" s="1" t="s">
        <v>272</v>
      </c>
      <c r="E68" s="258" t="s">
        <v>291</v>
      </c>
      <c r="F68" s="258"/>
      <c r="G68" s="258"/>
      <c r="H68" s="258"/>
      <c r="I68" s="258"/>
    </row>
    <row r="69" spans="1:9" ht="18.75">
      <c r="A69" s="258"/>
      <c r="B69" s="2" t="s">
        <v>289</v>
      </c>
      <c r="C69" s="318" t="e">
        <f>0.6*C68</f>
        <v>#DIV/0!</v>
      </c>
      <c r="D69" s="1" t="s">
        <v>272</v>
      </c>
      <c r="E69" s="260" t="s">
        <v>290</v>
      </c>
      <c r="F69" s="258"/>
      <c r="G69" s="258"/>
      <c r="H69" s="258"/>
      <c r="I69" s="258"/>
    </row>
    <row r="70" spans="1:9" ht="37.5">
      <c r="A70" s="544" t="s">
        <v>293</v>
      </c>
      <c r="B70" s="544"/>
      <c r="C70" s="259">
        <f>Bemessung!C91-2*Bemessung!C166</f>
        <v>0</v>
      </c>
      <c r="D70" s="274" t="s">
        <v>42</v>
      </c>
      <c r="E70" s="258" t="s">
        <v>295</v>
      </c>
      <c r="F70" s="258"/>
      <c r="G70" s="258"/>
      <c r="H70" s="258"/>
      <c r="I70" s="258"/>
    </row>
    <row r="71" spans="1:9" ht="37.5">
      <c r="A71" s="258"/>
      <c r="B71" s="2" t="s">
        <v>294</v>
      </c>
      <c r="C71" s="318">
        <f>C70*C65/100</f>
        <v>0</v>
      </c>
      <c r="D71" s="1" t="s">
        <v>272</v>
      </c>
      <c r="E71" s="258" t="s">
        <v>301</v>
      </c>
      <c r="F71" s="258"/>
      <c r="G71" s="258"/>
      <c r="H71" s="258"/>
      <c r="I71" s="258"/>
    </row>
    <row r="72" spans="1:9">
      <c r="A72" s="258"/>
      <c r="B72" s="1"/>
      <c r="C72" s="1"/>
      <c r="D72" s="1"/>
      <c r="E72" s="258"/>
      <c r="F72" s="258"/>
      <c r="G72" s="258"/>
      <c r="H72" s="258"/>
      <c r="I72" s="258"/>
    </row>
    <row r="73" spans="1:9" ht="21" thickBot="1">
      <c r="A73" s="263" t="s">
        <v>296</v>
      </c>
      <c r="B73" s="169" t="s">
        <v>299</v>
      </c>
      <c r="C73" s="264" t="e">
        <f>ROUND(C69/C71,2)</f>
        <v>#DIV/0!</v>
      </c>
      <c r="D73" s="265" t="e">
        <f>IF(C73&lt;1,"&lt;1,0",IF(C73=1,"=1,0","&gt;1,0"))</f>
        <v>#DIV/0!</v>
      </c>
      <c r="E73" s="545" t="e">
        <f>IF(C73&lt;=1,"Der beflammte Restquerschnitt A_befl ist eingehalten!","Der beflammte Restquerschnitt A_befl ist nicht eingehalten und muss vergrößert werden!")</f>
        <v>#DIV/0!</v>
      </c>
      <c r="F73" s="545"/>
      <c r="G73" s="545"/>
      <c r="H73" s="545"/>
      <c r="I73" s="545"/>
    </row>
    <row r="74" spans="1:9" ht="16.5" thickTop="1">
      <c r="A74" s="1"/>
      <c r="B74" s="1"/>
      <c r="C74" s="1"/>
      <c r="D74" s="1"/>
      <c r="E74" s="545"/>
      <c r="F74" s="545"/>
      <c r="G74" s="545"/>
      <c r="H74" s="545"/>
      <c r="I74" s="545"/>
    </row>
    <row r="75" spans="1:9" ht="18.75">
      <c r="A75" s="546" t="s">
        <v>347</v>
      </c>
      <c r="B75" s="546"/>
      <c r="C75" s="546"/>
      <c r="D75" s="546"/>
      <c r="E75" s="546"/>
      <c r="F75" s="547" t="e">
        <f>C71/C68*100</f>
        <v>#DIV/0!</v>
      </c>
      <c r="G75" s="547"/>
      <c r="H75" s="275"/>
      <c r="I75" s="275"/>
    </row>
    <row r="76" spans="1:9" ht="18.75">
      <c r="A76" s="1"/>
      <c r="B76" s="1"/>
      <c r="C76" s="1"/>
      <c r="D76" s="1"/>
      <c r="E76" s="275"/>
      <c r="F76" s="275"/>
      <c r="G76" s="275"/>
      <c r="H76" s="275"/>
      <c r="I76" s="275"/>
    </row>
    <row r="77" spans="1:9">
      <c r="A77" s="1"/>
      <c r="B77" s="1"/>
      <c r="C77" s="1"/>
      <c r="D77" s="1"/>
      <c r="E77" s="1"/>
      <c r="F77" s="1"/>
      <c r="G77" s="1"/>
      <c r="H77" s="1"/>
      <c r="I77" s="1"/>
    </row>
  </sheetData>
  <sheetProtection algorithmName="SHA-512" hashValue="tgPpGfg+7qEXqEEsYvNUEcsdU9jyJx0B/hvsSqC83a3PZEsALK5G+eKISw5q4DbuTmphvFRtrt0Oq3m5MQPyYQ==" saltValue="WAbMysPx2c+LHl7D/UX7FA==" spinCount="100000" sheet="1" objects="1" scenarios="1" selectLockedCells="1"/>
  <mergeCells count="6">
    <mergeCell ref="A60:I61"/>
    <mergeCell ref="A70:B70"/>
    <mergeCell ref="E73:I74"/>
    <mergeCell ref="A65:B65"/>
    <mergeCell ref="A75:E75"/>
    <mergeCell ref="F75:G75"/>
  </mergeCells>
  <conditionalFormatting sqref="B31">
    <cfRule type="cellIs" dxfId="8" priority="7" stopIfTrue="1" operator="equal">
      <formula>0.7</formula>
    </cfRule>
    <cfRule type="cellIs" dxfId="7" priority="8" stopIfTrue="1" operator="lessThan">
      <formula>0.7</formula>
    </cfRule>
    <cfRule type="cellIs" dxfId="6" priority="9" stopIfTrue="1" operator="greaterThan">
      <formula>0.7</formula>
    </cfRule>
  </conditionalFormatting>
  <conditionalFormatting sqref="B58">
    <cfRule type="cellIs" dxfId="5" priority="4" stopIfTrue="1" operator="equal">
      <formula>0.6</formula>
    </cfRule>
    <cfRule type="cellIs" dxfId="4" priority="5" stopIfTrue="1" operator="lessThan">
      <formula>0.6</formula>
    </cfRule>
    <cfRule type="cellIs" dxfId="3" priority="6" stopIfTrue="1" operator="greaterThan">
      <formula>0.6</formula>
    </cfRule>
  </conditionalFormatting>
  <conditionalFormatting sqref="C73">
    <cfRule type="cellIs" dxfId="2" priority="1" stopIfTrue="1" operator="equal">
      <formula>1</formula>
    </cfRule>
    <cfRule type="cellIs" dxfId="1" priority="2" stopIfTrue="1" operator="greaterThan">
      <formula>1</formula>
    </cfRule>
    <cfRule type="cellIs" dxfId="0" priority="3" stopIfTrue="1" operator="lessThan">
      <formula>1</formula>
    </cfRule>
  </conditionalFormatting>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H52"/>
  <sheetViews>
    <sheetView showGridLines="0" showRowColHeaders="0" topLeftCell="A16" workbookViewId="0">
      <selection activeCell="J33" sqref="J33"/>
    </sheetView>
  </sheetViews>
  <sheetFormatPr baseColWidth="10" defaultRowHeight="15.75"/>
  <cols>
    <col min="1" max="4" width="13.375" customWidth="1"/>
    <col min="6" max="6" width="13.125" bestFit="1" customWidth="1"/>
  </cols>
  <sheetData>
    <row r="1" spans="1:8">
      <c r="A1" s="165" t="s">
        <v>159</v>
      </c>
    </row>
    <row r="2" spans="1:8">
      <c r="A2" s="163">
        <v>8</v>
      </c>
      <c r="B2" s="165" t="s">
        <v>90</v>
      </c>
      <c r="F2" s="163">
        <f>Bemessung!F126</f>
        <v>0</v>
      </c>
    </row>
    <row r="3" spans="1:8">
      <c r="A3" s="161" t="s">
        <v>155</v>
      </c>
      <c r="B3" s="161" t="s">
        <v>153</v>
      </c>
      <c r="C3" s="161" t="s">
        <v>154</v>
      </c>
      <c r="D3" s="164" t="s">
        <v>156</v>
      </c>
      <c r="F3" s="164" t="s">
        <v>161</v>
      </c>
      <c r="G3" s="165" t="str">
        <f>Bemessung!C127</f>
        <v>Typ 1</v>
      </c>
      <c r="H3" s="165" t="str">
        <f>Bemessung!D127</f>
        <v>ASSY [ ETA-11/0190]</v>
      </c>
    </row>
    <row r="4" spans="1:8">
      <c r="A4" s="166" t="s">
        <v>160</v>
      </c>
      <c r="B4" s="166" t="s">
        <v>160</v>
      </c>
      <c r="C4" s="166" t="s">
        <v>160</v>
      </c>
      <c r="D4" s="166" t="s">
        <v>160</v>
      </c>
      <c r="F4" s="166" t="s">
        <v>160</v>
      </c>
    </row>
    <row r="5" spans="1:8">
      <c r="A5" s="167">
        <v>160</v>
      </c>
      <c r="B5" s="167">
        <v>120</v>
      </c>
      <c r="C5" s="167">
        <v>120</v>
      </c>
      <c r="D5" s="161" t="str">
        <f>IF(AND(Bemessung!$C$127="Typ 1",Bemessung!$F$126=8),Schraubenlängen!A5,IF(AND(Bemessung!$C$127="Typ 2",Bemessung!$F$126=8),Schraubenlängen!B5,IF(AND(Bemessung!$C$127="Typ 3",Bemessung!$F$126=8),Schraubenlängen!C5,"")))</f>
        <v/>
      </c>
      <c r="F5" s="162" t="str">
        <f t="shared" ref="F5:F23" si="0">IF($F$2=8,D5,D32)</f>
        <v/>
      </c>
    </row>
    <row r="6" spans="1:8">
      <c r="A6" s="167">
        <v>180</v>
      </c>
      <c r="B6" s="167">
        <v>140</v>
      </c>
      <c r="C6" s="167">
        <v>140</v>
      </c>
      <c r="D6" s="161" t="str">
        <f>IF(AND(Bemessung!$C$127="Typ 1",Bemessung!$F$126=8),Schraubenlängen!A6,IF(AND(Bemessung!$C$127="Typ 2",Bemessung!$F$126=8),Schraubenlängen!B6,IF(AND(Bemessung!$C$127="Typ 3",Bemessung!$F$126=8),Schraubenlängen!C6,"")))</f>
        <v/>
      </c>
      <c r="F6" s="162" t="str">
        <f t="shared" si="0"/>
        <v/>
      </c>
    </row>
    <row r="7" spans="1:8">
      <c r="A7" s="167">
        <v>200</v>
      </c>
      <c r="B7" s="167">
        <v>160</v>
      </c>
      <c r="C7" s="167">
        <v>160</v>
      </c>
      <c r="D7" s="161" t="str">
        <f>IF(AND(Bemessung!$C$127="Typ 1",Bemessung!$F$126=8),Schraubenlängen!A7,IF(AND(Bemessung!$C$127="Typ 2",Bemessung!$F$126=8),Schraubenlängen!B7,IF(AND(Bemessung!$C$127="Typ 3",Bemessung!$F$126=8),Schraubenlängen!C7,"")))</f>
        <v/>
      </c>
      <c r="F7" s="162" t="str">
        <f t="shared" si="0"/>
        <v/>
      </c>
    </row>
    <row r="8" spans="1:8">
      <c r="A8" s="167">
        <v>220</v>
      </c>
      <c r="B8" s="167">
        <v>180</v>
      </c>
      <c r="C8" s="167">
        <v>180</v>
      </c>
      <c r="D8" s="161" t="str">
        <f>IF(AND(Bemessung!$C$127="Typ 1",Bemessung!$F$126=8),Schraubenlängen!A8,IF(AND(Bemessung!$C$127="Typ 2",Bemessung!$F$126=8),Schraubenlängen!B8,IF(AND(Bemessung!$C$127="Typ 3",Bemessung!$F$126=8),Schraubenlängen!C8,"")))</f>
        <v/>
      </c>
      <c r="F8" s="162" t="str">
        <f t="shared" si="0"/>
        <v/>
      </c>
    </row>
    <row r="9" spans="1:8">
      <c r="A9" s="167">
        <v>240</v>
      </c>
      <c r="B9" s="167">
        <v>200</v>
      </c>
      <c r="C9" s="167">
        <v>200</v>
      </c>
      <c r="D9" s="161" t="str">
        <f>IF(AND(Bemessung!$C$127="Typ 1",Bemessung!$F$126=8),Schraubenlängen!A9,IF(AND(Bemessung!$C$127="Typ 2",Bemessung!$F$126=8),Schraubenlängen!B9,IF(AND(Bemessung!$C$127="Typ 3",Bemessung!$F$126=8),Schraubenlängen!C9,"")))</f>
        <v/>
      </c>
      <c r="F9" s="162" t="str">
        <f t="shared" si="0"/>
        <v/>
      </c>
    </row>
    <row r="10" spans="1:8">
      <c r="A10" s="167">
        <v>260</v>
      </c>
      <c r="B10" s="167">
        <v>220</v>
      </c>
      <c r="C10" s="167">
        <v>220</v>
      </c>
      <c r="D10" s="161" t="str">
        <f>IF(AND(Bemessung!$C$127="Typ 1",Bemessung!$F$126=8),Schraubenlängen!A10,IF(AND(Bemessung!$C$127="Typ 2",Bemessung!$F$126=8),Schraubenlängen!B10,IF(AND(Bemessung!$C$127="Typ 3",Bemessung!$F$126=8),Schraubenlängen!C10,"")))</f>
        <v/>
      </c>
      <c r="F10" s="162" t="str">
        <f t="shared" si="0"/>
        <v/>
      </c>
    </row>
    <row r="11" spans="1:8">
      <c r="A11" s="167">
        <v>280</v>
      </c>
      <c r="B11" s="167">
        <v>240</v>
      </c>
      <c r="C11" s="167">
        <v>240</v>
      </c>
      <c r="D11" s="161" t="str">
        <f>IF(AND(Bemessung!$C$127="Typ 1",Bemessung!$F$126=8),Schraubenlängen!A11,IF(AND(Bemessung!$C$127="Typ 2",Bemessung!$F$126=8),Schraubenlängen!B11,IF(AND(Bemessung!$C$127="Typ 3",Bemessung!$F$126=8),Schraubenlängen!C11,"")))</f>
        <v/>
      </c>
      <c r="F11" s="162" t="str">
        <f t="shared" si="0"/>
        <v/>
      </c>
    </row>
    <row r="12" spans="1:8">
      <c r="A12" s="167">
        <v>300</v>
      </c>
      <c r="B12" s="167">
        <v>260</v>
      </c>
      <c r="C12" s="167">
        <v>260</v>
      </c>
      <c r="D12" s="161" t="str">
        <f>IF(AND(Bemessung!$C$127="Typ 1",Bemessung!$F$126=8),Schraubenlängen!A12,IF(AND(Bemessung!$C$127="Typ 2",Bemessung!$F$126=8),Schraubenlängen!B12,IF(AND(Bemessung!$C$127="Typ 3",Bemessung!$F$126=8),Schraubenlängen!C12,"")))</f>
        <v/>
      </c>
      <c r="F12" s="162" t="str">
        <f t="shared" si="0"/>
        <v/>
      </c>
    </row>
    <row r="13" spans="1:8">
      <c r="A13" s="167">
        <v>330</v>
      </c>
      <c r="B13" s="167">
        <v>280</v>
      </c>
      <c r="C13" s="167">
        <v>280</v>
      </c>
      <c r="D13" s="161" t="str">
        <f>IF(AND(Bemessung!$C$127="Typ 1",Bemessung!$F$126=8),Schraubenlängen!A13,IF(AND(Bemessung!$C$127="Typ 2",Bemessung!$F$126=8),Schraubenlängen!B13,IF(AND(Bemessung!$C$127="Typ 3",Bemessung!$F$126=8),Schraubenlängen!C13,"")))</f>
        <v/>
      </c>
      <c r="F13" s="162" t="str">
        <f t="shared" si="0"/>
        <v/>
      </c>
    </row>
    <row r="14" spans="1:8">
      <c r="A14" s="167">
        <v>360</v>
      </c>
      <c r="B14" s="167">
        <v>300</v>
      </c>
      <c r="C14" s="167">
        <v>300</v>
      </c>
      <c r="D14" s="161" t="str">
        <f>IF(AND(Bemessung!$C$127="Typ 1",Bemessung!$F$126=8),Schraubenlängen!A14,IF(AND(Bemessung!$C$127="Typ 2",Bemessung!$F$126=8),Schraubenlängen!B14,IF(AND(Bemessung!$C$127="Typ 3",Bemessung!$F$126=8),Schraubenlängen!C14,"")))</f>
        <v/>
      </c>
      <c r="F14" s="162" t="str">
        <f t="shared" si="0"/>
        <v/>
      </c>
    </row>
    <row r="15" spans="1:8">
      <c r="A15" s="167">
        <v>380</v>
      </c>
      <c r="B15" s="167">
        <v>325</v>
      </c>
      <c r="C15" s="167">
        <v>350</v>
      </c>
      <c r="D15" s="161" t="str">
        <f>IF(AND(Bemessung!$C$127="Typ 1",Bemessung!$F$126=8),Schraubenlängen!A15,IF(AND(Bemessung!$C$127="Typ 2",Bemessung!$F$126=8),Schraubenlängen!B15,IF(AND(Bemessung!$C$127="Typ 3",Bemessung!$F$126=8),Schraubenlängen!C15,"")))</f>
        <v/>
      </c>
      <c r="F15" s="162" t="str">
        <f t="shared" si="0"/>
        <v/>
      </c>
    </row>
    <row r="16" spans="1:8">
      <c r="A16" s="167">
        <v>430</v>
      </c>
      <c r="B16" s="167">
        <v>350</v>
      </c>
      <c r="C16" s="167">
        <v>400</v>
      </c>
      <c r="D16" s="161" t="str">
        <f>IF(AND(Bemessung!$C$127="Typ 1",Bemessung!$F$126=8),Schraubenlängen!A16,IF(AND(Bemessung!$C$127="Typ 2",Bemessung!$F$126=8),Schraubenlängen!B16,IF(AND(Bemessung!$C$127="Typ 3",Bemessung!$F$126=8),Schraubenlängen!C16,"")))</f>
        <v/>
      </c>
      <c r="F16" s="162" t="str">
        <f t="shared" si="0"/>
        <v/>
      </c>
    </row>
    <row r="17" spans="1:6">
      <c r="A17" s="167">
        <v>450</v>
      </c>
      <c r="B17" s="167">
        <v>375</v>
      </c>
      <c r="C17" s="167">
        <v>450</v>
      </c>
      <c r="D17" s="161" t="str">
        <f>IF(AND(Bemessung!$C$127="Typ 1",Bemessung!$F$126=8),Schraubenlängen!A17,IF(AND(Bemessung!$C$127="Typ 2",Bemessung!$F$126=8),Schraubenlängen!B17,IF(AND(Bemessung!$C$127="Typ 3",Bemessung!$F$126=8),Schraubenlängen!C17,"")))</f>
        <v/>
      </c>
      <c r="F17" s="162" t="str">
        <f t="shared" si="0"/>
        <v/>
      </c>
    </row>
    <row r="18" spans="1:6">
      <c r="A18" s="167">
        <v>460</v>
      </c>
      <c r="B18" s="167">
        <v>400</v>
      </c>
      <c r="C18" s="167">
        <v>500</v>
      </c>
      <c r="D18" s="161" t="str">
        <f>IF(AND(Bemessung!$C$127="Typ 1",Bemessung!$F$126=8),Schraubenlängen!A18,IF(AND(Bemessung!$C$127="Typ 2",Bemessung!$F$126=8),Schraubenlängen!B18,IF(AND(Bemessung!$C$127="Typ 3",Bemessung!$F$126=8),Schraubenlängen!C18,"")))</f>
        <v/>
      </c>
      <c r="F18" s="162" t="str">
        <f t="shared" si="0"/>
        <v/>
      </c>
    </row>
    <row r="19" spans="1:6">
      <c r="A19" s="167">
        <v>480</v>
      </c>
      <c r="B19" s="167">
        <v>450</v>
      </c>
      <c r="C19" s="167">
        <v>550</v>
      </c>
      <c r="D19" s="161" t="str">
        <f>IF(AND(Bemessung!$C$127="Typ 1",Bemessung!$F$126=8),Schraubenlängen!A19,IF(AND(Bemessung!$C$127="Typ 2",Bemessung!$F$126=8),Schraubenlängen!B19,IF(AND(Bemessung!$C$127="Typ 3",Bemessung!$F$126=8),Schraubenlängen!C19,"")))</f>
        <v/>
      </c>
      <c r="F19" s="162" t="str">
        <f t="shared" si="0"/>
        <v/>
      </c>
    </row>
    <row r="20" spans="1:6">
      <c r="A20" s="167">
        <v>530</v>
      </c>
      <c r="B20" s="167">
        <v>500</v>
      </c>
      <c r="C20" s="167">
        <v>600</v>
      </c>
      <c r="D20" s="161" t="str">
        <f>IF(AND(Bemessung!$C$127="Typ 1",Bemessung!$F$126=8),Schraubenlängen!A20,IF(AND(Bemessung!$C$127="Typ 2",Bemessung!$F$126=8),Schraubenlängen!B20,IF(AND(Bemessung!$C$127="Typ 3",Bemessung!$F$126=8),Schraubenlängen!C20,"")))</f>
        <v/>
      </c>
      <c r="F20" s="162" t="str">
        <f t="shared" si="0"/>
        <v/>
      </c>
    </row>
    <row r="21" spans="1:6">
      <c r="A21" s="167">
        <v>580</v>
      </c>
      <c r="B21" s="167">
        <v>600</v>
      </c>
      <c r="C21" s="167"/>
      <c r="D21" s="161" t="str">
        <f>IF(AND(Bemessung!$C$127="Typ 1",Bemessung!$F$126=8),Schraubenlängen!A21,IF(AND(Bemessung!$C$127="Typ 2",Bemessung!$F$126=8),Schraubenlängen!B21,IF(AND(Bemessung!$C$127="Typ 3",Bemessung!$F$126=8),Schraubenlängen!C21,"")))</f>
        <v/>
      </c>
      <c r="F21" s="162" t="str">
        <f t="shared" si="0"/>
        <v/>
      </c>
    </row>
    <row r="22" spans="1:6">
      <c r="F22" s="162" t="str">
        <f t="shared" si="0"/>
        <v/>
      </c>
    </row>
    <row r="23" spans="1:6">
      <c r="F23" s="162" t="str">
        <f t="shared" si="0"/>
        <v/>
      </c>
    </row>
    <row r="24" spans="1:6">
      <c r="F24" s="162" t="str">
        <f>IF($F$2=8,D28,D51)</f>
        <v/>
      </c>
    </row>
    <row r="25" spans="1:6">
      <c r="F25" s="162" t="str">
        <f>IF($F$2=8,D29,D52)</f>
        <v/>
      </c>
    </row>
    <row r="28" spans="1:6">
      <c r="A28" s="165" t="s">
        <v>159</v>
      </c>
    </row>
    <row r="29" spans="1:6">
      <c r="A29" s="163">
        <v>10</v>
      </c>
      <c r="B29" s="165" t="s">
        <v>90</v>
      </c>
    </row>
    <row r="30" spans="1:6">
      <c r="A30" s="161" t="s">
        <v>155</v>
      </c>
      <c r="B30" s="161" t="s">
        <v>153</v>
      </c>
      <c r="C30" s="161" t="s">
        <v>154</v>
      </c>
      <c r="D30" s="164" t="s">
        <v>156</v>
      </c>
    </row>
    <row r="31" spans="1:6">
      <c r="A31" s="166" t="s">
        <v>160</v>
      </c>
      <c r="B31" s="166" t="s">
        <v>160</v>
      </c>
      <c r="C31" s="166" t="s">
        <v>160</v>
      </c>
      <c r="D31" s="166" t="s">
        <v>160</v>
      </c>
    </row>
    <row r="32" spans="1:6">
      <c r="A32" s="167">
        <v>160</v>
      </c>
      <c r="B32" s="167">
        <v>120</v>
      </c>
      <c r="C32" s="167">
        <v>120</v>
      </c>
      <c r="D32" s="161" t="str">
        <f>IF(AND(Bemessung!$C$127="Typ 1",Bemessung!$F$126=10),Schraubenlängen!A32,IF(AND(Bemessung!$C$127="Typ 2",Bemessung!$F$126=10),Schraubenlängen!B32,IF(AND(Bemessung!$C$127="Typ 3",Bemessung!$F$126=10),Schraubenlängen!C32,"")))</f>
        <v/>
      </c>
    </row>
    <row r="33" spans="1:4">
      <c r="A33" s="167">
        <v>180</v>
      </c>
      <c r="B33" s="167">
        <v>160</v>
      </c>
      <c r="C33" s="167">
        <v>160</v>
      </c>
      <c r="D33" s="161" t="str">
        <f>IF(AND(Bemessung!$C$127="Typ 1",Bemessung!$F$126=10),Schraubenlängen!A33,IF(AND(Bemessung!$C$127="Typ 2",Bemessung!$F$126=10),Schraubenlängen!B33,IF(AND(Bemessung!$C$127="Typ 3",Bemessung!$F$126=10),Schraubenlängen!C33,"")))</f>
        <v/>
      </c>
    </row>
    <row r="34" spans="1:4">
      <c r="A34" s="167">
        <v>200</v>
      </c>
      <c r="B34" s="167">
        <v>180</v>
      </c>
      <c r="C34" s="167">
        <v>200</v>
      </c>
      <c r="D34" s="161" t="str">
        <f>IF(AND(Bemessung!$C$127="Typ 1",Bemessung!$F$126=10),Schraubenlängen!A34,IF(AND(Bemessung!$C$127="Typ 2",Bemessung!$F$126=10),Schraubenlängen!B34,IF(AND(Bemessung!$C$127="Typ 3",Bemessung!$F$126=10),Schraubenlängen!C34,"")))</f>
        <v/>
      </c>
    </row>
    <row r="35" spans="1:4">
      <c r="A35" s="167">
        <v>220</v>
      </c>
      <c r="B35" s="167">
        <v>200</v>
      </c>
      <c r="C35" s="167">
        <v>220</v>
      </c>
      <c r="D35" s="161" t="str">
        <f>IF(AND(Bemessung!$C$127="Typ 1",Bemessung!$F$126=10),Schraubenlängen!A35,IF(AND(Bemessung!$C$127="Typ 2",Bemessung!$F$126=10),Schraubenlängen!B35,IF(AND(Bemessung!$C$127="Typ 3",Bemessung!$F$126=10),Schraubenlängen!C35,"")))</f>
        <v/>
      </c>
    </row>
    <row r="36" spans="1:4">
      <c r="A36" s="167">
        <v>240</v>
      </c>
      <c r="B36" s="167">
        <v>220</v>
      </c>
      <c r="C36" s="167">
        <v>240</v>
      </c>
      <c r="D36" s="161" t="str">
        <f>IF(AND(Bemessung!$C$127="Typ 1",Bemessung!$F$126=10),Schraubenlängen!A36,IF(AND(Bemessung!$C$127="Typ 2",Bemessung!$F$126=10),Schraubenlängen!B36,IF(AND(Bemessung!$C$127="Typ 3",Bemessung!$F$126=10),Schraubenlängen!C36,"")))</f>
        <v/>
      </c>
    </row>
    <row r="37" spans="1:4">
      <c r="A37" s="167">
        <v>260</v>
      </c>
      <c r="B37" s="167">
        <v>240</v>
      </c>
      <c r="C37" s="167">
        <v>260</v>
      </c>
      <c r="D37" s="161" t="str">
        <f>IF(AND(Bemessung!$C$127="Typ 1",Bemessung!$F$126=10),Schraubenlängen!A37,IF(AND(Bemessung!$C$127="Typ 2",Bemessung!$F$126=10),Schraubenlängen!B37,IF(AND(Bemessung!$C$127="Typ 3",Bemessung!$F$126=10),Schraubenlängen!C37,"")))</f>
        <v/>
      </c>
    </row>
    <row r="38" spans="1:4">
      <c r="A38" s="167">
        <v>280</v>
      </c>
      <c r="B38" s="167">
        <v>260</v>
      </c>
      <c r="C38" s="167">
        <v>280</v>
      </c>
      <c r="D38" s="161" t="str">
        <f>IF(AND(Bemessung!$C$127="Typ 1",Bemessung!$F$126=10),Schraubenlängen!A38,IF(AND(Bemessung!$C$127="Typ 2",Bemessung!$F$126=10),Schraubenlängen!B38,IF(AND(Bemessung!$C$127="Typ 3",Bemessung!$F$126=10),Schraubenlängen!C38,"")))</f>
        <v/>
      </c>
    </row>
    <row r="39" spans="1:4">
      <c r="A39" s="167">
        <v>300</v>
      </c>
      <c r="B39" s="167">
        <v>280</v>
      </c>
      <c r="C39" s="167">
        <v>300</v>
      </c>
      <c r="D39" s="161" t="str">
        <f>IF(AND(Bemessung!$C$127="Typ 1",Bemessung!$F$126=10),Schraubenlängen!A39,IF(AND(Bemessung!$C$127="Typ 2",Bemessung!$F$126=10),Schraubenlängen!B39,IF(AND(Bemessung!$C$127="Typ 3",Bemessung!$F$126=10),Schraubenlängen!C39,"")))</f>
        <v/>
      </c>
    </row>
    <row r="40" spans="1:4">
      <c r="A40" s="167">
        <v>320</v>
      </c>
      <c r="B40" s="167">
        <v>300</v>
      </c>
      <c r="C40" s="167">
        <v>350</v>
      </c>
      <c r="D40" s="161" t="str">
        <f>IF(AND(Bemessung!$C$127="Typ 1",Bemessung!$F$126=10),Schraubenlängen!A40,IF(AND(Bemessung!$C$127="Typ 2",Bemessung!$F$126=10),Schraubenlängen!B40,IF(AND(Bemessung!$C$127="Typ 3",Bemessung!$F$126=10),Schraubenlängen!C40,"")))</f>
        <v/>
      </c>
    </row>
    <row r="41" spans="1:4">
      <c r="A41" s="167">
        <v>340</v>
      </c>
      <c r="B41" s="167">
        <v>325</v>
      </c>
      <c r="C41" s="167">
        <v>400</v>
      </c>
      <c r="D41" s="161" t="str">
        <f>IF(AND(Bemessung!$C$127="Typ 1",Bemessung!$F$126=10),Schraubenlängen!A41,IF(AND(Bemessung!$C$127="Typ 2",Bemessung!$F$126=10),Schraubenlängen!B41,IF(AND(Bemessung!$C$127="Typ 3",Bemessung!$F$126=10),Schraubenlängen!C41,"")))</f>
        <v/>
      </c>
    </row>
    <row r="42" spans="1:4">
      <c r="A42" s="167">
        <v>360</v>
      </c>
      <c r="B42" s="167">
        <v>350</v>
      </c>
      <c r="C42" s="167">
        <v>450</v>
      </c>
      <c r="D42" s="161" t="str">
        <f>IF(AND(Bemessung!$C$127="Typ 1",Bemessung!$F$126=10),Schraubenlängen!A42,IF(AND(Bemessung!$C$127="Typ 2",Bemessung!$F$126=10),Schraubenlängen!B42,IF(AND(Bemessung!$C$127="Typ 3",Bemessung!$F$126=10),Schraubenlängen!C42,"")))</f>
        <v/>
      </c>
    </row>
    <row r="43" spans="1:4">
      <c r="A43" s="167">
        <v>380</v>
      </c>
      <c r="B43" s="167">
        <v>375</v>
      </c>
      <c r="C43" s="167">
        <v>500</v>
      </c>
      <c r="D43" s="161" t="str">
        <f>IF(AND(Bemessung!$C$127="Typ 1",Bemessung!$F$126=10),Schraubenlängen!A43,IF(AND(Bemessung!$C$127="Typ 2",Bemessung!$F$126=10),Schraubenlängen!B43,IF(AND(Bemessung!$C$127="Typ 3",Bemessung!$F$126=10),Schraubenlängen!C43,"")))</f>
        <v/>
      </c>
    </row>
    <row r="44" spans="1:4">
      <c r="A44" s="167">
        <v>400</v>
      </c>
      <c r="B44" s="167">
        <v>400</v>
      </c>
      <c r="C44" s="167">
        <v>550</v>
      </c>
      <c r="D44" s="161" t="str">
        <f>IF(AND(Bemessung!$C$127="Typ 1",Bemessung!$F$126=10),Schraubenlängen!A44,IF(AND(Bemessung!$C$127="Typ 2",Bemessung!$F$126=10),Schraubenlängen!B44,IF(AND(Bemessung!$C$127="Typ 3",Bemessung!$F$126=10),Schraubenlängen!C44,"")))</f>
        <v/>
      </c>
    </row>
    <row r="45" spans="1:4">
      <c r="A45" s="167">
        <v>430</v>
      </c>
      <c r="B45" s="167">
        <v>450</v>
      </c>
      <c r="C45" s="167">
        <v>600</v>
      </c>
      <c r="D45" s="161" t="str">
        <f>IF(AND(Bemessung!$C$127="Typ 1",Bemessung!$F$126=10),Schraubenlängen!A45,IF(AND(Bemessung!$C$127="Typ 2",Bemessung!$F$126=10),Schraubenlängen!B45,IF(AND(Bemessung!$C$127="Typ 3",Bemessung!$F$126=10),Schraubenlängen!C45,"")))</f>
        <v/>
      </c>
    </row>
    <row r="46" spans="1:4">
      <c r="A46" s="167">
        <v>480</v>
      </c>
      <c r="B46" s="167">
        <v>500</v>
      </c>
      <c r="C46" s="167">
        <v>700</v>
      </c>
      <c r="D46" s="161" t="str">
        <f>IF(AND(Bemessung!$C$127="Typ 1",Bemessung!$F$126=10),Schraubenlängen!A46,IF(AND(Bemessung!$C$127="Typ 2",Bemessung!$F$126=10),Schraubenlängen!B46,IF(AND(Bemessung!$C$127="Typ 3",Bemessung!$F$126=10),Schraubenlängen!C46,"")))</f>
        <v/>
      </c>
    </row>
    <row r="47" spans="1:4">
      <c r="A47" s="167">
        <v>530</v>
      </c>
      <c r="B47" s="167">
        <v>600</v>
      </c>
      <c r="C47" s="167">
        <v>800</v>
      </c>
      <c r="D47" s="161" t="str">
        <f>IF(AND(Bemessung!$C$127="Typ 1",Bemessung!$F$126=10),Schraubenlängen!A47,IF(AND(Bemessung!$C$127="Typ 2",Bemessung!$F$126=10),Schraubenlängen!B47,IF(AND(Bemessung!$C$127="Typ 3",Bemessung!$F$126=10),Schraubenlängen!C47,"")))</f>
        <v/>
      </c>
    </row>
    <row r="48" spans="1:4">
      <c r="A48" s="167">
        <v>580</v>
      </c>
      <c r="B48" s="167">
        <v>700</v>
      </c>
      <c r="C48" s="167"/>
      <c r="D48" s="161" t="str">
        <f>IF(AND(Bemessung!$C$127="Typ 1",Bemessung!$F$126=10),Schraubenlängen!A48,IF(AND(Bemessung!$C$127="Typ 2",Bemessung!$F$126=10),Schraubenlängen!B48,IF(AND(Bemessung!$C$127="Typ 3",Bemessung!$F$126=10),Schraubenlängen!C48,"")))</f>
        <v/>
      </c>
    </row>
    <row r="49" spans="1:4">
      <c r="A49" s="167">
        <v>650</v>
      </c>
      <c r="B49" s="167">
        <v>800</v>
      </c>
      <c r="C49" s="167"/>
      <c r="D49" s="161" t="str">
        <f>IF(AND(Bemessung!$C$127="Typ 1",Bemessung!$F$126=10),Schraubenlängen!A49,IF(AND(Bemessung!$C$127="Typ 2",Bemessung!$F$126=10),Schraubenlängen!B49,IF(AND(Bemessung!$C$127="Typ 3",Bemessung!$F$126=10),Schraubenlängen!C49,"")))</f>
        <v/>
      </c>
    </row>
    <row r="50" spans="1:4">
      <c r="A50" s="167">
        <v>700</v>
      </c>
      <c r="B50" s="167">
        <v>1000</v>
      </c>
      <c r="C50" s="167"/>
      <c r="D50" s="161" t="str">
        <f>IF(AND(Bemessung!$C$127="Typ 1",Bemessung!$F$126=10),Schraubenlängen!A50,IF(AND(Bemessung!$C$127="Typ 2",Bemessung!$F$126=10),Schraubenlängen!B50,IF(AND(Bemessung!$C$127="Typ 3",Bemessung!$F$126=10),Schraubenlängen!C50,"")))</f>
        <v/>
      </c>
    </row>
    <row r="51" spans="1:4">
      <c r="A51" s="167">
        <v>750</v>
      </c>
      <c r="B51" s="167"/>
      <c r="C51" s="167"/>
      <c r="D51" s="161" t="str">
        <f>IF(AND(Bemessung!$C$127="Typ 1",Bemessung!$F$126=10),Schraubenlängen!A51,IF(AND(Bemessung!$C$127="Typ 2",Bemessung!$F$126=10),Schraubenlängen!B51,IF(AND(Bemessung!$C$127="Typ 3",Bemessung!$F$126=10),Schraubenlängen!C51,"")))</f>
        <v/>
      </c>
    </row>
    <row r="52" spans="1:4">
      <c r="A52" s="167">
        <v>800</v>
      </c>
      <c r="B52" s="167"/>
      <c r="C52" s="167"/>
      <c r="D52" s="161" t="str">
        <f>IF(AND(Bemessung!$C$127="Typ 1",Bemessung!$F$126=10),Schraubenlängen!A52,IF(AND(Bemessung!$C$127="Typ 2",Bemessung!$F$126=10),Schraubenlängen!B52,IF(AND(Bemessung!$C$127="Typ 3",Bemessung!$F$126=10),Schraubenlängen!C52,"")))</f>
        <v/>
      </c>
    </row>
  </sheetData>
  <sheetProtection algorithmName="SHA-512" hashValue="IuqAjV5PrH95JfukuRmZiwXldRFfIwKA3Xdd6u9MKHSw944t/1bNzmNYGXrtmxbSmFdQs9+iWL5Jqdu4QMU/oQ==" saltValue="Dtn7w9OFa5vpY9dYslB8dw==" spinCount="100000" sheet="1" objects="1" scenarios="1" selectLockedCells="1"/>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vt:i4>
      </vt:variant>
    </vt:vector>
  </HeadingPairs>
  <TitlesOfParts>
    <vt:vector size="7" baseType="lpstr">
      <vt:lpstr>Bemessung</vt:lpstr>
      <vt:lpstr>Zwischenrechnung</vt:lpstr>
      <vt:lpstr>Herleitung_HT-NT-Anschlüsse</vt:lpstr>
      <vt:lpstr>Herleitung_Stützen-Anschlüsse</vt:lpstr>
      <vt:lpstr>Ausklinkungsbemessung</vt:lpstr>
      <vt:lpstr>Schraubenlängen</vt:lpstr>
      <vt:lpstr>Bemessung!Druckbereich</vt:lpstr>
    </vt:vector>
  </TitlesOfParts>
  <Company>KNAPP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Anschluss Bemessungstool RICON S</dc:title>
  <dc:creator>tlangejuergen@knapp.verbinder.com;Torsten Langejürgen</dc:creator>
  <cp:keywords>Statiksoftware für HT-NT/Nebenträger/Stütze</cp:keywords>
  <cp:lastModifiedBy>Torsten Langejürgen</cp:lastModifiedBy>
  <cp:lastPrinted>2022-06-21T09:32:59Z</cp:lastPrinted>
  <dcterms:created xsi:type="dcterms:W3CDTF">2007-11-29T09:07:30Z</dcterms:created>
  <dcterms:modified xsi:type="dcterms:W3CDTF">2023-05-17T15:04:16Z</dcterms:modified>
  <cp:category>Version 5.0 (16.05.2023)</cp:category>
</cp:coreProperties>
</file>