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llgemeine.Daten\F &amp; E\001_Excel_Bemessungstools\Belastungsblatt\"/>
    </mc:Choice>
  </mc:AlternateContent>
  <xr:revisionPtr revIDLastSave="0" documentId="13_ncr:1_{88B0C859-FF16-4A22-923D-9DD8D402C18E}" xr6:coauthVersionLast="46" xr6:coauthVersionMax="46" xr10:uidLastSave="{00000000-0000-0000-0000-000000000000}"/>
  <workbookProtection workbookAlgorithmName="SHA-512" workbookHashValue="cuq01aS6sURnl2VKpeUHPyYXZ56yzyDYV5YFUZOu/MMqWovmx4VC2w2ytwCcuIr0xu7p8UOLgR8ZTSFBpfYlTQ==" workbookSaltValue="3Bf3qdh1fUH5eJONpcj+CQ==" workbookSpinCount="100000" lockStructure="1"/>
  <bookViews>
    <workbookView xWindow="-120" yWindow="-120" windowWidth="29040" windowHeight="15840" firstSheet="7" activeTab="7" xr2:uid="{00000000-000D-0000-FFFF-FFFF00000000}"/>
  </bookViews>
  <sheets>
    <sheet name="RICON_RICON-S-EK_GIGANT_WALCO " sheetId="1" state="hidden" r:id="rId1"/>
    <sheet name="RICON-S-VS" sheetId="3" state="hidden" r:id="rId2"/>
    <sheet name="RICON_Edelstahl" sheetId="4" state="hidden" r:id="rId3"/>
    <sheet name="Belastungsblatt_ETA_neu_EN" sheetId="6" state="hidden" r:id="rId4"/>
    <sheet name="Belastungsblatt_RICON_DE" sheetId="5" state="hidden" r:id="rId5"/>
    <sheet name="Belastungsblatt_GIGANT_DE" sheetId="7" state="hidden" r:id="rId6"/>
    <sheet name="Belastungsblatt_RICON-S_DE" sheetId="8" state="hidden" r:id="rId7"/>
    <sheet name="Load bearing values_RICON_EN" sheetId="12" r:id="rId8"/>
    <sheet name="Load bearing values_GIGANT_EN" sheetId="13" r:id="rId9"/>
    <sheet name="Load bearing values_RICON-S_EN" sheetId="14" r:id="rId10"/>
  </sheets>
  <definedNames>
    <definedName name="_xlnm.Print_Area" localSheetId="3">Belastungsblatt_ETA_neu_EN!$K$1:$U$245</definedName>
    <definedName name="_xlnm.Print_Area" localSheetId="7">'Load bearing values_RICON_EN'!$A$1:$K$133</definedName>
    <definedName name="_xlnm.Print_Area" localSheetId="9">'Load bearing values_RICON-S_EN'!$A$1:$K$116</definedName>
    <definedName name="Print_Area" localSheetId="3">Belastungsblatt_ETA_neu_EN!$K$196:$T$235</definedName>
    <definedName name="Print_Area" localSheetId="4">Belastungsblatt_RICON_DE!$A$70:$J$107</definedName>
    <definedName name="Print_Area" localSheetId="7">'Load bearing values_RICON_EN'!$A$89:$K$130</definedName>
    <definedName name="Z_88029C9E_0AAA_4AEA_8FBA_3530118F01BF_.wvu.Cols" localSheetId="3" hidden="1">Belastungsblatt_ETA_neu_EN!$A:$J</definedName>
    <definedName name="Z_88029C9E_0AAA_4AEA_8FBA_3530118F01BF_.wvu.Cols" localSheetId="5" hidden="1">Belastungsblatt_GIGANT_DE!$L:$T</definedName>
    <definedName name="Z_88029C9E_0AAA_4AEA_8FBA_3530118F01BF_.wvu.Cols" localSheetId="4" hidden="1">Belastungsblatt_RICON_DE!$K:$S</definedName>
    <definedName name="Z_88029C9E_0AAA_4AEA_8FBA_3530118F01BF_.wvu.Cols" localSheetId="6" hidden="1">'Belastungsblatt_RICON-S_DE'!$K:$S</definedName>
    <definedName name="Z_88029C9E_0AAA_4AEA_8FBA_3530118F01BF_.wvu.Cols" localSheetId="8" hidden="1">'Load bearing values_GIGANT_EN'!$L:$T</definedName>
    <definedName name="Z_88029C9E_0AAA_4AEA_8FBA_3530118F01BF_.wvu.Cols" localSheetId="7" hidden="1">'Load bearing values_RICON_EN'!$M:$U</definedName>
    <definedName name="Z_88029C9E_0AAA_4AEA_8FBA_3530118F01BF_.wvu.Cols" localSheetId="9" hidden="1">'Load bearing values_RICON-S_EN'!$L:$T</definedName>
    <definedName name="Z_88029C9E_0AAA_4AEA_8FBA_3530118F01BF_.wvu.PrintArea" localSheetId="3" hidden="1">Belastungsblatt_ETA_neu_EN!$K$1:$U$245</definedName>
    <definedName name="Z_88029C9E_0AAA_4AEA_8FBA_3530118F01BF_.wvu.Rows" localSheetId="2" hidden="1">RICON_Edelstahl!$382:$418</definedName>
    <definedName name="Z_88029C9E_0AAA_4AEA_8FBA_3530118F01BF_.wvu.Rows" localSheetId="0" hidden="1">'RICON_RICON-S-EK_GIGANT_WALCO '!$195:$202,'RICON_RICON-S-EK_GIGANT_WALCO '!$217:$224,'RICON_RICON-S-EK_GIGANT_WALCO '!$240:$247,'RICON_RICON-S-EK_GIGANT_WALCO '!$506:$513,'RICON_RICON-S-EK_GIGANT_WALCO '!$524:$531,'RICON_RICON-S-EK_GIGANT_WALCO '!$543:$550,'RICON_RICON-S-EK_GIGANT_WALCO '!$792:$799,'RICON_RICON-S-EK_GIGANT_WALCO '!$811:$818,'RICON_RICON-S-EK_GIGANT_WALCO '!$829:$836,'RICON_RICON-S-EK_GIGANT_WALCO '!$847:$854,'RICON_RICON-S-EK_GIGANT_WALCO '!$865:$872</definedName>
  </definedNames>
  <calcPr calcId="191029"/>
  <customWorkbookViews>
    <customWorkbookView name="Olga Romanova - Persönliche Ansicht" guid="{88029C9E-0AAA-4AEA-8FBA-3530118F01BF}" mergeInterval="0" personalView="1" maximized="1" windowWidth="1909" windowHeight="842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4" i="4" l="1"/>
  <c r="K375" i="4"/>
  <c r="L375" i="4"/>
  <c r="M375" i="4"/>
  <c r="N375" i="4"/>
  <c r="O375" i="4"/>
  <c r="K376" i="4"/>
  <c r="L376" i="4"/>
  <c r="M376" i="4"/>
  <c r="N376" i="4"/>
  <c r="O376" i="4"/>
  <c r="K377" i="4"/>
  <c r="L377" i="4"/>
  <c r="M377" i="4"/>
  <c r="N377" i="4"/>
  <c r="O377" i="4"/>
  <c r="L374" i="4"/>
  <c r="M374" i="4"/>
  <c r="N374" i="4"/>
  <c r="O374" i="4"/>
  <c r="B375" i="4"/>
  <c r="B376" i="4"/>
  <c r="B377" i="4"/>
  <c r="B374" i="4"/>
  <c r="E374" i="4" s="1"/>
  <c r="D375" i="4"/>
  <c r="D376" i="4"/>
  <c r="D377" i="4"/>
  <c r="D374" i="4"/>
  <c r="E377" i="4"/>
  <c r="E376" i="4"/>
  <c r="K345" i="4"/>
  <c r="I345" i="4"/>
  <c r="K344" i="4"/>
  <c r="I344" i="4"/>
  <c r="K343" i="4"/>
  <c r="I343" i="4"/>
  <c r="K342" i="4"/>
  <c r="I342" i="4"/>
  <c r="E310" i="4"/>
  <c r="F310" i="4" s="1"/>
  <c r="E311" i="4"/>
  <c r="F311" i="4"/>
  <c r="E312" i="4"/>
  <c r="F312" i="4" s="1"/>
  <c r="E313" i="4"/>
  <c r="F313" i="4" s="1"/>
  <c r="I281" i="4"/>
  <c r="G281" i="4"/>
  <c r="I280" i="4"/>
  <c r="G280" i="4"/>
  <c r="I279" i="4"/>
  <c r="G279" i="4"/>
  <c r="I278" i="4"/>
  <c r="G278" i="4"/>
  <c r="E246" i="4"/>
  <c r="F246" i="4" s="1"/>
  <c r="E247" i="4"/>
  <c r="F247" i="4" s="1"/>
  <c r="E248" i="4"/>
  <c r="F248" i="4" s="1"/>
  <c r="E249" i="4"/>
  <c r="F249" i="4" s="1"/>
  <c r="D191" i="4"/>
  <c r="E191" i="4" s="1"/>
  <c r="C191" i="4"/>
  <c r="E375" i="4" l="1"/>
  <c r="H11" i="3" l="1"/>
  <c r="C31" i="14"/>
  <c r="E31" i="14" s="1"/>
  <c r="C29" i="14"/>
  <c r="C26" i="14"/>
  <c r="C23" i="14"/>
  <c r="E23" i="14" s="1"/>
  <c r="E29" i="14" l="1"/>
  <c r="E26" i="14"/>
  <c r="C77" i="12"/>
  <c r="E77" i="12" s="1"/>
  <c r="C78" i="12"/>
  <c r="E78" i="12" s="1"/>
  <c r="C79" i="12"/>
  <c r="E79" i="12" s="1"/>
  <c r="C80" i="12"/>
  <c r="E80" i="12" s="1"/>
  <c r="B35" i="4"/>
  <c r="I29" i="4" s="1"/>
  <c r="K30" i="4"/>
  <c r="D30" i="4"/>
  <c r="K29" i="4"/>
  <c r="D29" i="4"/>
  <c r="K28" i="4"/>
  <c r="D28" i="4"/>
  <c r="K27" i="4"/>
  <c r="D27" i="4"/>
  <c r="I704" i="1"/>
  <c r="D723" i="1" s="1"/>
  <c r="K666" i="1"/>
  <c r="H666" i="1" s="1"/>
  <c r="X666" i="1"/>
  <c r="D647" i="1"/>
  <c r="C29" i="12"/>
  <c r="D131" i="1"/>
  <c r="E141" i="3"/>
  <c r="E142" i="3"/>
  <c r="E143" i="3"/>
  <c r="E144" i="3"/>
  <c r="E145" i="3"/>
  <c r="E140" i="3"/>
  <c r="E112" i="3"/>
  <c r="E113" i="3"/>
  <c r="E114" i="3"/>
  <c r="E115" i="3"/>
  <c r="E116" i="3"/>
  <c r="E111" i="3"/>
  <c r="E108" i="3"/>
  <c r="E109" i="3"/>
  <c r="E110" i="3"/>
  <c r="E107" i="3"/>
  <c r="E48" i="3"/>
  <c r="E64" i="3"/>
  <c r="E65" i="3"/>
  <c r="E66" i="3"/>
  <c r="E67" i="3"/>
  <c r="E68" i="3"/>
  <c r="E69" i="3"/>
  <c r="E70" i="3"/>
  <c r="E71" i="3"/>
  <c r="E63" i="3"/>
  <c r="H12" i="3"/>
  <c r="H13" i="3"/>
  <c r="H14" i="3"/>
  <c r="H15" i="3"/>
  <c r="H16" i="3"/>
  <c r="I12" i="3"/>
  <c r="I13" i="3"/>
  <c r="I14" i="3"/>
  <c r="I15" i="3"/>
  <c r="I16" i="3"/>
  <c r="I11" i="3"/>
  <c r="I8" i="3"/>
  <c r="I9" i="3"/>
  <c r="I10" i="3"/>
  <c r="I7" i="3"/>
  <c r="J29" i="4" l="1"/>
  <c r="L29" i="4" s="1"/>
  <c r="I28" i="4"/>
  <c r="J30" i="4"/>
  <c r="I27" i="4"/>
  <c r="J28" i="4"/>
  <c r="J27" i="4"/>
  <c r="I30" i="4"/>
  <c r="J704" i="1"/>
  <c r="K704" i="1" s="1"/>
  <c r="G723" i="1" s="1"/>
  <c r="E29" i="12"/>
  <c r="R28" i="4" l="1"/>
  <c r="P29" i="4"/>
  <c r="T29" i="4"/>
  <c r="S29" i="4"/>
  <c r="Q29" i="4"/>
  <c r="R29" i="4"/>
  <c r="T30" i="4"/>
  <c r="Q27" i="4"/>
  <c r="L30" i="4"/>
  <c r="R27" i="4"/>
  <c r="R30" i="4"/>
  <c r="P27" i="4"/>
  <c r="P30" i="4"/>
  <c r="L28" i="4"/>
  <c r="T28" i="4"/>
  <c r="P28" i="4"/>
  <c r="T27" i="4"/>
  <c r="L27" i="4"/>
  <c r="S30" i="4"/>
  <c r="Q28" i="4"/>
  <c r="S28" i="4"/>
  <c r="Q30" i="4"/>
  <c r="S27" i="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E108" i="14" s="1"/>
  <c r="C109" i="14"/>
  <c r="C110" i="14"/>
  <c r="C96" i="14"/>
  <c r="E96" i="14" s="1"/>
  <c r="G6" i="14"/>
  <c r="G77" i="14"/>
  <c r="B263" i="1"/>
  <c r="B264" i="1" s="1"/>
  <c r="D309" i="1"/>
  <c r="D308" i="1"/>
  <c r="D307" i="1"/>
  <c r="D306" i="1"/>
  <c r="D305" i="1"/>
  <c r="D304" i="1"/>
  <c r="D303" i="1"/>
  <c r="D302" i="1"/>
  <c r="I301" i="1"/>
  <c r="D301" i="1"/>
  <c r="E301" i="1" s="1"/>
  <c r="I300" i="1"/>
  <c r="J300" i="1" s="1"/>
  <c r="D300" i="1"/>
  <c r="E300" i="1" s="1"/>
  <c r="I299" i="1"/>
  <c r="J299" i="1" s="1"/>
  <c r="D299" i="1"/>
  <c r="I298" i="1"/>
  <c r="J298" i="1" s="1"/>
  <c r="D298" i="1"/>
  <c r="I297" i="1"/>
  <c r="D297" i="1"/>
  <c r="E297" i="1" s="1"/>
  <c r="F297" i="1" s="1"/>
  <c r="I296" i="1"/>
  <c r="D296" i="1"/>
  <c r="E296" i="1" s="1"/>
  <c r="F296" i="1" s="1"/>
  <c r="I295" i="1"/>
  <c r="D295" i="1"/>
  <c r="E295" i="1" s="1"/>
  <c r="I294" i="1"/>
  <c r="J294" i="1" s="1"/>
  <c r="K294" i="1" s="1"/>
  <c r="D294" i="1"/>
  <c r="E294" i="1" s="1"/>
  <c r="I289" i="1"/>
  <c r="D289" i="1"/>
  <c r="D288" i="1"/>
  <c r="I287" i="1"/>
  <c r="D287" i="1"/>
  <c r="D286" i="1"/>
  <c r="I285" i="1"/>
  <c r="D285" i="1"/>
  <c r="I284" i="1"/>
  <c r="D284" i="1"/>
  <c r="I283" i="1"/>
  <c r="D283" i="1"/>
  <c r="I282" i="1"/>
  <c r="D282" i="1"/>
  <c r="J281" i="1"/>
  <c r="E281" i="1"/>
  <c r="J280" i="1"/>
  <c r="E280" i="1"/>
  <c r="J279" i="1"/>
  <c r="E279" i="1"/>
  <c r="J278" i="1"/>
  <c r="E278" i="1"/>
  <c r="J277" i="1"/>
  <c r="K277" i="1" s="1"/>
  <c r="E277" i="1"/>
  <c r="F277" i="1" s="1"/>
  <c r="J276" i="1"/>
  <c r="K276" i="1" s="1"/>
  <c r="E276" i="1"/>
  <c r="F276" i="1" s="1"/>
  <c r="J275" i="1"/>
  <c r="K275" i="1" s="1"/>
  <c r="E275" i="1"/>
  <c r="F275" i="1" s="1"/>
  <c r="J274" i="1"/>
  <c r="K274" i="1" s="1"/>
  <c r="E274" i="1"/>
  <c r="F274" i="1" s="1"/>
  <c r="F57" i="14"/>
  <c r="G42" i="14"/>
  <c r="G41" i="14"/>
  <c r="E66" i="14"/>
  <c r="E65" i="14"/>
  <c r="E64" i="14"/>
  <c r="E63" i="14"/>
  <c r="E62" i="14"/>
  <c r="E61" i="14"/>
  <c r="E60" i="14"/>
  <c r="E59" i="14"/>
  <c r="E60" i="3"/>
  <c r="E57" i="3"/>
  <c r="E50" i="3"/>
  <c r="E51" i="3"/>
  <c r="E49" i="3"/>
  <c r="E46" i="3"/>
  <c r="E47" i="3"/>
  <c r="E43" i="3"/>
  <c r="E45" i="3"/>
  <c r="E44" i="3"/>
  <c r="E40" i="3"/>
  <c r="E38" i="3"/>
  <c r="E39" i="3"/>
  <c r="E41" i="3"/>
  <c r="E42" i="3"/>
  <c r="E37" i="3"/>
  <c r="I705" i="1"/>
  <c r="D724" i="1" s="1"/>
  <c r="K667" i="1"/>
  <c r="J705" i="1" s="1"/>
  <c r="K705" i="1" s="1"/>
  <c r="G724" i="1" s="1"/>
  <c r="D648" i="1"/>
  <c r="C30" i="12"/>
  <c r="D132" i="1"/>
  <c r="C21" i="13"/>
  <c r="C22" i="13"/>
  <c r="C23" i="13"/>
  <c r="C24" i="13"/>
  <c r="C25" i="13"/>
  <c r="C26" i="13"/>
  <c r="C20" i="13"/>
  <c r="K54" i="12"/>
  <c r="E283" i="1" l="1"/>
  <c r="H667" i="1"/>
  <c r="F294" i="1"/>
  <c r="L294" i="1" s="1"/>
  <c r="E314" i="1" s="1"/>
  <c r="T314" i="1" s="1"/>
  <c r="L275" i="1"/>
  <c r="B315" i="1" s="1"/>
  <c r="F315" i="1" s="1"/>
  <c r="F295" i="1"/>
  <c r="L276" i="1"/>
  <c r="B316" i="1" s="1"/>
  <c r="F316" i="1" s="1"/>
  <c r="L274" i="1"/>
  <c r="B314" i="1" s="1"/>
  <c r="F314" i="1" s="1"/>
  <c r="L277" i="1"/>
  <c r="B317" i="1" s="1"/>
  <c r="F317" i="1" s="1"/>
  <c r="J283" i="1"/>
  <c r="E286" i="1"/>
  <c r="E302" i="1"/>
  <c r="E306" i="1"/>
  <c r="E308" i="1"/>
  <c r="E284" i="1"/>
  <c r="J287" i="1"/>
  <c r="E282" i="1"/>
  <c r="J296" i="1"/>
  <c r="K296" i="1" s="1"/>
  <c r="L296" i="1" s="1"/>
  <c r="E316" i="1" s="1"/>
  <c r="E298" i="1"/>
  <c r="J302" i="1"/>
  <c r="J304" i="1"/>
  <c r="J306" i="1"/>
  <c r="J308" i="1"/>
  <c r="C267" i="1"/>
  <c r="J285" i="1"/>
  <c r="E288" i="1"/>
  <c r="E303" i="1"/>
  <c r="E305" i="1"/>
  <c r="E307" i="1"/>
  <c r="E309" i="1"/>
  <c r="J288" i="1"/>
  <c r="J286" i="1"/>
  <c r="C268" i="1"/>
  <c r="E285" i="1"/>
  <c r="B268" i="1"/>
  <c r="J284" i="1"/>
  <c r="E287" i="1"/>
  <c r="J289" i="1"/>
  <c r="E299" i="1"/>
  <c r="E304" i="1"/>
  <c r="B267" i="1"/>
  <c r="J282" i="1"/>
  <c r="E289" i="1"/>
  <c r="J295" i="1"/>
  <c r="K295" i="1" s="1"/>
  <c r="J301" i="1"/>
  <c r="J303" i="1"/>
  <c r="J305" i="1"/>
  <c r="J307" i="1"/>
  <c r="J309" i="1"/>
  <c r="J297" i="1"/>
  <c r="K297" i="1" s="1"/>
  <c r="L297" i="1" s="1"/>
  <c r="E317" i="1" s="1"/>
  <c r="E105" i="14"/>
  <c r="E102" i="14"/>
  <c r="E99" i="14"/>
  <c r="E30" i="12"/>
  <c r="E20" i="13"/>
  <c r="E25" i="13"/>
  <c r="E23" i="13"/>
  <c r="E21" i="13"/>
  <c r="E22" i="13"/>
  <c r="E24" i="13"/>
  <c r="E26" i="13"/>
  <c r="H52" i="12"/>
  <c r="H50" i="12"/>
  <c r="H5" i="12"/>
  <c r="B26" i="3"/>
  <c r="B27" i="3" s="1"/>
  <c r="B184" i="1"/>
  <c r="F94" i="14"/>
  <c r="F21" i="12"/>
  <c r="B66" i="1"/>
  <c r="B67" i="1" s="1"/>
  <c r="B631" i="1"/>
  <c r="J54" i="12"/>
  <c r="I54" i="12"/>
  <c r="H54" i="12"/>
  <c r="G54" i="12"/>
  <c r="F54" i="12"/>
  <c r="B49" i="4"/>
  <c r="B50" i="4" s="1"/>
  <c r="B115" i="1"/>
  <c r="B116" i="1" s="1"/>
  <c r="J115" i="4" l="1"/>
  <c r="J113" i="4"/>
  <c r="E83" i="4"/>
  <c r="E81" i="4"/>
  <c r="E113" i="4"/>
  <c r="J82" i="4"/>
  <c r="J84" i="4"/>
  <c r="E82" i="4"/>
  <c r="J114" i="4"/>
  <c r="J81" i="4"/>
  <c r="J83" i="4"/>
  <c r="E115" i="4"/>
  <c r="E116" i="4"/>
  <c r="J116" i="4"/>
  <c r="E84" i="4"/>
  <c r="E114" i="4"/>
  <c r="L295" i="1"/>
  <c r="E315" i="1" s="1"/>
  <c r="R315" i="1" s="1"/>
  <c r="Q314" i="1"/>
  <c r="J152" i="1"/>
  <c r="E152" i="1"/>
  <c r="J131" i="1"/>
  <c r="E131" i="1"/>
  <c r="P314" i="1"/>
  <c r="K299" i="1"/>
  <c r="B185" i="1"/>
  <c r="E211" i="1" s="1"/>
  <c r="K301" i="1"/>
  <c r="F299" i="1"/>
  <c r="F300" i="1"/>
  <c r="K300" i="1"/>
  <c r="F298" i="1"/>
  <c r="K298" i="1"/>
  <c r="F301" i="1"/>
  <c r="R317" i="1"/>
  <c r="T317" i="1"/>
  <c r="Q317" i="1"/>
  <c r="S317" i="1"/>
  <c r="P317" i="1"/>
  <c r="Q316" i="1"/>
  <c r="T316" i="1"/>
  <c r="S316" i="1"/>
  <c r="P316" i="1"/>
  <c r="R316" i="1"/>
  <c r="R314" i="1"/>
  <c r="F283" i="1"/>
  <c r="K284" i="1"/>
  <c r="K283" i="1"/>
  <c r="K285" i="1"/>
  <c r="F282" i="1"/>
  <c r="F285" i="1"/>
  <c r="F284" i="1"/>
  <c r="K282" i="1"/>
  <c r="S314" i="1"/>
  <c r="K305" i="1"/>
  <c r="K304" i="1"/>
  <c r="K303" i="1"/>
  <c r="K302" i="1"/>
  <c r="F304" i="1"/>
  <c r="F302" i="1"/>
  <c r="F305" i="1"/>
  <c r="F303" i="1"/>
  <c r="K288" i="1"/>
  <c r="K287" i="1"/>
  <c r="F289" i="1"/>
  <c r="F288" i="1"/>
  <c r="F287" i="1"/>
  <c r="F286" i="1"/>
  <c r="K286" i="1"/>
  <c r="K289" i="1"/>
  <c r="K309" i="1"/>
  <c r="K308" i="1"/>
  <c r="K307" i="1"/>
  <c r="K306" i="1"/>
  <c r="F308" i="1"/>
  <c r="F306" i="1"/>
  <c r="F309" i="1"/>
  <c r="L309" i="1" s="1"/>
  <c r="E329" i="1" s="1"/>
  <c r="F307" i="1"/>
  <c r="E132" i="1"/>
  <c r="J132" i="1"/>
  <c r="J153" i="1"/>
  <c r="E153" i="1"/>
  <c r="H78" i="1"/>
  <c r="H90" i="1"/>
  <c r="D81" i="1"/>
  <c r="D76" i="1"/>
  <c r="H92" i="1"/>
  <c r="H76" i="1"/>
  <c r="D90" i="1"/>
  <c r="H95" i="1"/>
  <c r="D92" i="1"/>
  <c r="H81" i="1"/>
  <c r="D95" i="1"/>
  <c r="D78" i="1"/>
  <c r="E110" i="14"/>
  <c r="E109" i="14"/>
  <c r="E107" i="14"/>
  <c r="E106" i="14"/>
  <c r="E104" i="14"/>
  <c r="E103" i="14"/>
  <c r="E101" i="14"/>
  <c r="E100" i="14"/>
  <c r="E98" i="14"/>
  <c r="E97" i="14"/>
  <c r="G78" i="14"/>
  <c r="C32" i="14"/>
  <c r="E32" i="14" s="1"/>
  <c r="C30" i="14"/>
  <c r="E30" i="14" s="1"/>
  <c r="C28" i="14"/>
  <c r="E28" i="14" s="1"/>
  <c r="C27" i="14"/>
  <c r="E27" i="14" s="1"/>
  <c r="C25" i="14"/>
  <c r="E25" i="14" s="1"/>
  <c r="C24" i="14"/>
  <c r="E24" i="14" s="1"/>
  <c r="F21" i="14"/>
  <c r="G7" i="14"/>
  <c r="M26" i="13"/>
  <c r="M24" i="13"/>
  <c r="M23" i="13"/>
  <c r="M21" i="13"/>
  <c r="M20" i="13"/>
  <c r="F18" i="13"/>
  <c r="G6" i="13"/>
  <c r="G5" i="13"/>
  <c r="E106" i="12"/>
  <c r="H90" i="12"/>
  <c r="H89" i="12"/>
  <c r="C82" i="12"/>
  <c r="E82" i="12" s="1"/>
  <c r="C81" i="12"/>
  <c r="E81" i="12" s="1"/>
  <c r="C76" i="12"/>
  <c r="E76" i="12" s="1"/>
  <c r="C75" i="12"/>
  <c r="E75" i="12" s="1"/>
  <c r="C74" i="12"/>
  <c r="E74" i="12" s="1"/>
  <c r="C73" i="12"/>
  <c r="E73" i="12" s="1"/>
  <c r="C72" i="12"/>
  <c r="E72" i="12" s="1"/>
  <c r="C71" i="12"/>
  <c r="E71" i="12" s="1"/>
  <c r="C70" i="12"/>
  <c r="E70" i="12" s="1"/>
  <c r="C69" i="12"/>
  <c r="E69" i="12" s="1"/>
  <c r="C68" i="12"/>
  <c r="E68" i="12" s="1"/>
  <c r="C67" i="12"/>
  <c r="E67" i="12" s="1"/>
  <c r="C66" i="12"/>
  <c r="E66" i="12" s="1"/>
  <c r="C65" i="12"/>
  <c r="E65" i="12" s="1"/>
  <c r="C64" i="12"/>
  <c r="E64" i="12" s="1"/>
  <c r="C63" i="12"/>
  <c r="E63" i="12" s="1"/>
  <c r="C62" i="12"/>
  <c r="E62" i="12" s="1"/>
  <c r="C61" i="12"/>
  <c r="E61" i="12" s="1"/>
  <c r="C60" i="12"/>
  <c r="E60" i="12" s="1"/>
  <c r="C59" i="12"/>
  <c r="E59" i="12" s="1"/>
  <c r="C58" i="12"/>
  <c r="E58" i="12" s="1"/>
  <c r="C57" i="12"/>
  <c r="E57" i="12" s="1"/>
  <c r="C56" i="12"/>
  <c r="E56" i="12" s="1"/>
  <c r="C55" i="12"/>
  <c r="F53" i="12"/>
  <c r="H51" i="12"/>
  <c r="C37" i="12"/>
  <c r="E37" i="12" s="1"/>
  <c r="C36" i="12"/>
  <c r="E36" i="12" s="1"/>
  <c r="C35" i="12"/>
  <c r="E35" i="12" s="1"/>
  <c r="C34" i="12"/>
  <c r="E34" i="12" s="1"/>
  <c r="C33" i="12"/>
  <c r="E33" i="12" s="1"/>
  <c r="C32" i="12"/>
  <c r="E32" i="12" s="1"/>
  <c r="C31" i="12"/>
  <c r="E31" i="12" s="1"/>
  <c r="C28" i="12"/>
  <c r="E28" i="12" s="1"/>
  <c r="C27" i="12"/>
  <c r="E27" i="12" s="1"/>
  <c r="C26" i="12"/>
  <c r="E26" i="12" s="1"/>
  <c r="C25" i="12"/>
  <c r="E25" i="12" s="1"/>
  <c r="C24" i="12"/>
  <c r="E24" i="12" s="1"/>
  <c r="C23" i="12"/>
  <c r="E23" i="12" s="1"/>
  <c r="H6" i="12"/>
  <c r="M183" i="6"/>
  <c r="B183" i="6"/>
  <c r="M182" i="6"/>
  <c r="B182" i="6"/>
  <c r="M181" i="6"/>
  <c r="B181" i="6"/>
  <c r="M180" i="6"/>
  <c r="B180" i="6"/>
  <c r="M179" i="6"/>
  <c r="B179" i="6"/>
  <c r="M178" i="6"/>
  <c r="B178" i="6"/>
  <c r="M177" i="6"/>
  <c r="B177" i="6"/>
  <c r="M176" i="6"/>
  <c r="B176" i="6"/>
  <c r="M175" i="6"/>
  <c r="B175" i="6"/>
  <c r="M174" i="6"/>
  <c r="B174" i="6"/>
  <c r="M141" i="6"/>
  <c r="B141" i="6"/>
  <c r="M140" i="6"/>
  <c r="B140" i="6"/>
  <c r="M139" i="6"/>
  <c r="B139" i="6"/>
  <c r="M138" i="6"/>
  <c r="B138" i="6"/>
  <c r="M137" i="6"/>
  <c r="B137" i="6"/>
  <c r="M136" i="6"/>
  <c r="B136" i="6"/>
  <c r="M116" i="6"/>
  <c r="B116" i="6"/>
  <c r="M115" i="6"/>
  <c r="B115" i="6"/>
  <c r="M114" i="6"/>
  <c r="B114" i="6"/>
  <c r="M113" i="6"/>
  <c r="B113" i="6"/>
  <c r="M112" i="6"/>
  <c r="B112" i="6"/>
  <c r="M97" i="6"/>
  <c r="B97" i="6"/>
  <c r="M96" i="6"/>
  <c r="B96" i="6"/>
  <c r="M95" i="6"/>
  <c r="B95" i="6"/>
  <c r="M94" i="6"/>
  <c r="B94" i="6"/>
  <c r="M93" i="6"/>
  <c r="B93" i="6"/>
  <c r="M92" i="6"/>
  <c r="B92" i="6"/>
  <c r="M91" i="6"/>
  <c r="B91" i="6"/>
  <c r="M90" i="6"/>
  <c r="B90" i="6"/>
  <c r="M89" i="6"/>
  <c r="B89" i="6"/>
  <c r="M88" i="6"/>
  <c r="B88" i="6"/>
  <c r="M87" i="6"/>
  <c r="B87" i="6"/>
  <c r="M86" i="6"/>
  <c r="B86" i="6"/>
  <c r="M85" i="6"/>
  <c r="B85" i="6"/>
  <c r="M84" i="6"/>
  <c r="B84" i="6"/>
  <c r="M83" i="6"/>
  <c r="B83" i="6"/>
  <c r="M82" i="6"/>
  <c r="B82" i="6"/>
  <c r="M81" i="6"/>
  <c r="B81" i="6"/>
  <c r="M80" i="6"/>
  <c r="B80" i="6"/>
  <c r="M79" i="6"/>
  <c r="B79" i="6"/>
  <c r="M78" i="6"/>
  <c r="B78" i="6"/>
  <c r="M77" i="6"/>
  <c r="B77" i="6"/>
  <c r="M76" i="6"/>
  <c r="B76" i="6"/>
  <c r="M75" i="6"/>
  <c r="B75" i="6"/>
  <c r="M74" i="6"/>
  <c r="B74" i="6"/>
  <c r="M66" i="6"/>
  <c r="B66" i="6"/>
  <c r="M65" i="6"/>
  <c r="B65" i="6"/>
  <c r="M64" i="6"/>
  <c r="B64" i="6"/>
  <c r="M63" i="6"/>
  <c r="B63" i="6"/>
  <c r="M62" i="6"/>
  <c r="B62" i="6"/>
  <c r="M61" i="6"/>
  <c r="B61" i="6"/>
  <c r="M60" i="6"/>
  <c r="B60" i="6"/>
  <c r="M59" i="6"/>
  <c r="B59" i="6"/>
  <c r="M58" i="6"/>
  <c r="B58" i="6"/>
  <c r="M57" i="6"/>
  <c r="B57" i="6"/>
  <c r="M56" i="6"/>
  <c r="B56" i="6"/>
  <c r="M55" i="6"/>
  <c r="B55" i="6"/>
  <c r="M54" i="6"/>
  <c r="B54" i="6"/>
  <c r="M53" i="6"/>
  <c r="B53" i="6"/>
  <c r="M52" i="6"/>
  <c r="B52" i="6"/>
  <c r="M51" i="6"/>
  <c r="B51" i="6"/>
  <c r="M50" i="6"/>
  <c r="B50" i="6"/>
  <c r="M49" i="6"/>
  <c r="B49" i="6"/>
  <c r="M48" i="6"/>
  <c r="B48" i="6"/>
  <c r="M47" i="6"/>
  <c r="B47" i="6"/>
  <c r="M46" i="6"/>
  <c r="B46" i="6"/>
  <c r="M45" i="6"/>
  <c r="B45" i="6"/>
  <c r="M44" i="6"/>
  <c r="B44" i="6"/>
  <c r="M43" i="6"/>
  <c r="B43" i="6"/>
  <c r="M30" i="6"/>
  <c r="B30" i="6"/>
  <c r="M29" i="6"/>
  <c r="B29" i="6"/>
  <c r="M28" i="6"/>
  <c r="B28" i="6"/>
  <c r="M27" i="6"/>
  <c r="B27" i="6"/>
  <c r="M26" i="6"/>
  <c r="B26" i="6"/>
  <c r="M25" i="6"/>
  <c r="B25" i="6"/>
  <c r="M24" i="6"/>
  <c r="B24" i="6"/>
  <c r="M23" i="6"/>
  <c r="B23" i="6"/>
  <c r="M22" i="6"/>
  <c r="B22" i="6"/>
  <c r="M21" i="6"/>
  <c r="B21" i="6"/>
  <c r="M20" i="6"/>
  <c r="B20" i="6"/>
  <c r="M19" i="6"/>
  <c r="B19" i="6"/>
  <c r="M18" i="6"/>
  <c r="B18" i="6"/>
  <c r="L59" i="8"/>
  <c r="C59" i="8"/>
  <c r="L58" i="8"/>
  <c r="C58" i="8"/>
  <c r="L57" i="8"/>
  <c r="C57" i="8"/>
  <c r="L56" i="8"/>
  <c r="C56" i="8"/>
  <c r="L55" i="8"/>
  <c r="C55" i="8"/>
  <c r="L54" i="8"/>
  <c r="C54" i="8"/>
  <c r="L53" i="8"/>
  <c r="C53" i="8"/>
  <c r="L52" i="8"/>
  <c r="C52" i="8"/>
  <c r="L51" i="8"/>
  <c r="C51" i="8"/>
  <c r="L50" i="8"/>
  <c r="C50" i="8"/>
  <c r="E48" i="8"/>
  <c r="G34" i="8"/>
  <c r="G33" i="8"/>
  <c r="L26" i="8"/>
  <c r="C26" i="8"/>
  <c r="L25" i="8"/>
  <c r="C25" i="8"/>
  <c r="L24" i="8"/>
  <c r="C24" i="8"/>
  <c r="L23" i="8"/>
  <c r="C23" i="8"/>
  <c r="L22" i="8"/>
  <c r="C22" i="8"/>
  <c r="L21" i="8"/>
  <c r="C21" i="8"/>
  <c r="E19" i="8"/>
  <c r="G6" i="8"/>
  <c r="G5" i="8"/>
  <c r="M22" i="7"/>
  <c r="C22" i="7"/>
  <c r="M21" i="7"/>
  <c r="C21" i="7"/>
  <c r="M20" i="7"/>
  <c r="C20" i="7"/>
  <c r="M19" i="7"/>
  <c r="C19" i="7"/>
  <c r="M18" i="7"/>
  <c r="C18" i="7"/>
  <c r="E16" i="7"/>
  <c r="G6" i="7"/>
  <c r="G5" i="7"/>
  <c r="E85" i="5"/>
  <c r="G71" i="5"/>
  <c r="G70" i="5"/>
  <c r="L68" i="5"/>
  <c r="C68" i="5"/>
  <c r="L67" i="5"/>
  <c r="C67" i="5"/>
  <c r="L66" i="5"/>
  <c r="C66" i="5"/>
  <c r="L65" i="5"/>
  <c r="C65" i="5"/>
  <c r="L64" i="5"/>
  <c r="C64" i="5"/>
  <c r="L63" i="5"/>
  <c r="C63" i="5"/>
  <c r="L62" i="5"/>
  <c r="C62" i="5"/>
  <c r="L61" i="5"/>
  <c r="C61" i="5"/>
  <c r="L60" i="5"/>
  <c r="C60" i="5"/>
  <c r="L59" i="5"/>
  <c r="C59" i="5"/>
  <c r="L58" i="5"/>
  <c r="C58" i="5"/>
  <c r="L57" i="5"/>
  <c r="C57" i="5"/>
  <c r="L56" i="5"/>
  <c r="C56" i="5"/>
  <c r="L55" i="5"/>
  <c r="C55" i="5"/>
  <c r="L54" i="5"/>
  <c r="C54" i="5"/>
  <c r="L53" i="5"/>
  <c r="C53" i="5"/>
  <c r="L52" i="5"/>
  <c r="C52" i="5"/>
  <c r="L51" i="5"/>
  <c r="C51" i="5"/>
  <c r="L50" i="5"/>
  <c r="C50" i="5"/>
  <c r="L49" i="5"/>
  <c r="C49" i="5"/>
  <c r="L48" i="5"/>
  <c r="C48" i="5"/>
  <c r="L47" i="5"/>
  <c r="C47" i="5"/>
  <c r="L46" i="5"/>
  <c r="C46" i="5"/>
  <c r="L45" i="5"/>
  <c r="C45" i="5"/>
  <c r="I44" i="5"/>
  <c r="H44" i="5"/>
  <c r="G44" i="5"/>
  <c r="F44" i="5"/>
  <c r="E44" i="5"/>
  <c r="E43" i="5"/>
  <c r="G41" i="5"/>
  <c r="G40" i="5"/>
  <c r="L31" i="5"/>
  <c r="C31" i="5"/>
  <c r="L30" i="5"/>
  <c r="C30" i="5"/>
  <c r="L29" i="5"/>
  <c r="C29" i="5"/>
  <c r="L28" i="5"/>
  <c r="C28" i="5"/>
  <c r="L27" i="5"/>
  <c r="C27" i="5"/>
  <c r="L26" i="5"/>
  <c r="C26" i="5"/>
  <c r="L25" i="5"/>
  <c r="C25" i="5"/>
  <c r="L24" i="5"/>
  <c r="C24" i="5"/>
  <c r="L23" i="5"/>
  <c r="C23" i="5"/>
  <c r="L22" i="5"/>
  <c r="C22" i="5"/>
  <c r="L21" i="5"/>
  <c r="C21" i="5"/>
  <c r="L20" i="5"/>
  <c r="C20" i="5"/>
  <c r="L19" i="5"/>
  <c r="C19" i="5"/>
  <c r="E17" i="5"/>
  <c r="G6" i="5"/>
  <c r="G5" i="5"/>
  <c r="B447" i="4"/>
  <c r="G439" i="4" s="1"/>
  <c r="I433" i="4"/>
  <c r="I432" i="4"/>
  <c r="I430" i="4"/>
  <c r="I429" i="4"/>
  <c r="I428" i="4"/>
  <c r="I427" i="4"/>
  <c r="I426" i="4"/>
  <c r="I425" i="4"/>
  <c r="I424" i="4"/>
  <c r="B402" i="4"/>
  <c r="E413" i="4" s="1"/>
  <c r="F413" i="4" s="1"/>
  <c r="B383" i="4"/>
  <c r="E397" i="4" s="1"/>
  <c r="F397" i="4" s="1"/>
  <c r="Q330" i="4"/>
  <c r="P330" i="4"/>
  <c r="O330" i="4"/>
  <c r="N330" i="4"/>
  <c r="Q329" i="4"/>
  <c r="P329" i="4"/>
  <c r="O329" i="4"/>
  <c r="N329" i="4"/>
  <c r="Q328" i="4"/>
  <c r="P328" i="4"/>
  <c r="O328" i="4"/>
  <c r="Q327" i="4"/>
  <c r="P327" i="4"/>
  <c r="O327" i="4"/>
  <c r="Q326" i="4"/>
  <c r="P326" i="4"/>
  <c r="O326" i="4"/>
  <c r="Q325" i="4"/>
  <c r="P325" i="4"/>
  <c r="O325" i="4"/>
  <c r="Q324" i="4"/>
  <c r="P324" i="4"/>
  <c r="O324" i="4"/>
  <c r="Q323" i="4"/>
  <c r="P323" i="4"/>
  <c r="O323" i="4"/>
  <c r="Q322" i="4"/>
  <c r="P322" i="4"/>
  <c r="O322" i="4"/>
  <c r="Q321" i="4"/>
  <c r="P321" i="4"/>
  <c r="O321" i="4"/>
  <c r="Q320" i="4"/>
  <c r="P320" i="4"/>
  <c r="O320" i="4"/>
  <c r="H266" i="4"/>
  <c r="H265" i="4"/>
  <c r="Q264" i="4"/>
  <c r="P264" i="4"/>
  <c r="O264" i="4"/>
  <c r="Q263" i="4"/>
  <c r="P263" i="4"/>
  <c r="O263" i="4"/>
  <c r="Q262" i="4"/>
  <c r="P262" i="4"/>
  <c r="O262" i="4"/>
  <c r="Q261" i="4"/>
  <c r="P261" i="4"/>
  <c r="O261" i="4"/>
  <c r="Q260" i="4"/>
  <c r="P260" i="4"/>
  <c r="O260" i="4"/>
  <c r="Q259" i="4"/>
  <c r="P259" i="4"/>
  <c r="O259" i="4"/>
  <c r="Q258" i="4"/>
  <c r="P258" i="4"/>
  <c r="O258" i="4"/>
  <c r="Q257" i="4"/>
  <c r="P257" i="4"/>
  <c r="O257" i="4"/>
  <c r="Q256" i="4"/>
  <c r="P256" i="4"/>
  <c r="O256" i="4"/>
  <c r="B215" i="4"/>
  <c r="E315" i="4" s="1"/>
  <c r="B207" i="4"/>
  <c r="C203" i="4"/>
  <c r="C202" i="4"/>
  <c r="D193" i="4"/>
  <c r="E193" i="4" s="1"/>
  <c r="C193" i="4"/>
  <c r="D192" i="4"/>
  <c r="E192" i="4" s="1"/>
  <c r="C192" i="4"/>
  <c r="D190" i="4"/>
  <c r="E190" i="4" s="1"/>
  <c r="C190" i="4"/>
  <c r="D189" i="4"/>
  <c r="E189" i="4" s="1"/>
  <c r="C189" i="4"/>
  <c r="B159" i="4"/>
  <c r="G165" i="4" s="1"/>
  <c r="I139" i="4"/>
  <c r="E67" i="4"/>
  <c r="B45" i="4"/>
  <c r="F42" i="4" s="1"/>
  <c r="K42" i="4" s="1"/>
  <c r="I40" i="4"/>
  <c r="I39" i="4"/>
  <c r="I32" i="4"/>
  <c r="K32" i="4"/>
  <c r="C32" i="4"/>
  <c r="D32" i="4" s="1"/>
  <c r="C31" i="4"/>
  <c r="D31" i="4" s="1"/>
  <c r="K26" i="4"/>
  <c r="D26" i="4"/>
  <c r="E26" i="4" s="1"/>
  <c r="K25" i="4"/>
  <c r="D25" i="4"/>
  <c r="E25" i="4" s="1"/>
  <c r="K24" i="4"/>
  <c r="D24" i="4"/>
  <c r="E24" i="4" s="1"/>
  <c r="K23" i="4"/>
  <c r="D23" i="4"/>
  <c r="E23" i="4" s="1"/>
  <c r="K22" i="4"/>
  <c r="D22" i="4"/>
  <c r="E22" i="4" s="1"/>
  <c r="K21" i="4"/>
  <c r="D21" i="4"/>
  <c r="K20" i="4"/>
  <c r="D20" i="4"/>
  <c r="K19" i="4"/>
  <c r="D19" i="4"/>
  <c r="K18" i="4"/>
  <c r="D18" i="4"/>
  <c r="K17" i="4"/>
  <c r="D17" i="4"/>
  <c r="K16" i="4"/>
  <c r="D16" i="4"/>
  <c r="K15" i="4"/>
  <c r="I15" i="4"/>
  <c r="D15" i="4"/>
  <c r="E15" i="4" s="1"/>
  <c r="B15" i="4"/>
  <c r="K14" i="4"/>
  <c r="I14" i="4"/>
  <c r="D14" i="4"/>
  <c r="E14" i="4" s="1"/>
  <c r="B14" i="4"/>
  <c r="K13" i="4"/>
  <c r="D13" i="4"/>
  <c r="E13" i="4" s="1"/>
  <c r="B13" i="4"/>
  <c r="K12" i="4"/>
  <c r="D12" i="4"/>
  <c r="E12" i="4" s="1"/>
  <c r="B12" i="4"/>
  <c r="K11" i="4"/>
  <c r="I11" i="4"/>
  <c r="D11" i="4"/>
  <c r="E11" i="4" s="1"/>
  <c r="B11" i="4"/>
  <c r="K10" i="4"/>
  <c r="D10" i="4"/>
  <c r="B10" i="4"/>
  <c r="K9" i="4"/>
  <c r="D9" i="4"/>
  <c r="B9" i="4"/>
  <c r="K8" i="4"/>
  <c r="D8" i="4"/>
  <c r="B8" i="4"/>
  <c r="K7" i="4"/>
  <c r="D7" i="4"/>
  <c r="B7" i="4"/>
  <c r="K6" i="4"/>
  <c r="D6" i="4"/>
  <c r="B6" i="4"/>
  <c r="I5" i="4"/>
  <c r="D5" i="4"/>
  <c r="B5" i="4"/>
  <c r="I150" i="3"/>
  <c r="I151" i="3" s="1"/>
  <c r="I152" i="3" s="1"/>
  <c r="I153" i="3" s="1"/>
  <c r="I154" i="3" s="1"/>
  <c r="I155" i="3" s="1"/>
  <c r="I156" i="3" s="1"/>
  <c r="I157" i="3" s="1"/>
  <c r="I158" i="3" s="1"/>
  <c r="I159" i="3" s="1"/>
  <c r="E139" i="3"/>
  <c r="E138" i="3"/>
  <c r="E137" i="3"/>
  <c r="E136" i="3"/>
  <c r="G124" i="3"/>
  <c r="G125" i="3" s="1"/>
  <c r="G126" i="3" s="1"/>
  <c r="G127" i="3" s="1"/>
  <c r="G128" i="3" s="1"/>
  <c r="G129" i="3" s="1"/>
  <c r="G130" i="3" s="1"/>
  <c r="G131" i="3" s="1"/>
  <c r="G123" i="3"/>
  <c r="F118" i="3"/>
  <c r="E62" i="3"/>
  <c r="E61" i="3"/>
  <c r="E59" i="3"/>
  <c r="E58" i="3"/>
  <c r="B96" i="3"/>
  <c r="B9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H10" i="3"/>
  <c r="F10" i="3"/>
  <c r="G10" i="3" s="1"/>
  <c r="H9" i="3"/>
  <c r="F9" i="3"/>
  <c r="G9" i="3" s="1"/>
  <c r="H8" i="3"/>
  <c r="F8" i="3"/>
  <c r="G8" i="3" s="1"/>
  <c r="H7" i="3"/>
  <c r="F7" i="3"/>
  <c r="G7" i="3" s="1"/>
  <c r="AN962" i="1"/>
  <c r="AM962" i="1"/>
  <c r="AC962" i="1"/>
  <c r="AN961" i="1"/>
  <c r="AM961" i="1"/>
  <c r="AC961" i="1"/>
  <c r="AN960" i="1"/>
  <c r="AM960" i="1"/>
  <c r="AC960" i="1"/>
  <c r="AN959" i="1"/>
  <c r="AM959" i="1"/>
  <c r="AC959" i="1"/>
  <c r="AN958" i="1"/>
  <c r="AM958" i="1"/>
  <c r="AC958" i="1"/>
  <c r="AN957" i="1"/>
  <c r="AM957" i="1"/>
  <c r="AC957" i="1"/>
  <c r="AN956" i="1"/>
  <c r="AM956" i="1"/>
  <c r="AE956" i="1"/>
  <c r="AC956" i="1"/>
  <c r="U956" i="1"/>
  <c r="AN955" i="1"/>
  <c r="AM955" i="1"/>
  <c r="AC955" i="1"/>
  <c r="AN954" i="1"/>
  <c r="AM954" i="1"/>
  <c r="AC954" i="1"/>
  <c r="AN953" i="1"/>
  <c r="AM953" i="1"/>
  <c r="AC953" i="1"/>
  <c r="AN950" i="1"/>
  <c r="AM950" i="1"/>
  <c r="AC950" i="1"/>
  <c r="AN949" i="1"/>
  <c r="AM949" i="1"/>
  <c r="AC949" i="1"/>
  <c r="AN948" i="1"/>
  <c r="AM948" i="1"/>
  <c r="AC948" i="1"/>
  <c r="AN947" i="1"/>
  <c r="AM947" i="1"/>
  <c r="AC947" i="1"/>
  <c r="AN946" i="1"/>
  <c r="AM946" i="1"/>
  <c r="AC946" i="1"/>
  <c r="AN945" i="1"/>
  <c r="AM945" i="1"/>
  <c r="AC945" i="1"/>
  <c r="AN944" i="1"/>
  <c r="AM944" i="1"/>
  <c r="AE944" i="1"/>
  <c r="AC944" i="1"/>
  <c r="U944" i="1"/>
  <c r="AN943" i="1"/>
  <c r="AM943" i="1"/>
  <c r="AC943" i="1"/>
  <c r="AN942" i="1"/>
  <c r="AM942" i="1"/>
  <c r="AC942" i="1"/>
  <c r="AN941" i="1"/>
  <c r="AM941" i="1"/>
  <c r="AC941" i="1"/>
  <c r="U941" i="1"/>
  <c r="U929" i="1" s="1"/>
  <c r="U917" i="1" s="1"/>
  <c r="U940" i="1"/>
  <c r="U928" i="1" s="1"/>
  <c r="U916" i="1" s="1"/>
  <c r="AN938" i="1"/>
  <c r="AM938" i="1"/>
  <c r="AC938" i="1"/>
  <c r="AN937" i="1"/>
  <c r="AM937" i="1"/>
  <c r="AC937" i="1"/>
  <c r="AN936" i="1"/>
  <c r="AM936" i="1"/>
  <c r="AC936" i="1"/>
  <c r="AN935" i="1"/>
  <c r="AM935" i="1"/>
  <c r="AC935" i="1"/>
  <c r="AN934" i="1"/>
  <c r="AM934" i="1"/>
  <c r="AC934" i="1"/>
  <c r="AN933" i="1"/>
  <c r="AM933" i="1"/>
  <c r="AC933" i="1"/>
  <c r="AN932" i="1"/>
  <c r="AM932" i="1"/>
  <c r="AE932" i="1"/>
  <c r="AC932" i="1"/>
  <c r="U932" i="1"/>
  <c r="AN931" i="1"/>
  <c r="AM931" i="1"/>
  <c r="AC931" i="1"/>
  <c r="AN930" i="1"/>
  <c r="AM930" i="1"/>
  <c r="AC930" i="1"/>
  <c r="AN929" i="1"/>
  <c r="AM929" i="1"/>
  <c r="AC929" i="1"/>
  <c r="AN926" i="1"/>
  <c r="AM926" i="1"/>
  <c r="AC926" i="1"/>
  <c r="AN925" i="1"/>
  <c r="AM925" i="1"/>
  <c r="AC925" i="1"/>
  <c r="AN924" i="1"/>
  <c r="AM924" i="1"/>
  <c r="AC924" i="1"/>
  <c r="AN923" i="1"/>
  <c r="AM923" i="1"/>
  <c r="AC923" i="1"/>
  <c r="AN922" i="1"/>
  <c r="AM922" i="1"/>
  <c r="AC922" i="1"/>
  <c r="AN921" i="1"/>
  <c r="AM921" i="1"/>
  <c r="AC921" i="1"/>
  <c r="AN920" i="1"/>
  <c r="AM920" i="1"/>
  <c r="AE920" i="1"/>
  <c r="AC920" i="1"/>
  <c r="U920" i="1"/>
  <c r="AN919" i="1"/>
  <c r="AM919" i="1"/>
  <c r="AC919" i="1"/>
  <c r="AN918" i="1"/>
  <c r="AM918" i="1"/>
  <c r="AC918" i="1"/>
  <c r="AN917" i="1"/>
  <c r="AM917" i="1"/>
  <c r="AC917" i="1"/>
  <c r="AN913" i="1"/>
  <c r="AM913" i="1"/>
  <c r="AC913" i="1"/>
  <c r="AN912" i="1"/>
  <c r="AM912" i="1"/>
  <c r="AC912" i="1"/>
  <c r="AN911" i="1"/>
  <c r="AM911" i="1"/>
  <c r="AC911" i="1"/>
  <c r="AN910" i="1"/>
  <c r="AM910" i="1"/>
  <c r="AE910" i="1"/>
  <c r="AC910" i="1"/>
  <c r="U910" i="1"/>
  <c r="AN909" i="1"/>
  <c r="AM909" i="1"/>
  <c r="AC909" i="1"/>
  <c r="B909" i="1"/>
  <c r="E906" i="1" s="1"/>
  <c r="AN908" i="1"/>
  <c r="AM908" i="1"/>
  <c r="AC908" i="1"/>
  <c r="AN902" i="1"/>
  <c r="AM902" i="1"/>
  <c r="AC902" i="1"/>
  <c r="AN896" i="1"/>
  <c r="AM896" i="1"/>
  <c r="AC896" i="1"/>
  <c r="I895" i="1"/>
  <c r="I894" i="1"/>
  <c r="I892" i="1"/>
  <c r="I891" i="1"/>
  <c r="AN890" i="1"/>
  <c r="AM890" i="1"/>
  <c r="AC890" i="1"/>
  <c r="I890" i="1"/>
  <c r="I889" i="1"/>
  <c r="I888" i="1"/>
  <c r="I887" i="1"/>
  <c r="AN886" i="1"/>
  <c r="AM886" i="1"/>
  <c r="AC886" i="1"/>
  <c r="I886" i="1"/>
  <c r="AN885" i="1"/>
  <c r="AM885" i="1"/>
  <c r="AE885" i="1"/>
  <c r="AC885" i="1"/>
  <c r="U885" i="1"/>
  <c r="AN884" i="1"/>
  <c r="AM884" i="1"/>
  <c r="AC884" i="1"/>
  <c r="AN883" i="1"/>
  <c r="AM883" i="1"/>
  <c r="AC883" i="1"/>
  <c r="AN882" i="1"/>
  <c r="AM882" i="1"/>
  <c r="AC882" i="1"/>
  <c r="AN878" i="1"/>
  <c r="AM878" i="1"/>
  <c r="AC878" i="1"/>
  <c r="AN877" i="1"/>
  <c r="AM877" i="1"/>
  <c r="AE877" i="1"/>
  <c r="AC877" i="1"/>
  <c r="U877" i="1"/>
  <c r="AN876" i="1"/>
  <c r="AM876" i="1"/>
  <c r="AC876" i="1"/>
  <c r="AN875" i="1"/>
  <c r="AM875" i="1"/>
  <c r="AC875" i="1"/>
  <c r="AN874" i="1"/>
  <c r="AM874" i="1"/>
  <c r="AC874" i="1"/>
  <c r="AN870" i="1"/>
  <c r="AM870" i="1"/>
  <c r="AC870" i="1"/>
  <c r="AN869" i="1"/>
  <c r="AM869" i="1"/>
  <c r="AC869" i="1"/>
  <c r="AN868" i="1"/>
  <c r="AM868" i="1"/>
  <c r="AC868" i="1"/>
  <c r="AN867" i="1"/>
  <c r="AM867" i="1"/>
  <c r="AE867" i="1"/>
  <c r="AC867" i="1"/>
  <c r="U867" i="1"/>
  <c r="AN866" i="1"/>
  <c r="AM866" i="1"/>
  <c r="AC866" i="1"/>
  <c r="AN865" i="1"/>
  <c r="AM865" i="1"/>
  <c r="AC865" i="1"/>
  <c r="AN864" i="1"/>
  <c r="AM864" i="1"/>
  <c r="AC864" i="1"/>
  <c r="D836" i="1"/>
  <c r="D835" i="1"/>
  <c r="D834" i="1"/>
  <c r="D833" i="1"/>
  <c r="D832" i="1"/>
  <c r="D831" i="1"/>
  <c r="D830" i="1"/>
  <c r="D829" i="1"/>
  <c r="F812" i="1"/>
  <c r="B782" i="1"/>
  <c r="E803" i="1" s="1"/>
  <c r="B754" i="1"/>
  <c r="E764" i="1" s="1"/>
  <c r="F764" i="1" s="1"/>
  <c r="B735" i="1"/>
  <c r="E740" i="1" s="1"/>
  <c r="F740" i="1" s="1"/>
  <c r="AA713" i="1"/>
  <c r="Z713" i="1"/>
  <c r="Y713" i="1"/>
  <c r="X713" i="1"/>
  <c r="AA712" i="1"/>
  <c r="Z712" i="1"/>
  <c r="Y712" i="1"/>
  <c r="X712" i="1"/>
  <c r="AA711" i="1"/>
  <c r="Z711" i="1"/>
  <c r="Y711" i="1"/>
  <c r="AA710" i="1"/>
  <c r="Z710" i="1"/>
  <c r="Y710" i="1"/>
  <c r="AA709" i="1"/>
  <c r="Z709" i="1"/>
  <c r="Y709" i="1"/>
  <c r="AA708" i="1"/>
  <c r="Z708" i="1"/>
  <c r="Y708" i="1"/>
  <c r="AA707" i="1"/>
  <c r="Z707" i="1"/>
  <c r="Y707" i="1"/>
  <c r="I707" i="1"/>
  <c r="D726" i="1" s="1"/>
  <c r="AA706" i="1"/>
  <c r="Z706" i="1"/>
  <c r="Y706" i="1"/>
  <c r="I706" i="1"/>
  <c r="D725" i="1" s="1"/>
  <c r="AA703" i="1"/>
  <c r="Z703" i="1"/>
  <c r="Y703" i="1"/>
  <c r="AA702" i="1"/>
  <c r="Z702" i="1"/>
  <c r="Y702" i="1"/>
  <c r="AA701" i="1"/>
  <c r="Z701" i="1"/>
  <c r="Y701" i="1"/>
  <c r="AA700" i="1"/>
  <c r="Z700" i="1"/>
  <c r="Y700" i="1"/>
  <c r="AA699" i="1"/>
  <c r="Z699" i="1"/>
  <c r="Y699" i="1"/>
  <c r="AA674" i="1"/>
  <c r="Z674" i="1"/>
  <c r="Y674" i="1"/>
  <c r="X674" i="1"/>
  <c r="K674" i="1"/>
  <c r="J712" i="1" s="1"/>
  <c r="AA673" i="1"/>
  <c r="Z673" i="1"/>
  <c r="Y673" i="1"/>
  <c r="X673" i="1"/>
  <c r="K673" i="1"/>
  <c r="J711" i="1" s="1"/>
  <c r="AA672" i="1"/>
  <c r="Z672" i="1"/>
  <c r="Y672" i="1"/>
  <c r="X672" i="1"/>
  <c r="K672" i="1"/>
  <c r="H672" i="1" s="1"/>
  <c r="AA671" i="1"/>
  <c r="Z671" i="1"/>
  <c r="Y671" i="1"/>
  <c r="X671" i="1"/>
  <c r="K671" i="1"/>
  <c r="J709" i="1" s="1"/>
  <c r="AA670" i="1"/>
  <c r="Z670" i="1"/>
  <c r="Y670" i="1"/>
  <c r="X670" i="1"/>
  <c r="K670" i="1"/>
  <c r="J708" i="1" s="1"/>
  <c r="X669" i="1"/>
  <c r="K669" i="1"/>
  <c r="H669" i="1" s="1"/>
  <c r="X668" i="1"/>
  <c r="K668" i="1"/>
  <c r="H668" i="1" s="1"/>
  <c r="AA665" i="1"/>
  <c r="Z665" i="1"/>
  <c r="Y665" i="1"/>
  <c r="X665" i="1"/>
  <c r="K665" i="1"/>
  <c r="H665" i="1" s="1"/>
  <c r="AA664" i="1"/>
  <c r="Z664" i="1"/>
  <c r="Y664" i="1"/>
  <c r="X664" i="1"/>
  <c r="K664" i="1"/>
  <c r="J702" i="1" s="1"/>
  <c r="AA663" i="1"/>
  <c r="Z663" i="1"/>
  <c r="Y663" i="1"/>
  <c r="X663" i="1"/>
  <c r="K663" i="1"/>
  <c r="J701" i="1" s="1"/>
  <c r="AA662" i="1"/>
  <c r="Z662" i="1"/>
  <c r="Y662" i="1"/>
  <c r="X662" i="1"/>
  <c r="K662" i="1"/>
  <c r="H662" i="1" s="1"/>
  <c r="AA661" i="1"/>
  <c r="Z661" i="1"/>
  <c r="Y661" i="1"/>
  <c r="X661" i="1"/>
  <c r="K661" i="1"/>
  <c r="J699" i="1" s="1"/>
  <c r="AA660" i="1"/>
  <c r="Z660" i="1"/>
  <c r="Y660" i="1"/>
  <c r="X660" i="1"/>
  <c r="K660" i="1"/>
  <c r="J698" i="1" s="1"/>
  <c r="D650" i="1"/>
  <c r="D649" i="1"/>
  <c r="B632" i="1"/>
  <c r="E647" i="1" s="1"/>
  <c r="J614" i="1"/>
  <c r="J613" i="1"/>
  <c r="J612" i="1"/>
  <c r="J611" i="1"/>
  <c r="J610" i="1"/>
  <c r="B591" i="1"/>
  <c r="D613" i="1" s="1"/>
  <c r="B573" i="1"/>
  <c r="G569" i="1" s="1"/>
  <c r="I565" i="1"/>
  <c r="D565" i="1"/>
  <c r="I564" i="1"/>
  <c r="D564" i="1"/>
  <c r="D531" i="1"/>
  <c r="D530" i="1"/>
  <c r="D529" i="1"/>
  <c r="D528" i="1"/>
  <c r="D527" i="1"/>
  <c r="D526" i="1"/>
  <c r="D525" i="1"/>
  <c r="D524" i="1"/>
  <c r="I509" i="1"/>
  <c r="I508" i="1"/>
  <c r="I507" i="1"/>
  <c r="I506" i="1"/>
  <c r="B496" i="1"/>
  <c r="E532" i="1" s="1"/>
  <c r="G492" i="1"/>
  <c r="C492" i="1"/>
  <c r="G491" i="1"/>
  <c r="C491" i="1"/>
  <c r="G490" i="1"/>
  <c r="C490" i="1"/>
  <c r="G489" i="1"/>
  <c r="C489" i="1"/>
  <c r="G488" i="1"/>
  <c r="C488" i="1"/>
  <c r="G487" i="1"/>
  <c r="C487" i="1"/>
  <c r="G486" i="1"/>
  <c r="C486" i="1"/>
  <c r="G485" i="1"/>
  <c r="C485" i="1"/>
  <c r="G484" i="1"/>
  <c r="C484" i="1"/>
  <c r="G483" i="1"/>
  <c r="C483" i="1"/>
  <c r="G482" i="1"/>
  <c r="C482" i="1"/>
  <c r="G481" i="1"/>
  <c r="C481" i="1"/>
  <c r="G480" i="1"/>
  <c r="C480" i="1"/>
  <c r="D439" i="1"/>
  <c r="D438" i="1"/>
  <c r="B423" i="1"/>
  <c r="E461" i="1" s="1"/>
  <c r="B387" i="1"/>
  <c r="H406" i="1" s="1"/>
  <c r="I352" i="1"/>
  <c r="I351" i="1"/>
  <c r="I349" i="1"/>
  <c r="I348" i="1"/>
  <c r="I347" i="1"/>
  <c r="I345" i="1"/>
  <c r="I344" i="1"/>
  <c r="I343" i="1"/>
  <c r="D343" i="1"/>
  <c r="I342" i="1"/>
  <c r="D342" i="1"/>
  <c r="B338" i="1"/>
  <c r="G361" i="1" s="1"/>
  <c r="D224" i="1"/>
  <c r="D223" i="1"/>
  <c r="D222" i="1"/>
  <c r="D221" i="1"/>
  <c r="D220" i="1"/>
  <c r="D219" i="1"/>
  <c r="D218" i="1"/>
  <c r="D217" i="1"/>
  <c r="B43" i="1"/>
  <c r="B44" i="1" s="1"/>
  <c r="D134" i="1"/>
  <c r="E134" i="1" s="1"/>
  <c r="D133" i="1"/>
  <c r="E133" i="1" s="1"/>
  <c r="B30" i="1"/>
  <c r="B31" i="1" s="1"/>
  <c r="B10" i="1"/>
  <c r="B11" i="1" s="1"/>
  <c r="B60" i="1"/>
  <c r="J54" i="1" s="1"/>
  <c r="G42" i="1"/>
  <c r="F42" i="1"/>
  <c r="D42" i="1"/>
  <c r="E42" i="1" s="1"/>
  <c r="G41" i="1"/>
  <c r="F41" i="1"/>
  <c r="D41" i="1"/>
  <c r="E41" i="1" s="1"/>
  <c r="G40" i="1"/>
  <c r="F40" i="1"/>
  <c r="D40" i="1"/>
  <c r="E40" i="1" s="1"/>
  <c r="G39" i="1"/>
  <c r="F39" i="1"/>
  <c r="D39" i="1"/>
  <c r="E39" i="1" s="1"/>
  <c r="G38" i="1"/>
  <c r="F38" i="1"/>
  <c r="D38" i="1"/>
  <c r="E38" i="1" s="1"/>
  <c r="G37" i="1"/>
  <c r="F37" i="1"/>
  <c r="D37" i="1"/>
  <c r="E37" i="1" s="1"/>
  <c r="D29" i="1"/>
  <c r="E29" i="1" s="1"/>
  <c r="D28" i="1"/>
  <c r="E28" i="1" s="1"/>
  <c r="D27" i="1"/>
  <c r="E27" i="1" s="1"/>
  <c r="D26" i="1"/>
  <c r="E26" i="1" s="1"/>
  <c r="D25" i="1"/>
  <c r="E25" i="1" s="1"/>
  <c r="G24" i="1"/>
  <c r="D24" i="1"/>
  <c r="G23" i="1"/>
  <c r="D23" i="1"/>
  <c r="G22" i="1"/>
  <c r="F22" i="1"/>
  <c r="D22" i="1"/>
  <c r="G21" i="1"/>
  <c r="F21" i="1"/>
  <c r="D21" i="1"/>
  <c r="G20" i="1"/>
  <c r="F20" i="1"/>
  <c r="D20" i="1"/>
  <c r="G19" i="1"/>
  <c r="F19" i="1"/>
  <c r="D19" i="1"/>
  <c r="G18" i="1"/>
  <c r="F18" i="1"/>
  <c r="D18" i="1"/>
  <c r="D17" i="1"/>
  <c r="D9" i="1"/>
  <c r="E9" i="1" s="1"/>
  <c r="D8" i="1"/>
  <c r="E8" i="1" s="1"/>
  <c r="D7" i="1"/>
  <c r="E7" i="1" s="1"/>
  <c r="E428" i="4" l="1"/>
  <c r="E424" i="4"/>
  <c r="E444" i="4"/>
  <c r="E426" i="4"/>
  <c r="F426" i="4" s="1"/>
  <c r="B454" i="4" s="1"/>
  <c r="E433" i="4"/>
  <c r="E231" i="1"/>
  <c r="E233" i="1"/>
  <c r="E225" i="1"/>
  <c r="E228" i="1"/>
  <c r="E834" i="1"/>
  <c r="E759" i="1"/>
  <c r="F759" i="1" s="1"/>
  <c r="E761" i="1"/>
  <c r="F761" i="1" s="1"/>
  <c r="E767" i="1"/>
  <c r="F767" i="1" s="1"/>
  <c r="E506" i="1"/>
  <c r="E525" i="1"/>
  <c r="E439" i="1"/>
  <c r="J459" i="1"/>
  <c r="E793" i="1"/>
  <c r="E796" i="1"/>
  <c r="E530" i="1"/>
  <c r="S315" i="1"/>
  <c r="E206" i="1"/>
  <c r="E209" i="1"/>
  <c r="E438" i="1"/>
  <c r="J458" i="1"/>
  <c r="E570" i="1"/>
  <c r="G901" i="1"/>
  <c r="J439" i="1"/>
  <c r="C427" i="1"/>
  <c r="G906" i="1"/>
  <c r="H906" i="1" s="1"/>
  <c r="D923" i="1" s="1"/>
  <c r="E441" i="1"/>
  <c r="E433" i="1"/>
  <c r="E451" i="1"/>
  <c r="J509" i="1"/>
  <c r="E434" i="1"/>
  <c r="E454" i="1"/>
  <c r="C499" i="1"/>
  <c r="E510" i="1"/>
  <c r="E529" i="1"/>
  <c r="C786" i="1"/>
  <c r="E831" i="1"/>
  <c r="G899" i="1"/>
  <c r="E436" i="1"/>
  <c r="E449" i="1"/>
  <c r="J461" i="1"/>
  <c r="J511" i="1"/>
  <c r="E531" i="1"/>
  <c r="H660" i="1"/>
  <c r="E765" i="1"/>
  <c r="F765" i="1" s="1"/>
  <c r="E799" i="1"/>
  <c r="P315" i="1"/>
  <c r="E512" i="1"/>
  <c r="E535" i="1"/>
  <c r="T315" i="1"/>
  <c r="J507" i="1"/>
  <c r="E452" i="1"/>
  <c r="E508" i="1"/>
  <c r="E516" i="1"/>
  <c r="E537" i="1"/>
  <c r="E829" i="1"/>
  <c r="E835" i="1"/>
  <c r="Q315" i="1"/>
  <c r="E518" i="1"/>
  <c r="E528" i="1"/>
  <c r="E904" i="1"/>
  <c r="K280" i="1"/>
  <c r="E203" i="1"/>
  <c r="D601" i="1"/>
  <c r="E742" i="1"/>
  <c r="F742" i="1" s="1"/>
  <c r="E437" i="1"/>
  <c r="E442" i="1"/>
  <c r="E455" i="1"/>
  <c r="E746" i="1"/>
  <c r="F746" i="1" s="1"/>
  <c r="E801" i="1"/>
  <c r="E837" i="1"/>
  <c r="C855" i="1" s="1"/>
  <c r="J53" i="1"/>
  <c r="F57" i="1"/>
  <c r="C426" i="1"/>
  <c r="E444" i="1"/>
  <c r="J456" i="1"/>
  <c r="E517" i="1"/>
  <c r="E536" i="1"/>
  <c r="C785" i="1"/>
  <c r="E805" i="1"/>
  <c r="E833" i="1"/>
  <c r="E841" i="1"/>
  <c r="C859" i="1" s="1"/>
  <c r="E437" i="4"/>
  <c r="E440" i="4"/>
  <c r="F424" i="4"/>
  <c r="B452" i="4" s="1"/>
  <c r="F428" i="4"/>
  <c r="B462" i="4" s="1"/>
  <c r="E243" i="4"/>
  <c r="E295" i="4"/>
  <c r="E393" i="4"/>
  <c r="F393" i="4" s="1"/>
  <c r="E430" i="4"/>
  <c r="F430" i="4" s="1"/>
  <c r="B458" i="4" s="1"/>
  <c r="E438" i="4"/>
  <c r="E396" i="4"/>
  <c r="F396" i="4" s="1"/>
  <c r="I12" i="4"/>
  <c r="I18" i="4"/>
  <c r="J32" i="4"/>
  <c r="P32" i="4" s="1"/>
  <c r="E250" i="4"/>
  <c r="E288" i="4"/>
  <c r="E394" i="4"/>
  <c r="F394" i="4" s="1"/>
  <c r="E299" i="4"/>
  <c r="E441" i="4"/>
  <c r="J19" i="4"/>
  <c r="E304" i="4"/>
  <c r="G441" i="4"/>
  <c r="J24" i="4"/>
  <c r="E225" i="4"/>
  <c r="E391" i="4"/>
  <c r="F391" i="4" s="1"/>
  <c r="E443" i="4"/>
  <c r="L305" i="1"/>
  <c r="E325" i="1" s="1"/>
  <c r="J56" i="1"/>
  <c r="E344" i="1"/>
  <c r="F344" i="1" s="1"/>
  <c r="B368" i="1" s="1"/>
  <c r="E351" i="1"/>
  <c r="F351" i="1" s="1"/>
  <c r="B375" i="1" s="1"/>
  <c r="E357" i="1"/>
  <c r="E361" i="1"/>
  <c r="H361" i="1" s="1"/>
  <c r="E375" i="1" s="1"/>
  <c r="B427" i="1"/>
  <c r="F461" i="1" s="1"/>
  <c r="J435" i="1"/>
  <c r="K435" i="1" s="1"/>
  <c r="J438" i="1"/>
  <c r="J441" i="1"/>
  <c r="J450" i="1"/>
  <c r="J454" i="1"/>
  <c r="E459" i="1"/>
  <c r="J508" i="1"/>
  <c r="E515" i="1"/>
  <c r="E526" i="1"/>
  <c r="D603" i="1"/>
  <c r="E745" i="1"/>
  <c r="F745" i="1" s="1"/>
  <c r="E760" i="1"/>
  <c r="F760" i="1" s="1"/>
  <c r="E766" i="1"/>
  <c r="F766" i="1" s="1"/>
  <c r="B786" i="1"/>
  <c r="E798" i="1"/>
  <c r="E839" i="1"/>
  <c r="C857" i="1" s="1"/>
  <c r="E890" i="1"/>
  <c r="F890" i="1" s="1"/>
  <c r="B924" i="1" s="1"/>
  <c r="E891" i="1"/>
  <c r="F891" i="1" s="1"/>
  <c r="B919" i="1" s="1"/>
  <c r="E919" i="1" s="1"/>
  <c r="F919" i="1" s="1"/>
  <c r="E895" i="1"/>
  <c r="F895" i="1" s="1"/>
  <c r="B923" i="1" s="1"/>
  <c r="E923" i="1" s="1"/>
  <c r="F923" i="1" s="1"/>
  <c r="E899" i="1"/>
  <c r="E236" i="4"/>
  <c r="E297" i="4"/>
  <c r="E407" i="4"/>
  <c r="F407" i="4" s="1"/>
  <c r="E408" i="4"/>
  <c r="F408" i="4" s="1"/>
  <c r="E347" i="1"/>
  <c r="F347" i="1" s="1"/>
  <c r="B371" i="1" s="1"/>
  <c r="E348" i="1"/>
  <c r="F348" i="1" s="1"/>
  <c r="B372" i="1" s="1"/>
  <c r="J57" i="1"/>
  <c r="E345" i="1"/>
  <c r="F345" i="1" s="1"/>
  <c r="B369" i="1" s="1"/>
  <c r="G358" i="1"/>
  <c r="E432" i="1"/>
  <c r="J436" i="1"/>
  <c r="J443" i="1"/>
  <c r="J451" i="1"/>
  <c r="E456" i="1"/>
  <c r="E460" i="1"/>
  <c r="B594" i="1"/>
  <c r="D611" i="1"/>
  <c r="D614" i="1"/>
  <c r="E749" i="1"/>
  <c r="F749" i="1" s="1"/>
  <c r="E762" i="1"/>
  <c r="F762" i="1" s="1"/>
  <c r="E792" i="1"/>
  <c r="E800" i="1"/>
  <c r="E830" i="1"/>
  <c r="E842" i="1"/>
  <c r="C860" i="1" s="1"/>
  <c r="E888" i="1"/>
  <c r="F888" i="1" s="1"/>
  <c r="B916" i="1" s="1"/>
  <c r="E916" i="1" s="1"/>
  <c r="F916" i="1" s="1"/>
  <c r="E901" i="1"/>
  <c r="G904" i="1"/>
  <c r="I7" i="4"/>
  <c r="J8" i="4"/>
  <c r="I22" i="4"/>
  <c r="J39" i="4"/>
  <c r="E410" i="4"/>
  <c r="F410" i="4" s="1"/>
  <c r="E358" i="1"/>
  <c r="H358" i="1" s="1"/>
  <c r="E376" i="1" s="1"/>
  <c r="E356" i="1"/>
  <c r="B595" i="1"/>
  <c r="E613" i="1" s="1"/>
  <c r="K613" i="1" s="1"/>
  <c r="D622" i="1" s="1"/>
  <c r="E763" i="1"/>
  <c r="F763" i="1" s="1"/>
  <c r="E768" i="1"/>
  <c r="F768" i="1" s="1"/>
  <c r="J7" i="4"/>
  <c r="I10" i="4"/>
  <c r="I13" i="4"/>
  <c r="J22" i="4"/>
  <c r="J25" i="4"/>
  <c r="J40" i="4"/>
  <c r="E289" i="4"/>
  <c r="E306" i="4"/>
  <c r="E411" i="4"/>
  <c r="F411" i="4" s="1"/>
  <c r="E439" i="4"/>
  <c r="H439" i="4" s="1"/>
  <c r="D455" i="4" s="1"/>
  <c r="G443" i="4"/>
  <c r="E350" i="1"/>
  <c r="F350" i="1" s="1"/>
  <c r="B374" i="1" s="1"/>
  <c r="G360" i="1"/>
  <c r="E342" i="1"/>
  <c r="F342" i="1" s="1"/>
  <c r="B366" i="1" s="1"/>
  <c r="E349" i="1"/>
  <c r="F349" i="1" s="1"/>
  <c r="B373" i="1" s="1"/>
  <c r="E359" i="1"/>
  <c r="F52" i="1"/>
  <c r="J8" i="1"/>
  <c r="J9" i="1"/>
  <c r="J7" i="1"/>
  <c r="E343" i="1"/>
  <c r="F343" i="1" s="1"/>
  <c r="B367" i="1" s="1"/>
  <c r="E346" i="1"/>
  <c r="F346" i="1" s="1"/>
  <c r="B370" i="1" s="1"/>
  <c r="G356" i="1"/>
  <c r="E360" i="1"/>
  <c r="J433" i="1"/>
  <c r="J440" i="1"/>
  <c r="J444" i="1"/>
  <c r="J453" i="1"/>
  <c r="E457" i="1"/>
  <c r="D599" i="1"/>
  <c r="D612" i="1"/>
  <c r="E758" i="1"/>
  <c r="F758" i="1" s="1"/>
  <c r="E794" i="1"/>
  <c r="E832" i="1"/>
  <c r="E836" i="1"/>
  <c r="E893" i="1"/>
  <c r="F893" i="1" s="1"/>
  <c r="B921" i="1" s="1"/>
  <c r="E921" i="1" s="1"/>
  <c r="F921" i="1" s="1"/>
  <c r="I6" i="4"/>
  <c r="J17" i="4"/>
  <c r="I19" i="4"/>
  <c r="I24" i="4"/>
  <c r="E292" i="4"/>
  <c r="D407" i="1"/>
  <c r="H397" i="1"/>
  <c r="D396" i="1"/>
  <c r="H398" i="1"/>
  <c r="T32" i="4"/>
  <c r="F54" i="1"/>
  <c r="R54" i="1" s="1"/>
  <c r="E564" i="1"/>
  <c r="F564" i="1" s="1"/>
  <c r="B578" i="1" s="1"/>
  <c r="G570" i="1"/>
  <c r="E747" i="1"/>
  <c r="F747" i="1" s="1"/>
  <c r="E744" i="1"/>
  <c r="F744" i="1" s="1"/>
  <c r="E741" i="1"/>
  <c r="F741" i="1" s="1"/>
  <c r="H396" i="1"/>
  <c r="D398" i="1"/>
  <c r="D406" i="1"/>
  <c r="E534" i="1"/>
  <c r="E514" i="1"/>
  <c r="E511" i="1"/>
  <c r="C500" i="1"/>
  <c r="E533" i="1"/>
  <c r="E519" i="1"/>
  <c r="J513" i="1"/>
  <c r="J510" i="1"/>
  <c r="B500" i="1"/>
  <c r="J506" i="1"/>
  <c r="E509" i="1"/>
  <c r="J512" i="1"/>
  <c r="E527" i="1"/>
  <c r="E739" i="1"/>
  <c r="F739" i="1" s="1"/>
  <c r="E743" i="1"/>
  <c r="F743" i="1" s="1"/>
  <c r="E748" i="1"/>
  <c r="F748" i="1" s="1"/>
  <c r="B384" i="4"/>
  <c r="E244" i="4"/>
  <c r="E241" i="4"/>
  <c r="E238" i="4"/>
  <c r="E235" i="4"/>
  <c r="E232" i="4"/>
  <c r="E229" i="4"/>
  <c r="E226" i="4"/>
  <c r="B219" i="4"/>
  <c r="E309" i="4"/>
  <c r="E305" i="4"/>
  <c r="E298" i="4"/>
  <c r="E291" i="4"/>
  <c r="E242" i="4"/>
  <c r="E231" i="4"/>
  <c r="E224" i="4"/>
  <c r="E308" i="4"/>
  <c r="E301" i="4"/>
  <c r="E294" i="4"/>
  <c r="E290" i="4"/>
  <c r="E245" i="4"/>
  <c r="E234" i="4"/>
  <c r="E227" i="4"/>
  <c r="C219" i="4"/>
  <c r="E307" i="4"/>
  <c r="E302" i="4"/>
  <c r="E296" i="4"/>
  <c r="C218" i="4"/>
  <c r="E239" i="4"/>
  <c r="E233" i="4"/>
  <c r="E228" i="4"/>
  <c r="B218" i="4"/>
  <c r="E230" i="4"/>
  <c r="E237" i="4"/>
  <c r="E251" i="4"/>
  <c r="E300" i="4"/>
  <c r="D397" i="1"/>
  <c r="D405" i="1"/>
  <c r="B390" i="1"/>
  <c r="E165" i="4"/>
  <c r="H165" i="4" s="1"/>
  <c r="B175" i="4" s="1"/>
  <c r="E163" i="4"/>
  <c r="E166" i="4"/>
  <c r="G163" i="4"/>
  <c r="G164" i="4"/>
  <c r="E164" i="4"/>
  <c r="F56" i="1"/>
  <c r="F53" i="1"/>
  <c r="J55" i="1"/>
  <c r="J52" i="1"/>
  <c r="B391" i="1"/>
  <c r="H405" i="1"/>
  <c r="H407" i="1"/>
  <c r="E565" i="1"/>
  <c r="F565" i="1" s="1"/>
  <c r="B579" i="1" s="1"/>
  <c r="S42" i="4"/>
  <c r="T42" i="4"/>
  <c r="R42" i="4"/>
  <c r="Q42" i="4"/>
  <c r="P42" i="4"/>
  <c r="F55" i="1"/>
  <c r="B499" i="1"/>
  <c r="E507" i="1"/>
  <c r="E513" i="1"/>
  <c r="E524" i="1"/>
  <c r="E569" i="1"/>
  <c r="H569" i="1" s="1"/>
  <c r="E578" i="1" s="1"/>
  <c r="J26" i="4"/>
  <c r="I25" i="4"/>
  <c r="I20" i="4"/>
  <c r="I17" i="4"/>
  <c r="J9" i="4"/>
  <c r="I8" i="4"/>
  <c r="J31" i="4"/>
  <c r="I26" i="4"/>
  <c r="J21" i="4"/>
  <c r="J18" i="4"/>
  <c r="J15" i="4"/>
  <c r="S15" i="4" s="1"/>
  <c r="J14" i="4"/>
  <c r="P14" i="4" s="1"/>
  <c r="J13" i="4"/>
  <c r="J12" i="4"/>
  <c r="J11" i="4"/>
  <c r="Q11" i="4" s="1"/>
  <c r="J10" i="4"/>
  <c r="I9" i="4"/>
  <c r="T9" i="4" s="1"/>
  <c r="J5" i="4"/>
  <c r="T5" i="4" s="1"/>
  <c r="I31" i="4"/>
  <c r="J23" i="4"/>
  <c r="I21" i="4"/>
  <c r="J16" i="4"/>
  <c r="I23" i="4"/>
  <c r="J20" i="4"/>
  <c r="I16" i="4"/>
  <c r="J6" i="4"/>
  <c r="F41" i="4"/>
  <c r="F39" i="4"/>
  <c r="F40" i="4"/>
  <c r="G166" i="4"/>
  <c r="E240" i="4"/>
  <c r="E293" i="4"/>
  <c r="E303" i="4"/>
  <c r="E314" i="4"/>
  <c r="J434" i="1"/>
  <c r="J437" i="1"/>
  <c r="J442" i="1"/>
  <c r="J449" i="1"/>
  <c r="J452" i="1"/>
  <c r="J455" i="1"/>
  <c r="J457" i="1"/>
  <c r="J460" i="1"/>
  <c r="J836" i="1"/>
  <c r="J835" i="1"/>
  <c r="J834" i="1"/>
  <c r="J833" i="1"/>
  <c r="J832" i="1"/>
  <c r="K832" i="1" s="1"/>
  <c r="J831" i="1"/>
  <c r="J830" i="1"/>
  <c r="J829" i="1"/>
  <c r="E797" i="1"/>
  <c r="E804" i="1"/>
  <c r="E840" i="1"/>
  <c r="C858" i="1" s="1"/>
  <c r="E352" i="1"/>
  <c r="F352" i="1" s="1"/>
  <c r="B376" i="1" s="1"/>
  <c r="G357" i="1"/>
  <c r="G359" i="1"/>
  <c r="B426" i="1"/>
  <c r="J432" i="1"/>
  <c r="E435" i="1"/>
  <c r="E440" i="1"/>
  <c r="E443" i="1"/>
  <c r="E450" i="1"/>
  <c r="E453" i="1"/>
  <c r="E458" i="1"/>
  <c r="D600" i="1"/>
  <c r="D602" i="1"/>
  <c r="D610" i="1"/>
  <c r="B785" i="1"/>
  <c r="E795" i="1"/>
  <c r="E802" i="1"/>
  <c r="E838" i="1"/>
  <c r="C856" i="1" s="1"/>
  <c r="G905" i="1"/>
  <c r="G903" i="1"/>
  <c r="G902" i="1"/>
  <c r="G900" i="1"/>
  <c r="E892" i="1"/>
  <c r="F892" i="1" s="1"/>
  <c r="B920" i="1" s="1"/>
  <c r="E920" i="1" s="1"/>
  <c r="F920" i="1" s="1"/>
  <c r="E889" i="1"/>
  <c r="F889" i="1" s="1"/>
  <c r="B917" i="1" s="1"/>
  <c r="E917" i="1" s="1"/>
  <c r="F917" i="1" s="1"/>
  <c r="E887" i="1"/>
  <c r="F887" i="1" s="1"/>
  <c r="B915" i="1" s="1"/>
  <c r="E915" i="1" s="1"/>
  <c r="F915" i="1" s="1"/>
  <c r="E886" i="1"/>
  <c r="F886" i="1" s="1"/>
  <c r="B914" i="1" s="1"/>
  <c r="E905" i="1"/>
  <c r="E903" i="1"/>
  <c r="E902" i="1"/>
  <c r="E900" i="1"/>
  <c r="E894" i="1"/>
  <c r="F894" i="1" s="1"/>
  <c r="B922" i="1" s="1"/>
  <c r="E922" i="1" s="1"/>
  <c r="F922" i="1" s="1"/>
  <c r="E389" i="4"/>
  <c r="F389" i="4" s="1"/>
  <c r="E388" i="4"/>
  <c r="F388" i="4" s="1"/>
  <c r="E387" i="4"/>
  <c r="F387" i="4" s="1"/>
  <c r="E390" i="4"/>
  <c r="F390" i="4" s="1"/>
  <c r="E392" i="4"/>
  <c r="F392" i="4" s="1"/>
  <c r="E395" i="4"/>
  <c r="F395" i="4" s="1"/>
  <c r="E415" i="4"/>
  <c r="F415" i="4" s="1"/>
  <c r="E412" i="4"/>
  <c r="F412" i="4" s="1"/>
  <c r="E409" i="4"/>
  <c r="F409" i="4" s="1"/>
  <c r="E406" i="4"/>
  <c r="F406" i="4" s="1"/>
  <c r="E416" i="4"/>
  <c r="F416" i="4" s="1"/>
  <c r="E414" i="4"/>
  <c r="F414" i="4" s="1"/>
  <c r="F433" i="4"/>
  <c r="B461" i="4" s="1"/>
  <c r="G444" i="4"/>
  <c r="H444" i="4" s="1"/>
  <c r="D461" i="4" s="1"/>
  <c r="G442" i="4"/>
  <c r="G440" i="4"/>
  <c r="G438" i="4"/>
  <c r="H438" i="4" s="1"/>
  <c r="D454" i="4" s="1"/>
  <c r="E431" i="4"/>
  <c r="F431" i="4" s="1"/>
  <c r="B459" i="4" s="1"/>
  <c r="E429" i="4"/>
  <c r="F429" i="4" s="1"/>
  <c r="B457" i="4" s="1"/>
  <c r="E427" i="4"/>
  <c r="F427" i="4" s="1"/>
  <c r="B455" i="4" s="1"/>
  <c r="E425" i="4"/>
  <c r="F425" i="4" s="1"/>
  <c r="B453" i="4" s="1"/>
  <c r="E442" i="4"/>
  <c r="G437" i="4"/>
  <c r="H437" i="4" s="1"/>
  <c r="E432" i="4"/>
  <c r="F432" i="4" s="1"/>
  <c r="B460" i="4" s="1"/>
  <c r="L299" i="1"/>
  <c r="E319" i="1" s="1"/>
  <c r="L300" i="1"/>
  <c r="E320" i="1" s="1"/>
  <c r="L288" i="1"/>
  <c r="B328" i="1" s="1"/>
  <c r="L307" i="1"/>
  <c r="E327" i="1" s="1"/>
  <c r="L289" i="1"/>
  <c r="B329" i="1" s="1"/>
  <c r="Q329" i="1" s="1"/>
  <c r="L304" i="1"/>
  <c r="E324" i="1" s="1"/>
  <c r="L306" i="1"/>
  <c r="E326" i="1" s="1"/>
  <c r="L301" i="1"/>
  <c r="E321" i="1" s="1"/>
  <c r="L298" i="1"/>
  <c r="E318" i="1" s="1"/>
  <c r="K281" i="1"/>
  <c r="F280" i="1"/>
  <c r="F278" i="1"/>
  <c r="K279" i="1"/>
  <c r="F279" i="1"/>
  <c r="F281" i="1"/>
  <c r="K278" i="1"/>
  <c r="L286" i="1"/>
  <c r="B326" i="1" s="1"/>
  <c r="L308" i="1"/>
  <c r="E328" i="1" s="1"/>
  <c r="L303" i="1"/>
  <c r="E323" i="1" s="1"/>
  <c r="L284" i="1"/>
  <c r="B324" i="1" s="1"/>
  <c r="L283" i="1"/>
  <c r="B323" i="1" s="1"/>
  <c r="L285" i="1"/>
  <c r="B325" i="1" s="1"/>
  <c r="L287" i="1"/>
  <c r="B327" i="1" s="1"/>
  <c r="L302" i="1"/>
  <c r="E322" i="1" s="1"/>
  <c r="L282" i="1"/>
  <c r="B322" i="1" s="1"/>
  <c r="E649" i="1"/>
  <c r="E648" i="1"/>
  <c r="E650" i="1"/>
  <c r="J706" i="1"/>
  <c r="K706" i="1" s="1"/>
  <c r="G725" i="1" s="1"/>
  <c r="J700" i="1"/>
  <c r="J703" i="1"/>
  <c r="J710" i="1"/>
  <c r="H661" i="1"/>
  <c r="H663" i="1"/>
  <c r="H664" i="1"/>
  <c r="H670" i="1"/>
  <c r="H671" i="1"/>
  <c r="H673" i="1"/>
  <c r="H674" i="1"/>
  <c r="J707" i="1"/>
  <c r="K707" i="1" s="1"/>
  <c r="G726" i="1" s="1"/>
  <c r="F813" i="1"/>
  <c r="H847" i="1"/>
  <c r="I7" i="1"/>
  <c r="I8" i="1"/>
  <c r="I9" i="1"/>
  <c r="B736" i="1"/>
  <c r="J159" i="1"/>
  <c r="J156" i="1"/>
  <c r="C119" i="1"/>
  <c r="K132" i="1" s="1"/>
  <c r="E126" i="1"/>
  <c r="J136" i="1"/>
  <c r="E158" i="1"/>
  <c r="J150" i="1"/>
  <c r="J146" i="1"/>
  <c r="J160" i="1"/>
  <c r="E684" i="1"/>
  <c r="C635" i="1"/>
  <c r="E692" i="1"/>
  <c r="E681" i="1"/>
  <c r="F145" i="3"/>
  <c r="D159" i="3" s="1"/>
  <c r="F144" i="3"/>
  <c r="D158" i="3" s="1"/>
  <c r="F143" i="3"/>
  <c r="D157" i="3" s="1"/>
  <c r="F142" i="3"/>
  <c r="D156" i="3" s="1"/>
  <c r="F141" i="3"/>
  <c r="D155" i="3" s="1"/>
  <c r="F140" i="3"/>
  <c r="D154" i="3" s="1"/>
  <c r="F139" i="3"/>
  <c r="D153" i="3" s="1"/>
  <c r="F138" i="3"/>
  <c r="D152" i="3" s="1"/>
  <c r="F137" i="3"/>
  <c r="D151" i="3" s="1"/>
  <c r="F136" i="3"/>
  <c r="D150" i="3" s="1"/>
  <c r="C101" i="3"/>
  <c r="F116" i="3"/>
  <c r="F115" i="3"/>
  <c r="F114" i="3"/>
  <c r="F113" i="3"/>
  <c r="F112" i="3"/>
  <c r="F111" i="3"/>
  <c r="F110" i="3"/>
  <c r="F109" i="3"/>
  <c r="F108" i="3"/>
  <c r="F107" i="3"/>
  <c r="C100" i="3"/>
  <c r="B101" i="3"/>
  <c r="B100" i="3"/>
  <c r="B18" i="3"/>
  <c r="B19" i="3" s="1"/>
  <c r="E207" i="1"/>
  <c r="J41" i="1"/>
  <c r="I38" i="1"/>
  <c r="J42" i="1"/>
  <c r="J38" i="1"/>
  <c r="I40" i="1"/>
  <c r="J40" i="1"/>
  <c r="J39" i="1"/>
  <c r="J37" i="1"/>
  <c r="I42" i="1"/>
  <c r="I41" i="1"/>
  <c r="I39" i="1"/>
  <c r="I37" i="1"/>
  <c r="I19" i="1"/>
  <c r="I29" i="1"/>
  <c r="I27" i="1"/>
  <c r="I25" i="1"/>
  <c r="I23" i="1"/>
  <c r="J21" i="1"/>
  <c r="I20" i="1"/>
  <c r="J17" i="1"/>
  <c r="I17" i="1"/>
  <c r="J27" i="1"/>
  <c r="J20" i="1"/>
  <c r="J28" i="1"/>
  <c r="J26" i="1"/>
  <c r="J24" i="1"/>
  <c r="J22" i="1"/>
  <c r="I21" i="1"/>
  <c r="J18" i="1"/>
  <c r="J29" i="1"/>
  <c r="J25" i="1"/>
  <c r="I28" i="1"/>
  <c r="I26" i="1"/>
  <c r="I24" i="1"/>
  <c r="I22" i="1"/>
  <c r="J19" i="1"/>
  <c r="I18" i="1"/>
  <c r="J23" i="1"/>
  <c r="B120" i="1"/>
  <c r="F153" i="1" s="1"/>
  <c r="J125" i="1"/>
  <c r="E127" i="1"/>
  <c r="J129" i="1"/>
  <c r="E135" i="1"/>
  <c r="J137" i="1"/>
  <c r="E139" i="1"/>
  <c r="J147" i="1"/>
  <c r="E149" i="1"/>
  <c r="J151" i="1"/>
  <c r="E155" i="1"/>
  <c r="J157" i="1"/>
  <c r="E159" i="1"/>
  <c r="B636" i="1"/>
  <c r="E642" i="1"/>
  <c r="E644" i="1"/>
  <c r="E646" i="1"/>
  <c r="E651" i="1"/>
  <c r="E653" i="1"/>
  <c r="E655" i="1"/>
  <c r="E679" i="1"/>
  <c r="E689" i="1"/>
  <c r="E693" i="1"/>
  <c r="B53" i="4"/>
  <c r="F82" i="4" s="1"/>
  <c r="J61" i="4"/>
  <c r="E63" i="4"/>
  <c r="J69" i="4"/>
  <c r="E71" i="4"/>
  <c r="E73" i="4"/>
  <c r="C120" i="1"/>
  <c r="K153" i="1" s="1"/>
  <c r="J130" i="1"/>
  <c r="J134" i="1"/>
  <c r="E136" i="1"/>
  <c r="J138" i="1"/>
  <c r="J154" i="1"/>
  <c r="E156" i="1"/>
  <c r="C636" i="1"/>
  <c r="E682" i="1"/>
  <c r="E690" i="1"/>
  <c r="B54" i="4"/>
  <c r="F115" i="4" s="1"/>
  <c r="J63" i="4"/>
  <c r="E65" i="4"/>
  <c r="J71" i="4"/>
  <c r="J126" i="1"/>
  <c r="E128" i="1"/>
  <c r="E146" i="1"/>
  <c r="J148" i="1"/>
  <c r="E150" i="1"/>
  <c r="J158" i="1"/>
  <c r="E160" i="1"/>
  <c r="B119" i="1"/>
  <c r="F132" i="1" s="1"/>
  <c r="E125" i="1"/>
  <c r="J127" i="1"/>
  <c r="E129" i="1"/>
  <c r="J135" i="1"/>
  <c r="E137" i="1"/>
  <c r="J139" i="1"/>
  <c r="E147" i="1"/>
  <c r="J149" i="1"/>
  <c r="E151" i="1"/>
  <c r="J155" i="1"/>
  <c r="E157" i="1"/>
  <c r="B635" i="1"/>
  <c r="F647" i="1" s="1"/>
  <c r="E641" i="1"/>
  <c r="E643" i="1"/>
  <c r="E645" i="1"/>
  <c r="E652" i="1"/>
  <c r="E654" i="1"/>
  <c r="E680" i="1"/>
  <c r="E683" i="1"/>
  <c r="E691" i="1"/>
  <c r="E59" i="4"/>
  <c r="J65" i="4"/>
  <c r="J315" i="4"/>
  <c r="J251" i="4"/>
  <c r="J250" i="4"/>
  <c r="E117" i="4"/>
  <c r="J111" i="4"/>
  <c r="E109" i="4"/>
  <c r="J107" i="4"/>
  <c r="E105" i="4"/>
  <c r="J103" i="4"/>
  <c r="E101" i="4"/>
  <c r="J99" i="4"/>
  <c r="E97" i="4"/>
  <c r="J95" i="4"/>
  <c r="E93" i="4"/>
  <c r="J91" i="4"/>
  <c r="E85" i="4"/>
  <c r="J79" i="4"/>
  <c r="E77" i="4"/>
  <c r="J314" i="4"/>
  <c r="J118" i="4"/>
  <c r="E112" i="4"/>
  <c r="J110" i="4"/>
  <c r="E108" i="4"/>
  <c r="J106" i="4"/>
  <c r="E104" i="4"/>
  <c r="J102" i="4"/>
  <c r="E100" i="4"/>
  <c r="J98" i="4"/>
  <c r="E96" i="4"/>
  <c r="J94" i="4"/>
  <c r="E92" i="4"/>
  <c r="J86" i="4"/>
  <c r="E80" i="4"/>
  <c r="J78" i="4"/>
  <c r="E76" i="4"/>
  <c r="J74" i="4"/>
  <c r="E72" i="4"/>
  <c r="J70" i="4"/>
  <c r="E68" i="4"/>
  <c r="J66" i="4"/>
  <c r="E64" i="4"/>
  <c r="J62" i="4"/>
  <c r="E60" i="4"/>
  <c r="C53" i="4"/>
  <c r="K84" i="4" s="1"/>
  <c r="J117" i="4"/>
  <c r="E111" i="4"/>
  <c r="J109" i="4"/>
  <c r="E107" i="4"/>
  <c r="J105" i="4"/>
  <c r="E103" i="4"/>
  <c r="J101" i="4"/>
  <c r="E99" i="4"/>
  <c r="J97" i="4"/>
  <c r="E95" i="4"/>
  <c r="J93" i="4"/>
  <c r="E91" i="4"/>
  <c r="J85" i="4"/>
  <c r="E79" i="4"/>
  <c r="J77" i="4"/>
  <c r="E75" i="4"/>
  <c r="J73" i="4"/>
  <c r="E118" i="4"/>
  <c r="J112" i="4"/>
  <c r="E110" i="4"/>
  <c r="J108" i="4"/>
  <c r="E106" i="4"/>
  <c r="J104" i="4"/>
  <c r="E102" i="4"/>
  <c r="J100" i="4"/>
  <c r="E98" i="4"/>
  <c r="J96" i="4"/>
  <c r="E94" i="4"/>
  <c r="J92" i="4"/>
  <c r="E86" i="4"/>
  <c r="J80" i="4"/>
  <c r="E78" i="4"/>
  <c r="J76" i="4"/>
  <c r="E74" i="4"/>
  <c r="J72" i="4"/>
  <c r="E70" i="4"/>
  <c r="J68" i="4"/>
  <c r="E66" i="4"/>
  <c r="J64" i="4"/>
  <c r="E62" i="4"/>
  <c r="J60" i="4"/>
  <c r="C54" i="4"/>
  <c r="K114" i="4" s="1"/>
  <c r="J59" i="4"/>
  <c r="E61" i="4"/>
  <c r="J67" i="4"/>
  <c r="E69" i="4"/>
  <c r="J75" i="4"/>
  <c r="T13" i="4" l="1"/>
  <c r="H440" i="4"/>
  <c r="Q24" i="4"/>
  <c r="P19" i="4"/>
  <c r="K459" i="1"/>
  <c r="E600" i="1"/>
  <c r="J600" i="1" s="1"/>
  <c r="B620" i="1" s="1"/>
  <c r="K457" i="1"/>
  <c r="F837" i="1"/>
  <c r="G837" i="1" s="1"/>
  <c r="B855" i="1" s="1"/>
  <c r="H360" i="1"/>
  <c r="E373" i="1" s="1"/>
  <c r="F373" i="1" s="1"/>
  <c r="E374" i="1"/>
  <c r="E371" i="1"/>
  <c r="C849" i="1"/>
  <c r="K460" i="1"/>
  <c r="K461" i="1"/>
  <c r="L461" i="1" s="1"/>
  <c r="E478" i="1" s="1"/>
  <c r="K53" i="1"/>
  <c r="F832" i="1"/>
  <c r="F830" i="1"/>
  <c r="L280" i="1"/>
  <c r="B320" i="1" s="1"/>
  <c r="P320" i="1" s="1"/>
  <c r="F376" i="1"/>
  <c r="K437" i="1"/>
  <c r="F834" i="1"/>
  <c r="K434" i="1"/>
  <c r="K443" i="1"/>
  <c r="H899" i="1"/>
  <c r="D915" i="1" s="1"/>
  <c r="K444" i="1"/>
  <c r="F793" i="1"/>
  <c r="G793" i="1" s="1"/>
  <c r="B812" i="1" s="1"/>
  <c r="G812" i="1" s="1"/>
  <c r="B866" i="1" s="1"/>
  <c r="F831" i="1"/>
  <c r="F374" i="1"/>
  <c r="K442" i="1"/>
  <c r="H570" i="1"/>
  <c r="E579" i="1" s="1"/>
  <c r="F579" i="1" s="1"/>
  <c r="F515" i="1"/>
  <c r="G515" i="1" s="1"/>
  <c r="B552" i="1" s="1"/>
  <c r="E602" i="1"/>
  <c r="J602" i="1" s="1"/>
  <c r="B622" i="1" s="1"/>
  <c r="K506" i="1"/>
  <c r="F535" i="1"/>
  <c r="G535" i="1" s="1"/>
  <c r="E554" i="1" s="1"/>
  <c r="H904" i="1"/>
  <c r="D920" i="1" s="1"/>
  <c r="K454" i="1"/>
  <c r="F434" i="1"/>
  <c r="K452" i="1"/>
  <c r="F506" i="1"/>
  <c r="F537" i="1"/>
  <c r="G537" i="1" s="1"/>
  <c r="E556" i="1" s="1"/>
  <c r="F455" i="1"/>
  <c r="C847" i="1"/>
  <c r="K835" i="1"/>
  <c r="K441" i="1"/>
  <c r="K456" i="1"/>
  <c r="F452" i="1"/>
  <c r="F508" i="1"/>
  <c r="C848" i="1"/>
  <c r="K836" i="1"/>
  <c r="F524" i="1"/>
  <c r="G524" i="1" s="1"/>
  <c r="E543" i="1" s="1"/>
  <c r="K509" i="1"/>
  <c r="F509" i="1"/>
  <c r="F533" i="1"/>
  <c r="G533" i="1" s="1"/>
  <c r="E552" i="1" s="1"/>
  <c r="F833" i="1"/>
  <c r="E614" i="1"/>
  <c r="K614" i="1" s="1"/>
  <c r="D623" i="1" s="1"/>
  <c r="F836" i="1"/>
  <c r="F507" i="1"/>
  <c r="F517" i="1"/>
  <c r="G517" i="1" s="1"/>
  <c r="B554" i="1" s="1"/>
  <c r="K508" i="1"/>
  <c r="K432" i="1"/>
  <c r="C851" i="1"/>
  <c r="E612" i="1"/>
  <c r="K612" i="1" s="1"/>
  <c r="D621" i="1" s="1"/>
  <c r="T52" i="1"/>
  <c r="F514" i="1"/>
  <c r="G514" i="1" s="1"/>
  <c r="B551" i="1" s="1"/>
  <c r="K507" i="1"/>
  <c r="K458" i="1"/>
  <c r="E611" i="1"/>
  <c r="K611" i="1" s="1"/>
  <c r="D620" i="1" s="1"/>
  <c r="R620" i="1" s="1"/>
  <c r="F835" i="1"/>
  <c r="F516" i="1"/>
  <c r="G516" i="1" s="1"/>
  <c r="B553" i="1" s="1"/>
  <c r="F829" i="1"/>
  <c r="H901" i="1"/>
  <c r="D917" i="1" s="1"/>
  <c r="F528" i="1"/>
  <c r="G528" i="1" s="1"/>
  <c r="E547" i="1" s="1"/>
  <c r="K455" i="1"/>
  <c r="K453" i="1"/>
  <c r="K451" i="1"/>
  <c r="K450" i="1"/>
  <c r="H359" i="1"/>
  <c r="E372" i="1" s="1"/>
  <c r="F372" i="1" s="1"/>
  <c r="K449" i="1"/>
  <c r="F518" i="1"/>
  <c r="G518" i="1" s="1"/>
  <c r="B555" i="1" s="1"/>
  <c r="K440" i="1"/>
  <c r="E601" i="1"/>
  <c r="J601" i="1" s="1"/>
  <c r="B621" i="1" s="1"/>
  <c r="K439" i="1"/>
  <c r="F841" i="1"/>
  <c r="G841" i="1" s="1"/>
  <c r="B859" i="1" s="1"/>
  <c r="F375" i="1"/>
  <c r="F839" i="1"/>
  <c r="G839" i="1" s="1"/>
  <c r="B857" i="1" s="1"/>
  <c r="K57" i="1"/>
  <c r="B918" i="1"/>
  <c r="E918" i="1" s="1"/>
  <c r="E599" i="1"/>
  <c r="J599" i="1" s="1"/>
  <c r="B619" i="1" s="1"/>
  <c r="K433" i="1"/>
  <c r="K436" i="1"/>
  <c r="F536" i="1"/>
  <c r="G536" i="1" s="1"/>
  <c r="E555" i="1" s="1"/>
  <c r="K438" i="1"/>
  <c r="F795" i="1"/>
  <c r="G795" i="1" s="1"/>
  <c r="B814" i="1" s="1"/>
  <c r="F453" i="1"/>
  <c r="F801" i="1"/>
  <c r="G801" i="1" s="1"/>
  <c r="B820" i="1" s="1"/>
  <c r="F456" i="1"/>
  <c r="L456" i="1" s="1"/>
  <c r="E487" i="1" s="1"/>
  <c r="F794" i="1"/>
  <c r="G794" i="1" s="1"/>
  <c r="B813" i="1" s="1"/>
  <c r="G813" i="1" s="1"/>
  <c r="B867" i="1" s="1"/>
  <c r="F457" i="1"/>
  <c r="L457" i="1" s="1"/>
  <c r="E488" i="1" s="1"/>
  <c r="F802" i="1"/>
  <c r="G802" i="1" s="1"/>
  <c r="B821" i="1" s="1"/>
  <c r="F458" i="1"/>
  <c r="F792" i="1"/>
  <c r="G792" i="1" s="1"/>
  <c r="B811" i="1" s="1"/>
  <c r="G811" i="1" s="1"/>
  <c r="B865" i="1" s="1"/>
  <c r="F450" i="1"/>
  <c r="F800" i="1"/>
  <c r="G800" i="1" s="1"/>
  <c r="B819" i="1" s="1"/>
  <c r="F454" i="1"/>
  <c r="F530" i="1"/>
  <c r="G530" i="1" s="1"/>
  <c r="E549" i="1" s="1"/>
  <c r="F526" i="1"/>
  <c r="G526" i="1" s="1"/>
  <c r="E545" i="1" s="1"/>
  <c r="E610" i="1"/>
  <c r="K610" i="1" s="1"/>
  <c r="D619" i="1" s="1"/>
  <c r="H357" i="1"/>
  <c r="E368" i="1" s="1"/>
  <c r="F368" i="1" s="1"/>
  <c r="F842" i="1"/>
  <c r="G842" i="1" s="1"/>
  <c r="B860" i="1" s="1"/>
  <c r="F460" i="1"/>
  <c r="F459" i="1"/>
  <c r="F449" i="1"/>
  <c r="F529" i="1"/>
  <c r="G529" i="1" s="1"/>
  <c r="E548" i="1" s="1"/>
  <c r="H356" i="1"/>
  <c r="F803" i="1"/>
  <c r="G803" i="1" s="1"/>
  <c r="B822" i="1" s="1"/>
  <c r="F451" i="1"/>
  <c r="F83" i="4"/>
  <c r="F84" i="4"/>
  <c r="L84" i="4" s="1"/>
  <c r="B148" i="4" s="1"/>
  <c r="K115" i="4"/>
  <c r="L115" i="4" s="1"/>
  <c r="E147" i="4" s="1"/>
  <c r="K82" i="4"/>
  <c r="L82" i="4" s="1"/>
  <c r="B146" i="4" s="1"/>
  <c r="F114" i="4"/>
  <c r="L114" i="4" s="1"/>
  <c r="E146" i="4" s="1"/>
  <c r="F116" i="4"/>
  <c r="K113" i="4"/>
  <c r="F81" i="4"/>
  <c r="K116" i="4"/>
  <c r="F113" i="4"/>
  <c r="K81" i="4"/>
  <c r="K83" i="4"/>
  <c r="L7" i="4"/>
  <c r="S25" i="4"/>
  <c r="B456" i="4"/>
  <c r="S8" i="4"/>
  <c r="H441" i="4"/>
  <c r="D457" i="4" s="1"/>
  <c r="L24" i="4"/>
  <c r="R23" i="4"/>
  <c r="S32" i="4"/>
  <c r="E454" i="4"/>
  <c r="F454" i="4" s="1"/>
  <c r="S24" i="4"/>
  <c r="R32" i="4"/>
  <c r="L32" i="4"/>
  <c r="P24" i="4"/>
  <c r="S12" i="4"/>
  <c r="Q32" i="4"/>
  <c r="Q7" i="4"/>
  <c r="E457" i="4"/>
  <c r="F457" i="4" s="1"/>
  <c r="P7" i="4"/>
  <c r="P8" i="4"/>
  <c r="R6" i="4"/>
  <c r="Q22" i="4"/>
  <c r="S18" i="4"/>
  <c r="T7" i="4"/>
  <c r="P22" i="4"/>
  <c r="L19" i="4"/>
  <c r="R8" i="4"/>
  <c r="Q14" i="4"/>
  <c r="S19" i="4"/>
  <c r="T22" i="4"/>
  <c r="P15" i="4"/>
  <c r="Q13" i="4"/>
  <c r="R22" i="4"/>
  <c r="L22" i="4"/>
  <c r="S6" i="4"/>
  <c r="P23" i="4"/>
  <c r="R9" i="4"/>
  <c r="Q25" i="4"/>
  <c r="S9" i="4"/>
  <c r="Q19" i="4"/>
  <c r="T12" i="4"/>
  <c r="H443" i="4"/>
  <c r="D460" i="4" s="1"/>
  <c r="E460" i="4" s="1"/>
  <c r="F460" i="4" s="1"/>
  <c r="R15" i="4"/>
  <c r="H905" i="1"/>
  <c r="D922" i="1" s="1"/>
  <c r="K56" i="1"/>
  <c r="K511" i="1"/>
  <c r="T23" i="4"/>
  <c r="S5" i="4"/>
  <c r="C850" i="1"/>
  <c r="E455" i="4"/>
  <c r="F455" i="4" s="1"/>
  <c r="P26" i="4"/>
  <c r="C853" i="1"/>
  <c r="H164" i="4"/>
  <c r="B174" i="4" s="1"/>
  <c r="T174" i="4" s="1"/>
  <c r="K512" i="1"/>
  <c r="F519" i="1"/>
  <c r="G519" i="1" s="1"/>
  <c r="B556" i="1" s="1"/>
  <c r="L23" i="4"/>
  <c r="F510" i="1"/>
  <c r="Q15" i="4"/>
  <c r="F531" i="1"/>
  <c r="G531" i="1" s="1"/>
  <c r="E550" i="1" s="1"/>
  <c r="Q5" i="4"/>
  <c r="K829" i="1"/>
  <c r="F840" i="1"/>
  <c r="G840" i="1" s="1"/>
  <c r="B858" i="1" s="1"/>
  <c r="Q23" i="4"/>
  <c r="F512" i="1"/>
  <c r="T14" i="4"/>
  <c r="F532" i="1"/>
  <c r="G532" i="1" s="1"/>
  <c r="E551" i="1" s="1"/>
  <c r="T15" i="4"/>
  <c r="R13" i="4"/>
  <c r="P13" i="4"/>
  <c r="H902" i="1"/>
  <c r="D921" i="1" s="1"/>
  <c r="L5" i="4"/>
  <c r="F513" i="1"/>
  <c r="H166" i="4"/>
  <c r="B176" i="4" s="1"/>
  <c r="P176" i="4" s="1"/>
  <c r="L8" i="4"/>
  <c r="P12" i="4"/>
  <c r="F511" i="1"/>
  <c r="R7" i="4"/>
  <c r="Q26" i="4"/>
  <c r="R24" i="4"/>
  <c r="T24" i="4"/>
  <c r="S22" i="4"/>
  <c r="H903" i="1"/>
  <c r="D919" i="1" s="1"/>
  <c r="H163" i="4"/>
  <c r="B173" i="4" s="1"/>
  <c r="P173" i="4" s="1"/>
  <c r="P25" i="4"/>
  <c r="Q8" i="4"/>
  <c r="L6" i="4"/>
  <c r="S7" i="4"/>
  <c r="T26" i="4"/>
  <c r="R19" i="4"/>
  <c r="T19" i="4"/>
  <c r="E603" i="1"/>
  <c r="J603" i="1" s="1"/>
  <c r="B623" i="1" s="1"/>
  <c r="T329" i="1"/>
  <c r="L452" i="1"/>
  <c r="E483" i="1" s="1"/>
  <c r="I666" i="1"/>
  <c r="F723" i="1" s="1"/>
  <c r="G666" i="1"/>
  <c r="B723" i="1" s="1"/>
  <c r="T54" i="1"/>
  <c r="S52" i="1"/>
  <c r="G508" i="1"/>
  <c r="B545" i="1" s="1"/>
  <c r="K152" i="1"/>
  <c r="F152" i="1"/>
  <c r="Q52" i="1"/>
  <c r="P54" i="1"/>
  <c r="K131" i="1"/>
  <c r="S54" i="1"/>
  <c r="Q54" i="1"/>
  <c r="S329" i="1"/>
  <c r="K54" i="1"/>
  <c r="F131" i="1"/>
  <c r="R52" i="1"/>
  <c r="F326" i="1"/>
  <c r="D63" i="14" s="1"/>
  <c r="I63" i="14" s="1"/>
  <c r="K52" i="1"/>
  <c r="L53" i="1" s="1"/>
  <c r="P52" i="1"/>
  <c r="K55" i="1"/>
  <c r="L55" i="1" s="1"/>
  <c r="R39" i="4"/>
  <c r="T39" i="4"/>
  <c r="S39" i="4"/>
  <c r="Q39" i="4"/>
  <c r="K39" i="4"/>
  <c r="P39" i="4"/>
  <c r="R17" i="4"/>
  <c r="Q17" i="4"/>
  <c r="T17" i="4"/>
  <c r="S17" i="4"/>
  <c r="L17" i="4"/>
  <c r="P17" i="4"/>
  <c r="K833" i="1"/>
  <c r="T18" i="4"/>
  <c r="D453" i="4"/>
  <c r="E453" i="4" s="1"/>
  <c r="F453" i="4" s="1"/>
  <c r="D452" i="4"/>
  <c r="E452" i="4" s="1"/>
  <c r="F452" i="4" s="1"/>
  <c r="D459" i="4"/>
  <c r="E459" i="4" s="1"/>
  <c r="D456" i="4"/>
  <c r="E456" i="4" s="1"/>
  <c r="F456" i="4" s="1"/>
  <c r="D462" i="4"/>
  <c r="L11" i="4"/>
  <c r="L10" i="4"/>
  <c r="P10" i="4"/>
  <c r="R328" i="1"/>
  <c r="F432" i="1"/>
  <c r="F439" i="1"/>
  <c r="F438" i="1"/>
  <c r="Q10" i="4"/>
  <c r="C852" i="1"/>
  <c r="K834" i="1"/>
  <c r="G834" i="1" s="1"/>
  <c r="B852" i="1" s="1"/>
  <c r="T21" i="4"/>
  <c r="S21" i="4"/>
  <c r="R21" i="4"/>
  <c r="Q21" i="4"/>
  <c r="P21" i="4"/>
  <c r="L21" i="4"/>
  <c r="R20" i="4"/>
  <c r="Q20" i="4"/>
  <c r="S20" i="4"/>
  <c r="L20" i="4"/>
  <c r="P20" i="4"/>
  <c r="T20" i="4"/>
  <c r="S11" i="4"/>
  <c r="F804" i="1"/>
  <c r="G804" i="1" s="1"/>
  <c r="B823" i="1" s="1"/>
  <c r="F798" i="1"/>
  <c r="G798" i="1" s="1"/>
  <c r="B817" i="1" s="1"/>
  <c r="F796" i="1"/>
  <c r="G796" i="1" s="1"/>
  <c r="B815" i="1" s="1"/>
  <c r="F797" i="1"/>
  <c r="G797" i="1" s="1"/>
  <c r="B816" i="1" s="1"/>
  <c r="F799" i="1"/>
  <c r="G799" i="1" s="1"/>
  <c r="B818" i="1" s="1"/>
  <c r="F805" i="1"/>
  <c r="G805" i="1" s="1"/>
  <c r="B824" i="1" s="1"/>
  <c r="S10" i="4"/>
  <c r="T6" i="4"/>
  <c r="T11" i="4"/>
  <c r="L26" i="4"/>
  <c r="R10" i="4"/>
  <c r="F443" i="1"/>
  <c r="T10" i="4"/>
  <c r="L31" i="4"/>
  <c r="T31" i="4"/>
  <c r="Q31" i="4"/>
  <c r="P31" i="4"/>
  <c r="S31" i="4"/>
  <c r="R31" i="4"/>
  <c r="P18" i="4"/>
  <c r="Q6" i="4"/>
  <c r="F245" i="4"/>
  <c r="F238" i="4"/>
  <c r="F234" i="4"/>
  <c r="F227" i="4"/>
  <c r="F241" i="4"/>
  <c r="F237" i="4"/>
  <c r="F230" i="4"/>
  <c r="F244" i="4"/>
  <c r="F239" i="4"/>
  <c r="F233" i="4"/>
  <c r="F228" i="4"/>
  <c r="F243" i="4"/>
  <c r="F231" i="4"/>
  <c r="F224" i="4"/>
  <c r="F236" i="4"/>
  <c r="F229" i="4"/>
  <c r="F235" i="4"/>
  <c r="F240" i="4"/>
  <c r="F232" i="4"/>
  <c r="F226" i="4"/>
  <c r="F242" i="4"/>
  <c r="F225" i="4"/>
  <c r="F441" i="1"/>
  <c r="L441" i="1" s="1"/>
  <c r="B475" i="1" s="1"/>
  <c r="L13" i="4"/>
  <c r="P11" i="4"/>
  <c r="R26" i="4"/>
  <c r="Q622" i="1"/>
  <c r="P622" i="1"/>
  <c r="T622" i="1"/>
  <c r="S622" i="1"/>
  <c r="R622" i="1"/>
  <c r="E622" i="1"/>
  <c r="F440" i="1"/>
  <c r="L440" i="1" s="1"/>
  <c r="B488" i="1" s="1"/>
  <c r="T25" i="4"/>
  <c r="L14" i="4"/>
  <c r="R5" i="4"/>
  <c r="K830" i="1"/>
  <c r="Q18" i="4"/>
  <c r="P5" i="4"/>
  <c r="G506" i="1"/>
  <c r="B543" i="1" s="1"/>
  <c r="K510" i="1"/>
  <c r="F437" i="1"/>
  <c r="R14" i="4"/>
  <c r="R12" i="4"/>
  <c r="L15" i="4"/>
  <c r="S13" i="4"/>
  <c r="T8" i="4"/>
  <c r="R11" i="4"/>
  <c r="S26" i="4"/>
  <c r="T41" i="4"/>
  <c r="S41" i="4"/>
  <c r="R41" i="4"/>
  <c r="K41" i="4"/>
  <c r="P41" i="4"/>
  <c r="Q41" i="4"/>
  <c r="F436" i="1"/>
  <c r="Q578" i="1"/>
  <c r="P578" i="1"/>
  <c r="R578" i="1"/>
  <c r="F578" i="1"/>
  <c r="T578" i="1"/>
  <c r="S578" i="1"/>
  <c r="F444" i="1"/>
  <c r="L18" i="4"/>
  <c r="T175" i="4"/>
  <c r="Q175" i="4"/>
  <c r="P175" i="4"/>
  <c r="R175" i="4"/>
  <c r="S175" i="4"/>
  <c r="I398" i="1"/>
  <c r="E396" i="1"/>
  <c r="E397" i="1"/>
  <c r="E398" i="1"/>
  <c r="I396" i="1"/>
  <c r="I397" i="1"/>
  <c r="R25" i="4"/>
  <c r="F308" i="4"/>
  <c r="F305" i="4"/>
  <c r="F302" i="4"/>
  <c r="F299" i="4"/>
  <c r="F296" i="4"/>
  <c r="F293" i="4"/>
  <c r="F290" i="4"/>
  <c r="F301" i="4"/>
  <c r="F294" i="4"/>
  <c r="F304" i="4"/>
  <c r="F297" i="4"/>
  <c r="F291" i="4"/>
  <c r="F306" i="4"/>
  <c r="F300" i="4"/>
  <c r="F295" i="4"/>
  <c r="F289" i="4"/>
  <c r="F298" i="4"/>
  <c r="F303" i="4"/>
  <c r="F309" i="4"/>
  <c r="F292" i="4"/>
  <c r="F307" i="4"/>
  <c r="F288" i="4"/>
  <c r="P6" i="4"/>
  <c r="F525" i="1"/>
  <c r="G525" i="1" s="1"/>
  <c r="E544" i="1" s="1"/>
  <c r="E461" i="4"/>
  <c r="F461" i="4" s="1"/>
  <c r="E914" i="1"/>
  <c r="F914" i="1" s="1"/>
  <c r="G915" i="1" s="1"/>
  <c r="P16" i="4"/>
  <c r="L16" i="4"/>
  <c r="T16" i="4"/>
  <c r="Q16" i="4"/>
  <c r="S16" i="4"/>
  <c r="R16" i="4"/>
  <c r="R18" i="4"/>
  <c r="G832" i="1"/>
  <c r="B850" i="1" s="1"/>
  <c r="I405" i="1"/>
  <c r="E406" i="1"/>
  <c r="E407" i="1"/>
  <c r="I407" i="1"/>
  <c r="E405" i="1"/>
  <c r="I406" i="1"/>
  <c r="Q12" i="4"/>
  <c r="H442" i="4"/>
  <c r="D458" i="4" s="1"/>
  <c r="E458" i="4" s="1"/>
  <c r="F458" i="4" s="1"/>
  <c r="H900" i="1"/>
  <c r="D916" i="1" s="1"/>
  <c r="E620" i="1"/>
  <c r="F435" i="1"/>
  <c r="L435" i="1" s="1"/>
  <c r="K40" i="4"/>
  <c r="S40" i="4"/>
  <c r="R40" i="4"/>
  <c r="T40" i="4"/>
  <c r="P40" i="4"/>
  <c r="Q40" i="4"/>
  <c r="S23" i="4"/>
  <c r="Q9" i="4"/>
  <c r="P9" i="4"/>
  <c r="L9" i="4"/>
  <c r="L12" i="4"/>
  <c r="K831" i="1"/>
  <c r="G831" i="1" s="1"/>
  <c r="B849" i="1" s="1"/>
  <c r="L25" i="4"/>
  <c r="F838" i="1"/>
  <c r="G838" i="1" s="1"/>
  <c r="B856" i="1" s="1"/>
  <c r="F527" i="1"/>
  <c r="G527" i="1" s="1"/>
  <c r="E546" i="1" s="1"/>
  <c r="K513" i="1"/>
  <c r="F534" i="1"/>
  <c r="G534" i="1" s="1"/>
  <c r="E553" i="1" s="1"/>
  <c r="F433" i="1"/>
  <c r="L433" i="1" s="1"/>
  <c r="S14" i="4"/>
  <c r="F442" i="1"/>
  <c r="C854" i="1"/>
  <c r="F329" i="1"/>
  <c r="D66" i="14" s="1"/>
  <c r="I66" i="14" s="1"/>
  <c r="R326" i="1"/>
  <c r="R329" i="1"/>
  <c r="P326" i="1"/>
  <c r="Q326" i="1"/>
  <c r="P329" i="1"/>
  <c r="S326" i="1"/>
  <c r="T326" i="1"/>
  <c r="T328" i="1"/>
  <c r="L278" i="1"/>
  <c r="B318" i="1" s="1"/>
  <c r="L281" i="1"/>
  <c r="B321" i="1" s="1"/>
  <c r="L279" i="1"/>
  <c r="B319" i="1" s="1"/>
  <c r="F648" i="1"/>
  <c r="G667" i="1" s="1"/>
  <c r="B724" i="1" s="1"/>
  <c r="S328" i="1"/>
  <c r="P322" i="1"/>
  <c r="F322" i="1"/>
  <c r="D59" i="14" s="1"/>
  <c r="T322" i="1"/>
  <c r="S322" i="1"/>
  <c r="R322" i="1"/>
  <c r="Q322" i="1"/>
  <c r="R327" i="1"/>
  <c r="Q327" i="1"/>
  <c r="P327" i="1"/>
  <c r="F327" i="1"/>
  <c r="D64" i="14" s="1"/>
  <c r="T327" i="1"/>
  <c r="S327" i="1"/>
  <c r="F328" i="1"/>
  <c r="D65" i="14" s="1"/>
  <c r="P325" i="1"/>
  <c r="F325" i="1"/>
  <c r="D62" i="14" s="1"/>
  <c r="T325" i="1"/>
  <c r="S325" i="1"/>
  <c r="R325" i="1"/>
  <c r="Q325" i="1"/>
  <c r="P328" i="1"/>
  <c r="Q328" i="1"/>
  <c r="T323" i="1"/>
  <c r="S323" i="1"/>
  <c r="R323" i="1"/>
  <c r="Q323" i="1"/>
  <c r="P323" i="1"/>
  <c r="F323" i="1"/>
  <c r="D60" i="14" s="1"/>
  <c r="R324" i="1"/>
  <c r="Q324" i="1"/>
  <c r="P324" i="1"/>
  <c r="F324" i="1"/>
  <c r="D61" i="14" s="1"/>
  <c r="T324" i="1"/>
  <c r="S324" i="1"/>
  <c r="F66" i="3"/>
  <c r="F69" i="3"/>
  <c r="F63" i="3"/>
  <c r="F57" i="3"/>
  <c r="F60" i="3"/>
  <c r="F43" i="3"/>
  <c r="F49" i="3"/>
  <c r="F40" i="3"/>
  <c r="F46" i="3"/>
  <c r="F37" i="3"/>
  <c r="L153" i="1"/>
  <c r="E172" i="1" s="1"/>
  <c r="R371" i="1"/>
  <c r="Q371" i="1"/>
  <c r="F371" i="1"/>
  <c r="T371" i="1"/>
  <c r="P371" i="1"/>
  <c r="S371" i="1"/>
  <c r="L132" i="1"/>
  <c r="B172" i="1" s="1"/>
  <c r="K126" i="1"/>
  <c r="K130" i="1"/>
  <c r="E130" i="1"/>
  <c r="F130" i="1" s="1"/>
  <c r="H848" i="1"/>
  <c r="E866" i="1"/>
  <c r="E865" i="1"/>
  <c r="F814" i="1"/>
  <c r="H94" i="1"/>
  <c r="D91" i="1"/>
  <c r="H79" i="1"/>
  <c r="D75" i="1"/>
  <c r="D77" i="1"/>
  <c r="D94" i="1"/>
  <c r="H82" i="1"/>
  <c r="D79" i="1"/>
  <c r="H96" i="1"/>
  <c r="D93" i="1"/>
  <c r="H80" i="1"/>
  <c r="B71" i="1"/>
  <c r="B70" i="1"/>
  <c r="H93" i="1"/>
  <c r="D89" i="1"/>
  <c r="H77" i="1"/>
  <c r="H91" i="1"/>
  <c r="D82" i="1"/>
  <c r="H75" i="1"/>
  <c r="D80" i="1"/>
  <c r="D96" i="1"/>
  <c r="H89" i="1"/>
  <c r="L8" i="1"/>
  <c r="T8" i="1"/>
  <c r="P8" i="1"/>
  <c r="S8" i="1"/>
  <c r="R8" i="1"/>
  <c r="Q8" i="1"/>
  <c r="Q9" i="1"/>
  <c r="P9" i="1"/>
  <c r="L9" i="1"/>
  <c r="R9" i="1"/>
  <c r="T9" i="1"/>
  <c r="S9" i="1"/>
  <c r="S7" i="1"/>
  <c r="R7" i="1"/>
  <c r="Q7" i="1"/>
  <c r="T7" i="1"/>
  <c r="P7" i="1"/>
  <c r="L7" i="1"/>
  <c r="E138" i="1"/>
  <c r="F138" i="1" s="1"/>
  <c r="F134" i="1"/>
  <c r="K138" i="1"/>
  <c r="J133" i="1"/>
  <c r="K133" i="1" s="1"/>
  <c r="K125" i="1"/>
  <c r="E154" i="1"/>
  <c r="F154" i="1" s="1"/>
  <c r="J128" i="1"/>
  <c r="K128" i="1" s="1"/>
  <c r="E148" i="1"/>
  <c r="F148" i="1" s="1"/>
  <c r="K134" i="1"/>
  <c r="K137" i="1"/>
  <c r="K135" i="1"/>
  <c r="K139" i="1"/>
  <c r="K129" i="1"/>
  <c r="K136" i="1"/>
  <c r="K127" i="1"/>
  <c r="G115" i="3"/>
  <c r="H115" i="3" s="1"/>
  <c r="C130" i="3" s="1"/>
  <c r="H130" i="3" s="1"/>
  <c r="B172" i="3" s="1"/>
  <c r="G113" i="3"/>
  <c r="H113" i="3" s="1"/>
  <c r="C128" i="3" s="1"/>
  <c r="H128" i="3" s="1"/>
  <c r="B170" i="3" s="1"/>
  <c r="G111" i="3"/>
  <c r="H111" i="3" s="1"/>
  <c r="C126" i="3" s="1"/>
  <c r="H126" i="3" s="1"/>
  <c r="B168" i="3" s="1"/>
  <c r="G116" i="3"/>
  <c r="H116" i="3" s="1"/>
  <c r="C131" i="3" s="1"/>
  <c r="H131" i="3" s="1"/>
  <c r="B173" i="3" s="1"/>
  <c r="G114" i="3"/>
  <c r="H114" i="3" s="1"/>
  <c r="C129" i="3" s="1"/>
  <c r="H129" i="3" s="1"/>
  <c r="B171" i="3" s="1"/>
  <c r="G112" i="3"/>
  <c r="H112" i="3" s="1"/>
  <c r="C127" i="3" s="1"/>
  <c r="H127" i="3" s="1"/>
  <c r="B169" i="3" s="1"/>
  <c r="G144" i="3"/>
  <c r="H144" i="3" s="1"/>
  <c r="C158" i="3" s="1"/>
  <c r="J158" i="3" s="1"/>
  <c r="D172" i="3" s="1"/>
  <c r="G142" i="3"/>
  <c r="H142" i="3" s="1"/>
  <c r="C156" i="3" s="1"/>
  <c r="J156" i="3" s="1"/>
  <c r="D170" i="3" s="1"/>
  <c r="G140" i="3"/>
  <c r="H140" i="3" s="1"/>
  <c r="C154" i="3" s="1"/>
  <c r="J154" i="3" s="1"/>
  <c r="D168" i="3" s="1"/>
  <c r="G145" i="3"/>
  <c r="H145" i="3" s="1"/>
  <c r="C159" i="3" s="1"/>
  <c r="J159" i="3" s="1"/>
  <c r="D173" i="3" s="1"/>
  <c r="G143" i="3"/>
  <c r="H143" i="3" s="1"/>
  <c r="C157" i="3" s="1"/>
  <c r="J157" i="3" s="1"/>
  <c r="D171" i="3" s="1"/>
  <c r="G141" i="3"/>
  <c r="H141" i="3" s="1"/>
  <c r="C155" i="3" s="1"/>
  <c r="J155" i="3" s="1"/>
  <c r="D169" i="3" s="1"/>
  <c r="G138" i="3"/>
  <c r="H138" i="3" s="1"/>
  <c r="C152" i="3" s="1"/>
  <c r="J152" i="3" s="1"/>
  <c r="D166" i="3" s="1"/>
  <c r="G136" i="3"/>
  <c r="H136" i="3" s="1"/>
  <c r="C150" i="3" s="1"/>
  <c r="J150" i="3" s="1"/>
  <c r="D164" i="3" s="1"/>
  <c r="G139" i="3"/>
  <c r="H139" i="3" s="1"/>
  <c r="C153" i="3" s="1"/>
  <c r="J153" i="3" s="1"/>
  <c r="D167" i="3" s="1"/>
  <c r="G137" i="3"/>
  <c r="H137" i="3" s="1"/>
  <c r="C151" i="3" s="1"/>
  <c r="J151" i="3" s="1"/>
  <c r="D165" i="3" s="1"/>
  <c r="F71" i="3"/>
  <c r="F70" i="3"/>
  <c r="F68" i="3"/>
  <c r="F67" i="3"/>
  <c r="F65" i="3"/>
  <c r="F64" i="3"/>
  <c r="F62" i="3"/>
  <c r="F61" i="3"/>
  <c r="F59" i="3"/>
  <c r="F58" i="3"/>
  <c r="B30" i="3"/>
  <c r="F47" i="3"/>
  <c r="F41" i="3"/>
  <c r="F39" i="3"/>
  <c r="F38" i="3"/>
  <c r="C30" i="3"/>
  <c r="F48" i="3"/>
  <c r="F42" i="3"/>
  <c r="F50" i="3"/>
  <c r="F44" i="3"/>
  <c r="C31" i="3"/>
  <c r="F51" i="3"/>
  <c r="F45" i="3"/>
  <c r="B31" i="3"/>
  <c r="G109" i="3"/>
  <c r="H109" i="3" s="1"/>
  <c r="C124" i="3" s="1"/>
  <c r="H124" i="3" s="1"/>
  <c r="B166" i="3" s="1"/>
  <c r="G107" i="3"/>
  <c r="H107" i="3" s="1"/>
  <c r="C122" i="3" s="1"/>
  <c r="H122" i="3" s="1"/>
  <c r="B164" i="3" s="1"/>
  <c r="G110" i="3"/>
  <c r="H110" i="3" s="1"/>
  <c r="C125" i="3" s="1"/>
  <c r="H125" i="3" s="1"/>
  <c r="B167" i="3" s="1"/>
  <c r="G108" i="3"/>
  <c r="H108" i="3" s="1"/>
  <c r="C123" i="3" s="1"/>
  <c r="H123" i="3" s="1"/>
  <c r="B165" i="3" s="1"/>
  <c r="L16" i="3"/>
  <c r="L15" i="3"/>
  <c r="L14" i="3"/>
  <c r="K15" i="3"/>
  <c r="L13" i="3"/>
  <c r="L12" i="3"/>
  <c r="L11" i="3"/>
  <c r="L10" i="3"/>
  <c r="L9" i="3"/>
  <c r="L8" i="3"/>
  <c r="L7" i="3"/>
  <c r="K13" i="3"/>
  <c r="K12" i="3"/>
  <c r="K11" i="3"/>
  <c r="K10" i="3"/>
  <c r="K9" i="3"/>
  <c r="K8" i="3"/>
  <c r="K7" i="3"/>
  <c r="K16" i="3"/>
  <c r="V16" i="3" s="1"/>
  <c r="K14" i="3"/>
  <c r="E200" i="1"/>
  <c r="E234" i="1"/>
  <c r="E219" i="1"/>
  <c r="E223" i="1"/>
  <c r="E201" i="1"/>
  <c r="E195" i="1"/>
  <c r="C188" i="1"/>
  <c r="F206" i="1" s="1"/>
  <c r="G206" i="1" s="1"/>
  <c r="B251" i="1" s="1"/>
  <c r="E205" i="1"/>
  <c r="E227" i="1"/>
  <c r="E218" i="1"/>
  <c r="E222" i="1"/>
  <c r="E229" i="1"/>
  <c r="E199" i="1"/>
  <c r="E196" i="1"/>
  <c r="C189" i="1"/>
  <c r="F225" i="1" s="1"/>
  <c r="G225" i="1" s="1"/>
  <c r="E248" i="1" s="1"/>
  <c r="E212" i="1"/>
  <c r="E220" i="1"/>
  <c r="E224" i="1"/>
  <c r="E197" i="1"/>
  <c r="F197" i="1" s="1"/>
  <c r="G197" i="1" s="1"/>
  <c r="B242" i="1" s="1"/>
  <c r="E226" i="1"/>
  <c r="E232" i="1"/>
  <c r="E210" i="1"/>
  <c r="E208" i="1"/>
  <c r="E217" i="1"/>
  <c r="E221" i="1"/>
  <c r="E230" i="1"/>
  <c r="B189" i="1"/>
  <c r="F231" i="1" s="1"/>
  <c r="G231" i="1" s="1"/>
  <c r="E254" i="1" s="1"/>
  <c r="E202" i="1"/>
  <c r="E204" i="1"/>
  <c r="E198" i="1"/>
  <c r="B188" i="1"/>
  <c r="T37" i="1"/>
  <c r="P37" i="1"/>
  <c r="Q37" i="1"/>
  <c r="S37" i="1"/>
  <c r="L37" i="1"/>
  <c r="R37" i="1"/>
  <c r="Q39" i="1"/>
  <c r="T39" i="1"/>
  <c r="P39" i="1"/>
  <c r="R39" i="1"/>
  <c r="S39" i="1"/>
  <c r="L39" i="1"/>
  <c r="Q41" i="1"/>
  <c r="T41" i="1"/>
  <c r="P41" i="1"/>
  <c r="S41" i="1"/>
  <c r="L41" i="1"/>
  <c r="R41" i="1"/>
  <c r="R38" i="1"/>
  <c r="T38" i="1"/>
  <c r="P38" i="1"/>
  <c r="S38" i="1"/>
  <c r="L38" i="1"/>
  <c r="Q38" i="1"/>
  <c r="Q42" i="1"/>
  <c r="T42" i="1"/>
  <c r="P42" i="1"/>
  <c r="S42" i="1"/>
  <c r="L42" i="1"/>
  <c r="R42" i="1"/>
  <c r="Q40" i="1"/>
  <c r="T40" i="1"/>
  <c r="P40" i="1"/>
  <c r="S40" i="1"/>
  <c r="L40" i="1"/>
  <c r="R40" i="1"/>
  <c r="K118" i="4"/>
  <c r="K110" i="4"/>
  <c r="K106" i="4"/>
  <c r="K102" i="4"/>
  <c r="K98" i="4"/>
  <c r="K94" i="4"/>
  <c r="K117" i="4"/>
  <c r="K109" i="4"/>
  <c r="K105" i="4"/>
  <c r="K101" i="4"/>
  <c r="K97" i="4"/>
  <c r="K93" i="4"/>
  <c r="F118" i="4"/>
  <c r="L118" i="4" s="1"/>
  <c r="E150" i="4" s="1"/>
  <c r="K112" i="4"/>
  <c r="K108" i="4"/>
  <c r="K104" i="4"/>
  <c r="K100" i="4"/>
  <c r="K96" i="4"/>
  <c r="K92" i="4"/>
  <c r="F117" i="4"/>
  <c r="K111" i="4"/>
  <c r="K107" i="4"/>
  <c r="K103" i="4"/>
  <c r="K99" i="4"/>
  <c r="K95" i="4"/>
  <c r="K91" i="4"/>
  <c r="K149" i="1"/>
  <c r="K158" i="1"/>
  <c r="K154" i="1"/>
  <c r="K148" i="1"/>
  <c r="K151" i="1"/>
  <c r="K157" i="1"/>
  <c r="K147" i="1"/>
  <c r="K160" i="1"/>
  <c r="K156" i="1"/>
  <c r="K150" i="1"/>
  <c r="K146" i="1"/>
  <c r="K159" i="1"/>
  <c r="K155" i="1"/>
  <c r="F693" i="1"/>
  <c r="F691" i="1"/>
  <c r="F689" i="1"/>
  <c r="F683" i="1"/>
  <c r="F692" i="1"/>
  <c r="F690" i="1"/>
  <c r="F684" i="1"/>
  <c r="F682" i="1"/>
  <c r="F680" i="1"/>
  <c r="F679" i="1"/>
  <c r="F681" i="1"/>
  <c r="F151" i="1"/>
  <c r="F147" i="1"/>
  <c r="F160" i="1"/>
  <c r="F156" i="1"/>
  <c r="F150" i="1"/>
  <c r="F146" i="1"/>
  <c r="F155" i="1"/>
  <c r="L155" i="1" s="1"/>
  <c r="E174" i="1" s="1"/>
  <c r="F159" i="1"/>
  <c r="F149" i="1"/>
  <c r="F158" i="1"/>
  <c r="F157" i="1"/>
  <c r="P22" i="1"/>
  <c r="S22" i="1"/>
  <c r="L22" i="1"/>
  <c r="T22" i="1"/>
  <c r="R22" i="1"/>
  <c r="Q22" i="1"/>
  <c r="R20" i="1"/>
  <c r="Q20" i="1"/>
  <c r="T20" i="1"/>
  <c r="P20" i="1"/>
  <c r="S20" i="1"/>
  <c r="L20" i="1"/>
  <c r="R27" i="1"/>
  <c r="Q27" i="1"/>
  <c r="T27" i="1"/>
  <c r="P27" i="1"/>
  <c r="S27" i="1"/>
  <c r="L27" i="1"/>
  <c r="F652" i="1"/>
  <c r="F655" i="1"/>
  <c r="F653" i="1"/>
  <c r="F651" i="1"/>
  <c r="F646" i="1"/>
  <c r="F644" i="1"/>
  <c r="F642" i="1"/>
  <c r="F649" i="1"/>
  <c r="F654" i="1"/>
  <c r="F650" i="1"/>
  <c r="F645" i="1"/>
  <c r="F643" i="1"/>
  <c r="F641" i="1"/>
  <c r="F129" i="1"/>
  <c r="F136" i="1"/>
  <c r="F133" i="1"/>
  <c r="F128" i="1"/>
  <c r="F135" i="1"/>
  <c r="F137" i="1"/>
  <c r="F139" i="1"/>
  <c r="F127" i="1"/>
  <c r="F126" i="1"/>
  <c r="F125" i="1"/>
  <c r="F112" i="4"/>
  <c r="F108" i="4"/>
  <c r="F104" i="4"/>
  <c r="F100" i="4"/>
  <c r="F96" i="4"/>
  <c r="F92" i="4"/>
  <c r="F111" i="4"/>
  <c r="F107" i="4"/>
  <c r="F103" i="4"/>
  <c r="F99" i="4"/>
  <c r="F95" i="4"/>
  <c r="F91" i="4"/>
  <c r="F110" i="4"/>
  <c r="F106" i="4"/>
  <c r="F102" i="4"/>
  <c r="F98" i="4"/>
  <c r="F94" i="4"/>
  <c r="F109" i="4"/>
  <c r="F105" i="4"/>
  <c r="F101" i="4"/>
  <c r="F97" i="4"/>
  <c r="F93" i="4"/>
  <c r="S24" i="1"/>
  <c r="L24" i="1"/>
  <c r="P24" i="1"/>
  <c r="R24" i="1"/>
  <c r="Q24" i="1"/>
  <c r="T24" i="1"/>
  <c r="Q29" i="1"/>
  <c r="T29" i="1"/>
  <c r="P29" i="1"/>
  <c r="S29" i="1"/>
  <c r="L29" i="1"/>
  <c r="R29" i="1"/>
  <c r="K251" i="4"/>
  <c r="K314" i="4"/>
  <c r="K86" i="4"/>
  <c r="K78" i="4"/>
  <c r="K85" i="4"/>
  <c r="K77" i="4"/>
  <c r="K73" i="4"/>
  <c r="K69" i="4"/>
  <c r="K65" i="4"/>
  <c r="K61" i="4"/>
  <c r="K80" i="4"/>
  <c r="K76" i="4"/>
  <c r="K72" i="4"/>
  <c r="K315" i="4"/>
  <c r="K250" i="4"/>
  <c r="K79" i="4"/>
  <c r="K75" i="4"/>
  <c r="K71" i="4"/>
  <c r="K67" i="4"/>
  <c r="K63" i="4"/>
  <c r="K59" i="4"/>
  <c r="K70" i="4"/>
  <c r="K62" i="4"/>
  <c r="K74" i="4"/>
  <c r="K68" i="4"/>
  <c r="K60" i="4"/>
  <c r="K66" i="4"/>
  <c r="K64" i="4"/>
  <c r="F314" i="4"/>
  <c r="F80" i="4"/>
  <c r="F315" i="4"/>
  <c r="F251" i="4"/>
  <c r="F250" i="4"/>
  <c r="F79" i="4"/>
  <c r="L79" i="4" s="1"/>
  <c r="B143" i="4" s="1"/>
  <c r="F75" i="4"/>
  <c r="L75" i="4" s="1"/>
  <c r="B139" i="4" s="1"/>
  <c r="F71" i="4"/>
  <c r="L71" i="4" s="1"/>
  <c r="B135" i="4" s="1"/>
  <c r="F67" i="4"/>
  <c r="L67" i="4" s="1"/>
  <c r="B131" i="4" s="1"/>
  <c r="F63" i="4"/>
  <c r="L63" i="4" s="1"/>
  <c r="B127" i="4" s="1"/>
  <c r="F59" i="4"/>
  <c r="L59" i="4" s="1"/>
  <c r="B123" i="4" s="1"/>
  <c r="F86" i="4"/>
  <c r="F78" i="4"/>
  <c r="F74" i="4"/>
  <c r="F85" i="4"/>
  <c r="F77" i="4"/>
  <c r="F73" i="4"/>
  <c r="F69" i="4"/>
  <c r="F65" i="4"/>
  <c r="F61" i="4"/>
  <c r="F72" i="4"/>
  <c r="L72" i="4" s="1"/>
  <c r="B136" i="4" s="1"/>
  <c r="F64" i="4"/>
  <c r="F70" i="4"/>
  <c r="F62" i="4"/>
  <c r="F68" i="4"/>
  <c r="F60" i="4"/>
  <c r="F76" i="4"/>
  <c r="F66" i="4"/>
  <c r="S18" i="1"/>
  <c r="L18" i="1"/>
  <c r="T18" i="1"/>
  <c r="R18" i="1"/>
  <c r="Q18" i="1"/>
  <c r="P18" i="1"/>
  <c r="S26" i="1"/>
  <c r="L26" i="1"/>
  <c r="R26" i="1"/>
  <c r="T26" i="1"/>
  <c r="Q26" i="1"/>
  <c r="P26" i="1"/>
  <c r="R17" i="1"/>
  <c r="S17" i="1"/>
  <c r="Q17" i="1"/>
  <c r="L17" i="1"/>
  <c r="T17" i="1"/>
  <c r="P17" i="1"/>
  <c r="Q23" i="1"/>
  <c r="T23" i="1"/>
  <c r="P23" i="1"/>
  <c r="R23" i="1"/>
  <c r="S23" i="1"/>
  <c r="L23" i="1"/>
  <c r="T19" i="1"/>
  <c r="P19" i="1"/>
  <c r="L19" i="1"/>
  <c r="S19" i="1"/>
  <c r="R19" i="1"/>
  <c r="Q19" i="1"/>
  <c r="S28" i="1"/>
  <c r="L28" i="1"/>
  <c r="T28" i="1"/>
  <c r="R28" i="1"/>
  <c r="Q28" i="1"/>
  <c r="P28" i="1"/>
  <c r="R21" i="1"/>
  <c r="Q21" i="1"/>
  <c r="L21" i="1"/>
  <c r="T21" i="1"/>
  <c r="P21" i="1"/>
  <c r="S21" i="1"/>
  <c r="R25" i="1"/>
  <c r="Q25" i="1"/>
  <c r="T25" i="1"/>
  <c r="P25" i="1"/>
  <c r="S25" i="1"/>
  <c r="L25" i="1"/>
  <c r="T320" i="1" l="1"/>
  <c r="F320" i="1"/>
  <c r="Q320" i="1"/>
  <c r="R320" i="1"/>
  <c r="S320" i="1"/>
  <c r="Q174" i="4"/>
  <c r="V15" i="3"/>
  <c r="V12" i="3"/>
  <c r="V8" i="3"/>
  <c r="V10" i="3"/>
  <c r="V9" i="3"/>
  <c r="V14" i="3"/>
  <c r="V11" i="3"/>
  <c r="V7" i="3"/>
  <c r="V13" i="3"/>
  <c r="F209" i="1"/>
  <c r="G209" i="1" s="1"/>
  <c r="B254" i="1" s="1"/>
  <c r="F211" i="1"/>
  <c r="G211" i="1" s="1"/>
  <c r="B256" i="1" s="1"/>
  <c r="L459" i="1"/>
  <c r="E476" i="1" s="1"/>
  <c r="Q552" i="1"/>
  <c r="L434" i="1"/>
  <c r="B482" i="1" s="1"/>
  <c r="L436" i="1"/>
  <c r="B470" i="1" s="1"/>
  <c r="R579" i="1"/>
  <c r="L460" i="1"/>
  <c r="E477" i="1" s="1"/>
  <c r="F233" i="1"/>
  <c r="G233" i="1" s="1"/>
  <c r="E256" i="1" s="1"/>
  <c r="G830" i="1"/>
  <c r="B848" i="1" s="1"/>
  <c r="L443" i="1"/>
  <c r="P551" i="1"/>
  <c r="P555" i="1"/>
  <c r="T552" i="1"/>
  <c r="S620" i="1"/>
  <c r="E621" i="1"/>
  <c r="T620" i="1"/>
  <c r="T623" i="1"/>
  <c r="G836" i="1"/>
  <c r="B854" i="1" s="1"/>
  <c r="P620" i="1"/>
  <c r="Q620" i="1"/>
  <c r="L437" i="1"/>
  <c r="B485" i="1" s="1"/>
  <c r="S552" i="1"/>
  <c r="R552" i="1"/>
  <c r="P552" i="1"/>
  <c r="L455" i="1"/>
  <c r="E486" i="1" s="1"/>
  <c r="L449" i="1"/>
  <c r="E466" i="1" s="1"/>
  <c r="Q554" i="1"/>
  <c r="G509" i="1"/>
  <c r="B546" i="1" s="1"/>
  <c r="F546" i="1" s="1"/>
  <c r="D914" i="1"/>
  <c r="T914" i="1" s="1"/>
  <c r="L451" i="1"/>
  <c r="E468" i="1" s="1"/>
  <c r="L442" i="1"/>
  <c r="B490" i="1" s="1"/>
  <c r="F490" i="1" s="1"/>
  <c r="Q621" i="1"/>
  <c r="F228" i="1"/>
  <c r="G228" i="1" s="1"/>
  <c r="E251" i="1" s="1"/>
  <c r="T251" i="1" s="1"/>
  <c r="S579" i="1"/>
  <c r="L439" i="1"/>
  <c r="B473" i="1" s="1"/>
  <c r="Q579" i="1"/>
  <c r="P579" i="1"/>
  <c r="T551" i="1"/>
  <c r="L444" i="1"/>
  <c r="B492" i="1" s="1"/>
  <c r="T579" i="1"/>
  <c r="G835" i="1"/>
  <c r="B853" i="1" s="1"/>
  <c r="T554" i="1"/>
  <c r="G512" i="1"/>
  <c r="B549" i="1" s="1"/>
  <c r="T549" i="1" s="1"/>
  <c r="S555" i="1"/>
  <c r="E469" i="1"/>
  <c r="R554" i="1"/>
  <c r="Q555" i="1"/>
  <c r="P545" i="1"/>
  <c r="S551" i="1"/>
  <c r="R556" i="1"/>
  <c r="S621" i="1"/>
  <c r="Q551" i="1"/>
  <c r="F554" i="1"/>
  <c r="R555" i="1"/>
  <c r="L454" i="1"/>
  <c r="E471" i="1" s="1"/>
  <c r="F551" i="1"/>
  <c r="S554" i="1"/>
  <c r="T555" i="1"/>
  <c r="P554" i="1"/>
  <c r="F555" i="1"/>
  <c r="R619" i="1"/>
  <c r="L458" i="1"/>
  <c r="E475" i="1" s="1"/>
  <c r="L453" i="1"/>
  <c r="E470" i="1" s="1"/>
  <c r="S470" i="1" s="1"/>
  <c r="L432" i="1"/>
  <c r="B480" i="1" s="1"/>
  <c r="P621" i="1"/>
  <c r="T621" i="1"/>
  <c r="P488" i="1"/>
  <c r="R621" i="1"/>
  <c r="F552" i="1"/>
  <c r="G511" i="1"/>
  <c r="B548" i="1" s="1"/>
  <c r="R548" i="1" s="1"/>
  <c r="G829" i="1"/>
  <c r="B847" i="1" s="1"/>
  <c r="I847" i="1" s="1"/>
  <c r="D865" i="1" s="1"/>
  <c r="T865" i="1" s="1"/>
  <c r="L450" i="1"/>
  <c r="E467" i="1" s="1"/>
  <c r="G833" i="1"/>
  <c r="B851" i="1" s="1"/>
  <c r="G507" i="1"/>
  <c r="B544" i="1" s="1"/>
  <c r="F544" i="1" s="1"/>
  <c r="E490" i="1"/>
  <c r="L438" i="1"/>
  <c r="B486" i="1" s="1"/>
  <c r="G510" i="1"/>
  <c r="B547" i="1" s="1"/>
  <c r="Q547" i="1" s="1"/>
  <c r="R551" i="1"/>
  <c r="E474" i="1"/>
  <c r="F203" i="1"/>
  <c r="G203" i="1" s="1"/>
  <c r="B248" i="1" s="1"/>
  <c r="S623" i="1"/>
  <c r="F556" i="1"/>
  <c r="E473" i="1"/>
  <c r="P619" i="1"/>
  <c r="T619" i="1"/>
  <c r="E619" i="1"/>
  <c r="S556" i="1"/>
  <c r="L83" i="4"/>
  <c r="B147" i="4" s="1"/>
  <c r="F147" i="4" s="1"/>
  <c r="D79" i="12" s="1"/>
  <c r="S619" i="1"/>
  <c r="Q619" i="1"/>
  <c r="J407" i="1"/>
  <c r="E414" i="1" s="1"/>
  <c r="T556" i="1"/>
  <c r="Q556" i="1"/>
  <c r="D924" i="1"/>
  <c r="L56" i="1"/>
  <c r="P556" i="1"/>
  <c r="L113" i="4"/>
  <c r="E145" i="4" s="1"/>
  <c r="E369" i="1"/>
  <c r="F369" i="1" s="1"/>
  <c r="E367" i="1"/>
  <c r="F367" i="1" s="1"/>
  <c r="E370" i="1"/>
  <c r="F370" i="1" s="1"/>
  <c r="E366" i="1"/>
  <c r="F199" i="1"/>
  <c r="G199" i="1" s="1"/>
  <c r="B244" i="1" s="1"/>
  <c r="L81" i="4"/>
  <c r="B145" i="4" s="1"/>
  <c r="L116" i="4"/>
  <c r="E148" i="4" s="1"/>
  <c r="Q148" i="4" s="1"/>
  <c r="Q146" i="4"/>
  <c r="R146" i="4"/>
  <c r="T146" i="4"/>
  <c r="S146" i="4"/>
  <c r="P146" i="4"/>
  <c r="F146" i="4"/>
  <c r="D78" i="12" s="1"/>
  <c r="Q173" i="4"/>
  <c r="R173" i="4"/>
  <c r="S173" i="4"/>
  <c r="T173" i="4"/>
  <c r="R176" i="4"/>
  <c r="Q176" i="4"/>
  <c r="S176" i="4"/>
  <c r="T176" i="4"/>
  <c r="J406" i="1"/>
  <c r="E413" i="1" s="1"/>
  <c r="D918" i="1"/>
  <c r="R915" i="1" s="1"/>
  <c r="P174" i="4"/>
  <c r="L152" i="1"/>
  <c r="E171" i="1" s="1"/>
  <c r="L723" i="1"/>
  <c r="K723" i="1"/>
  <c r="M723" i="1"/>
  <c r="E723" i="1"/>
  <c r="N723" i="1"/>
  <c r="O723" i="1"/>
  <c r="S723" i="1"/>
  <c r="H723" i="1"/>
  <c r="R723" i="1"/>
  <c r="V723" i="1" s="1"/>
  <c r="G513" i="1"/>
  <c r="B550" i="1" s="1"/>
  <c r="F550" i="1" s="1"/>
  <c r="R174" i="4"/>
  <c r="S174" i="4"/>
  <c r="J396" i="1"/>
  <c r="B412" i="1" s="1"/>
  <c r="E623" i="1"/>
  <c r="R623" i="1"/>
  <c r="Q623" i="1"/>
  <c r="P623" i="1"/>
  <c r="Q545" i="1"/>
  <c r="S545" i="1"/>
  <c r="S546" i="1"/>
  <c r="T545" i="1"/>
  <c r="E492" i="1"/>
  <c r="R492" i="1" s="1"/>
  <c r="R488" i="1"/>
  <c r="F545" i="1"/>
  <c r="R545" i="1"/>
  <c r="B474" i="1"/>
  <c r="H63" i="14"/>
  <c r="R546" i="1"/>
  <c r="F488" i="1"/>
  <c r="S488" i="1"/>
  <c r="T488" i="1"/>
  <c r="Q488" i="1"/>
  <c r="B468" i="1"/>
  <c r="B471" i="1"/>
  <c r="B489" i="1"/>
  <c r="G63" i="14"/>
  <c r="K66" i="14"/>
  <c r="J66" i="14"/>
  <c r="L131" i="1"/>
  <c r="B171" i="1" s="1"/>
  <c r="F66" i="14"/>
  <c r="K63" i="14"/>
  <c r="J63" i="14"/>
  <c r="F63" i="14"/>
  <c r="H66" i="14"/>
  <c r="L126" i="1"/>
  <c r="B166" i="1" s="1"/>
  <c r="G66" i="14"/>
  <c r="K341" i="4"/>
  <c r="G373" i="4" s="1"/>
  <c r="I341" i="4"/>
  <c r="D373" i="4" s="1"/>
  <c r="F918" i="1"/>
  <c r="G919" i="1" s="1"/>
  <c r="G920" i="1"/>
  <c r="G262" i="4"/>
  <c r="B358" i="4" s="1"/>
  <c r="I262" i="4"/>
  <c r="F358" i="4" s="1"/>
  <c r="P546" i="1"/>
  <c r="I323" i="4"/>
  <c r="D355" i="4" s="1"/>
  <c r="K323" i="4"/>
  <c r="G355" i="4" s="1"/>
  <c r="I269" i="4"/>
  <c r="F365" i="4" s="1"/>
  <c r="G269" i="4"/>
  <c r="B365" i="4" s="1"/>
  <c r="F459" i="4"/>
  <c r="G458" i="4"/>
  <c r="G457" i="4"/>
  <c r="K328" i="4"/>
  <c r="G360" i="4" s="1"/>
  <c r="I328" i="4"/>
  <c r="D360" i="4" s="1"/>
  <c r="I273" i="4"/>
  <c r="F369" i="4" s="1"/>
  <c r="G273" i="4"/>
  <c r="B369" i="4" s="1"/>
  <c r="B467" i="1"/>
  <c r="B481" i="1"/>
  <c r="J405" i="1"/>
  <c r="E412" i="1" s="1"/>
  <c r="K320" i="4"/>
  <c r="G352" i="4" s="1"/>
  <c r="I320" i="4"/>
  <c r="D352" i="4" s="1"/>
  <c r="K321" i="4"/>
  <c r="G353" i="4" s="1"/>
  <c r="I321" i="4"/>
  <c r="D353" i="4" s="1"/>
  <c r="I336" i="4"/>
  <c r="D368" i="4" s="1"/>
  <c r="K336" i="4"/>
  <c r="G368" i="4" s="1"/>
  <c r="K331" i="4"/>
  <c r="G363" i="4" s="1"/>
  <c r="I331" i="4"/>
  <c r="D363" i="4" s="1"/>
  <c r="I257" i="4"/>
  <c r="F353" i="4" s="1"/>
  <c r="G257" i="4"/>
  <c r="B353" i="4" s="1"/>
  <c r="I261" i="4"/>
  <c r="F357" i="4" s="1"/>
  <c r="G261" i="4"/>
  <c r="B357" i="4" s="1"/>
  <c r="I265" i="4"/>
  <c r="F361" i="4" s="1"/>
  <c r="G265" i="4"/>
  <c r="B361" i="4" s="1"/>
  <c r="I259" i="4"/>
  <c r="F355" i="4" s="1"/>
  <c r="G259" i="4"/>
  <c r="B355" i="4" s="1"/>
  <c r="B491" i="1"/>
  <c r="B477" i="1"/>
  <c r="I322" i="4"/>
  <c r="D354" i="4" s="1"/>
  <c r="K322" i="4"/>
  <c r="G354" i="4" s="1"/>
  <c r="I340" i="4"/>
  <c r="D372" i="4" s="1"/>
  <c r="K340" i="4"/>
  <c r="G372" i="4" s="1"/>
  <c r="I264" i="4"/>
  <c r="F360" i="4" s="1"/>
  <c r="G264" i="4"/>
  <c r="B360" i="4" s="1"/>
  <c r="I277" i="4"/>
  <c r="F373" i="4" s="1"/>
  <c r="G277" i="4"/>
  <c r="B373" i="4" s="1"/>
  <c r="I325" i="4"/>
  <c r="D357" i="4" s="1"/>
  <c r="K325" i="4"/>
  <c r="G357" i="4" s="1"/>
  <c r="I275" i="4"/>
  <c r="F371" i="4" s="1"/>
  <c r="G275" i="4"/>
  <c r="B371" i="4" s="1"/>
  <c r="T546" i="1"/>
  <c r="K330" i="4"/>
  <c r="G362" i="4" s="1"/>
  <c r="I330" i="4"/>
  <c r="D362" i="4" s="1"/>
  <c r="P543" i="1"/>
  <c r="Q543" i="1"/>
  <c r="F543" i="1"/>
  <c r="T543" i="1"/>
  <c r="S543" i="1"/>
  <c r="R543" i="1"/>
  <c r="I267" i="4"/>
  <c r="F363" i="4" s="1"/>
  <c r="G267" i="4"/>
  <c r="B363" i="4" s="1"/>
  <c r="Q546" i="1"/>
  <c r="R470" i="1"/>
  <c r="B484" i="1"/>
  <c r="Q553" i="1"/>
  <c r="F553" i="1"/>
  <c r="S553" i="1"/>
  <c r="P553" i="1"/>
  <c r="T553" i="1"/>
  <c r="R553" i="1"/>
  <c r="B469" i="1"/>
  <c r="P469" i="1" s="1"/>
  <c r="B483" i="1"/>
  <c r="Q483" i="1" s="1"/>
  <c r="I339" i="4"/>
  <c r="D371" i="4" s="1"/>
  <c r="K339" i="4"/>
  <c r="G371" i="4" s="1"/>
  <c r="I327" i="4"/>
  <c r="D359" i="4" s="1"/>
  <c r="K327" i="4"/>
  <c r="G359" i="4" s="1"/>
  <c r="K326" i="4"/>
  <c r="G358" i="4" s="1"/>
  <c r="I326" i="4"/>
  <c r="D358" i="4" s="1"/>
  <c r="I334" i="4"/>
  <c r="D366" i="4" s="1"/>
  <c r="K334" i="4"/>
  <c r="G366" i="4" s="1"/>
  <c r="J398" i="1"/>
  <c r="B414" i="1" s="1"/>
  <c r="I274" i="4"/>
  <c r="F370" i="4" s="1"/>
  <c r="G274" i="4"/>
  <c r="B370" i="4" s="1"/>
  <c r="I268" i="4"/>
  <c r="F364" i="4" s="1"/>
  <c r="G268" i="4"/>
  <c r="B364" i="4" s="1"/>
  <c r="I271" i="4"/>
  <c r="F367" i="4" s="1"/>
  <c r="G271" i="4"/>
  <c r="B367" i="4" s="1"/>
  <c r="G266" i="4"/>
  <c r="B362" i="4" s="1"/>
  <c r="I266" i="4"/>
  <c r="F362" i="4" s="1"/>
  <c r="Q548" i="1"/>
  <c r="K338" i="4"/>
  <c r="G370" i="4" s="1"/>
  <c r="I338" i="4"/>
  <c r="D370" i="4" s="1"/>
  <c r="I263" i="4"/>
  <c r="F359" i="4" s="1"/>
  <c r="G263" i="4"/>
  <c r="B359" i="4" s="1"/>
  <c r="K335" i="4"/>
  <c r="G367" i="4" s="1"/>
  <c r="I335" i="4"/>
  <c r="D367" i="4" s="1"/>
  <c r="I272" i="4"/>
  <c r="F368" i="4" s="1"/>
  <c r="G272" i="4"/>
  <c r="B368" i="4" s="1"/>
  <c r="K329" i="4"/>
  <c r="G361" i="4" s="1"/>
  <c r="I329" i="4"/>
  <c r="D361" i="4" s="1"/>
  <c r="G260" i="4"/>
  <c r="B356" i="4" s="1"/>
  <c r="I260" i="4"/>
  <c r="F356" i="4" s="1"/>
  <c r="K324" i="4"/>
  <c r="G356" i="4" s="1"/>
  <c r="I324" i="4"/>
  <c r="D356" i="4" s="1"/>
  <c r="I332" i="4"/>
  <c r="D364" i="4" s="1"/>
  <c r="K332" i="4"/>
  <c r="G364" i="4" s="1"/>
  <c r="I333" i="4"/>
  <c r="D365" i="4" s="1"/>
  <c r="K333" i="4"/>
  <c r="G365" i="4" s="1"/>
  <c r="I337" i="4"/>
  <c r="D369" i="4" s="1"/>
  <c r="K337" i="4"/>
  <c r="G369" i="4" s="1"/>
  <c r="J397" i="1"/>
  <c r="B413" i="1" s="1"/>
  <c r="I258" i="4"/>
  <c r="F354" i="4" s="1"/>
  <c r="G258" i="4"/>
  <c r="B354" i="4" s="1"/>
  <c r="G256" i="4"/>
  <c r="B352" i="4" s="1"/>
  <c r="I256" i="4"/>
  <c r="F352" i="4" s="1"/>
  <c r="I276" i="4"/>
  <c r="F372" i="4" s="1"/>
  <c r="G276" i="4"/>
  <c r="B372" i="4" s="1"/>
  <c r="G270" i="4"/>
  <c r="B366" i="4" s="1"/>
  <c r="I270" i="4"/>
  <c r="F366" i="4" s="1"/>
  <c r="G453" i="4"/>
  <c r="G66" i="3"/>
  <c r="H66" i="3" s="1"/>
  <c r="E85" i="3" s="1"/>
  <c r="I667" i="1"/>
  <c r="F724" i="1" s="1"/>
  <c r="S724" i="1" s="1"/>
  <c r="F319" i="1"/>
  <c r="S319" i="1"/>
  <c r="T319" i="1"/>
  <c r="Q319" i="1"/>
  <c r="R319" i="1"/>
  <c r="P319" i="1"/>
  <c r="F321" i="1"/>
  <c r="Q321" i="1"/>
  <c r="T321" i="1"/>
  <c r="S321" i="1"/>
  <c r="P321" i="1"/>
  <c r="R321" i="1"/>
  <c r="P318" i="1"/>
  <c r="F318" i="1"/>
  <c r="S318" i="1"/>
  <c r="Q318" i="1"/>
  <c r="T318" i="1"/>
  <c r="R318" i="1"/>
  <c r="I65" i="14"/>
  <c r="J65" i="14"/>
  <c r="K65" i="14"/>
  <c r="H65" i="14"/>
  <c r="G65" i="14"/>
  <c r="F65" i="14"/>
  <c r="G64" i="14"/>
  <c r="K64" i="14"/>
  <c r="I64" i="14"/>
  <c r="H64" i="14"/>
  <c r="J64" i="14"/>
  <c r="F64" i="14"/>
  <c r="K61" i="14"/>
  <c r="G61" i="14"/>
  <c r="H61" i="14"/>
  <c r="J61" i="14"/>
  <c r="F61" i="14"/>
  <c r="I61" i="14"/>
  <c r="I60" i="14"/>
  <c r="F60" i="14"/>
  <c r="H60" i="14"/>
  <c r="G60" i="14"/>
  <c r="K60" i="14"/>
  <c r="J60" i="14"/>
  <c r="F62" i="14"/>
  <c r="K62" i="14"/>
  <c r="I62" i="14"/>
  <c r="G62" i="14"/>
  <c r="H62" i="14"/>
  <c r="J62" i="14"/>
  <c r="I59" i="14"/>
  <c r="H59" i="14"/>
  <c r="J59" i="14"/>
  <c r="G59" i="14"/>
  <c r="F59" i="14"/>
  <c r="K59" i="14"/>
  <c r="G60" i="3"/>
  <c r="H60" i="3" s="1"/>
  <c r="E79" i="3" s="1"/>
  <c r="G69" i="3"/>
  <c r="H69" i="3" s="1"/>
  <c r="E88" i="3" s="1"/>
  <c r="G49" i="3"/>
  <c r="H49" i="3" s="1"/>
  <c r="B88" i="3" s="1"/>
  <c r="G57" i="3"/>
  <c r="H57" i="3" s="1"/>
  <c r="E76" i="3" s="1"/>
  <c r="G63" i="3"/>
  <c r="H63" i="3" s="1"/>
  <c r="E82" i="3" s="1"/>
  <c r="G37" i="3"/>
  <c r="H37" i="3" s="1"/>
  <c r="B76" i="3" s="1"/>
  <c r="G46" i="3"/>
  <c r="H46" i="3" s="1"/>
  <c r="B85" i="3" s="1"/>
  <c r="G40" i="3"/>
  <c r="H40" i="3" s="1"/>
  <c r="B79" i="3" s="1"/>
  <c r="G43" i="3"/>
  <c r="H43" i="3" s="1"/>
  <c r="B82" i="3" s="1"/>
  <c r="L724" i="1"/>
  <c r="M724" i="1"/>
  <c r="N724" i="1"/>
  <c r="O724" i="1"/>
  <c r="K724" i="1"/>
  <c r="E724" i="1"/>
  <c r="H374" i="1"/>
  <c r="H373" i="1"/>
  <c r="S172" i="1"/>
  <c r="T172" i="1"/>
  <c r="F172" i="1"/>
  <c r="D30" i="12" s="1"/>
  <c r="P172" i="1"/>
  <c r="Q172" i="1"/>
  <c r="R172" i="1"/>
  <c r="I78" i="1"/>
  <c r="I81" i="1"/>
  <c r="I76" i="1"/>
  <c r="E78" i="1"/>
  <c r="E76" i="1"/>
  <c r="E81" i="1"/>
  <c r="E95" i="1"/>
  <c r="E90" i="1"/>
  <c r="I92" i="1"/>
  <c r="E92" i="1"/>
  <c r="I95" i="1"/>
  <c r="I90" i="1"/>
  <c r="F232" i="1"/>
  <c r="G232" i="1" s="1"/>
  <c r="E255" i="1" s="1"/>
  <c r="F208" i="1"/>
  <c r="G208" i="1" s="1"/>
  <c r="B253" i="1" s="1"/>
  <c r="L74" i="4"/>
  <c r="B138" i="4" s="1"/>
  <c r="L61" i="4"/>
  <c r="B125" i="4" s="1"/>
  <c r="L78" i="4"/>
  <c r="B142" i="4" s="1"/>
  <c r="L110" i="4"/>
  <c r="E142" i="4" s="1"/>
  <c r="L109" i="4"/>
  <c r="E141" i="4" s="1"/>
  <c r="L70" i="4"/>
  <c r="B134" i="4" s="1"/>
  <c r="L112" i="4"/>
  <c r="E144" i="4" s="1"/>
  <c r="F210" i="1"/>
  <c r="G210" i="1" s="1"/>
  <c r="B255" i="1" s="1"/>
  <c r="L105" i="4"/>
  <c r="E137" i="4" s="1"/>
  <c r="L111" i="4"/>
  <c r="E143" i="4" s="1"/>
  <c r="T143" i="4" s="1"/>
  <c r="L64" i="4"/>
  <c r="B128" i="4" s="1"/>
  <c r="L91" i="4"/>
  <c r="E123" i="4" s="1"/>
  <c r="P123" i="4" s="1"/>
  <c r="F230" i="1"/>
  <c r="G230" i="1" s="1"/>
  <c r="E253" i="1" s="1"/>
  <c r="F198" i="1"/>
  <c r="G198" i="1" s="1"/>
  <c r="B243" i="1" s="1"/>
  <c r="F243" i="1" s="1"/>
  <c r="F200" i="1"/>
  <c r="G200" i="1" s="1"/>
  <c r="B245" i="1" s="1"/>
  <c r="F245" i="1" s="1"/>
  <c r="F219" i="1"/>
  <c r="G219" i="1" s="1"/>
  <c r="E242" i="1" s="1"/>
  <c r="Q242" i="1" s="1"/>
  <c r="L73" i="4"/>
  <c r="B137" i="4" s="1"/>
  <c r="L76" i="4"/>
  <c r="B140" i="4" s="1"/>
  <c r="L85" i="4"/>
  <c r="B149" i="4" s="1"/>
  <c r="L80" i="4"/>
  <c r="B144" i="4" s="1"/>
  <c r="L62" i="4"/>
  <c r="B126" i="4" s="1"/>
  <c r="L106" i="4"/>
  <c r="E138" i="4" s="1"/>
  <c r="L108" i="4"/>
  <c r="E140" i="4" s="1"/>
  <c r="L77" i="4"/>
  <c r="B141" i="4" s="1"/>
  <c r="L102" i="4"/>
  <c r="E134" i="4" s="1"/>
  <c r="L104" i="4"/>
  <c r="E136" i="4" s="1"/>
  <c r="T136" i="4" s="1"/>
  <c r="L101" i="4"/>
  <c r="E133" i="4" s="1"/>
  <c r="L107" i="4"/>
  <c r="E139" i="4" s="1"/>
  <c r="S139" i="4" s="1"/>
  <c r="L95" i="4"/>
  <c r="E127" i="4" s="1"/>
  <c r="P127" i="4" s="1"/>
  <c r="L60" i="4"/>
  <c r="B124" i="4" s="1"/>
  <c r="L93" i="4"/>
  <c r="E125" i="4" s="1"/>
  <c r="L98" i="4"/>
  <c r="E130" i="4" s="1"/>
  <c r="L99" i="4"/>
  <c r="E131" i="4" s="1"/>
  <c r="T131" i="4" s="1"/>
  <c r="L100" i="4"/>
  <c r="E132" i="4" s="1"/>
  <c r="L94" i="4"/>
  <c r="E126" i="4" s="1"/>
  <c r="L68" i="4"/>
  <c r="B132" i="4" s="1"/>
  <c r="L65" i="4"/>
  <c r="B129" i="4" s="1"/>
  <c r="L97" i="4"/>
  <c r="E129" i="4" s="1"/>
  <c r="L103" i="4"/>
  <c r="E135" i="4" s="1"/>
  <c r="F135" i="4" s="1"/>
  <c r="D67" i="12" s="1"/>
  <c r="K67" i="12" s="1"/>
  <c r="L66" i="4"/>
  <c r="B130" i="4" s="1"/>
  <c r="L92" i="4"/>
  <c r="E124" i="4" s="1"/>
  <c r="L96" i="4"/>
  <c r="E128" i="4" s="1"/>
  <c r="L69" i="4"/>
  <c r="B133" i="4" s="1"/>
  <c r="L86" i="4"/>
  <c r="B150" i="4" s="1"/>
  <c r="F150" i="4" s="1"/>
  <c r="D82" i="12" s="1"/>
  <c r="K82" i="12" s="1"/>
  <c r="L117" i="4"/>
  <c r="E149" i="4" s="1"/>
  <c r="L130" i="1"/>
  <c r="B170" i="1" s="1"/>
  <c r="L134" i="1"/>
  <c r="B174" i="1" s="1"/>
  <c r="F174" i="1" s="1"/>
  <c r="L138" i="1"/>
  <c r="B178" i="1" s="1"/>
  <c r="L156" i="1"/>
  <c r="E175" i="1" s="1"/>
  <c r="L147" i="1"/>
  <c r="E166" i="1" s="1"/>
  <c r="L129" i="1"/>
  <c r="B169" i="1" s="1"/>
  <c r="F202" i="1"/>
  <c r="G202" i="1" s="1"/>
  <c r="B247" i="1" s="1"/>
  <c r="F221" i="1"/>
  <c r="G221" i="1" s="1"/>
  <c r="E244" i="1" s="1"/>
  <c r="F218" i="1"/>
  <c r="G218" i="1" s="1"/>
  <c r="E241" i="1" s="1"/>
  <c r="F220" i="1"/>
  <c r="G220" i="1" s="1"/>
  <c r="E243" i="1" s="1"/>
  <c r="F201" i="1"/>
  <c r="G201" i="1" s="1"/>
  <c r="B246" i="1" s="1"/>
  <c r="F223" i="1"/>
  <c r="G223" i="1" s="1"/>
  <c r="E246" i="1" s="1"/>
  <c r="F227" i="1"/>
  <c r="G227" i="1" s="1"/>
  <c r="E250" i="1" s="1"/>
  <c r="F217" i="1"/>
  <c r="G217" i="1" s="1"/>
  <c r="E240" i="1" s="1"/>
  <c r="F226" i="1"/>
  <c r="G226" i="1" s="1"/>
  <c r="E249" i="1" s="1"/>
  <c r="F229" i="1"/>
  <c r="G229" i="1" s="1"/>
  <c r="E252" i="1" s="1"/>
  <c r="F222" i="1"/>
  <c r="G222" i="1" s="1"/>
  <c r="E245" i="1" s="1"/>
  <c r="F212" i="1"/>
  <c r="G212" i="1" s="1"/>
  <c r="B257" i="1" s="1"/>
  <c r="F224" i="1"/>
  <c r="G224" i="1" s="1"/>
  <c r="E247" i="1" s="1"/>
  <c r="P247" i="1" s="1"/>
  <c r="F234" i="1"/>
  <c r="G234" i="1" s="1"/>
  <c r="E257" i="1" s="1"/>
  <c r="E867" i="1"/>
  <c r="H849" i="1"/>
  <c r="I848" i="1"/>
  <c r="D866" i="1" s="1"/>
  <c r="F815" i="1"/>
  <c r="G814" i="1"/>
  <c r="B868" i="1" s="1"/>
  <c r="I96" i="1"/>
  <c r="E93" i="1"/>
  <c r="E94" i="1"/>
  <c r="E96" i="1"/>
  <c r="I89" i="1"/>
  <c r="I94" i="1"/>
  <c r="E91" i="1"/>
  <c r="I93" i="1"/>
  <c r="I91" i="1"/>
  <c r="E89" i="1"/>
  <c r="I80" i="1"/>
  <c r="E77" i="1"/>
  <c r="I82" i="1"/>
  <c r="E79" i="1"/>
  <c r="I79" i="1"/>
  <c r="E75" i="1"/>
  <c r="E80" i="1"/>
  <c r="E82" i="1"/>
  <c r="I75" i="1"/>
  <c r="I77" i="1"/>
  <c r="L136" i="1"/>
  <c r="B176" i="1" s="1"/>
  <c r="L128" i="1"/>
  <c r="B168" i="1" s="1"/>
  <c r="L137" i="1"/>
  <c r="B177" i="1" s="1"/>
  <c r="L159" i="1"/>
  <c r="E178" i="1" s="1"/>
  <c r="L135" i="1"/>
  <c r="B175" i="1" s="1"/>
  <c r="L157" i="1"/>
  <c r="E176" i="1" s="1"/>
  <c r="L151" i="1"/>
  <c r="E170" i="1" s="1"/>
  <c r="L127" i="1"/>
  <c r="B167" i="1" s="1"/>
  <c r="L125" i="1"/>
  <c r="B165" i="1" s="1"/>
  <c r="L158" i="1"/>
  <c r="E177" i="1" s="1"/>
  <c r="L139" i="1"/>
  <c r="B179" i="1" s="1"/>
  <c r="L149" i="1"/>
  <c r="E168" i="1" s="1"/>
  <c r="L160" i="1"/>
  <c r="E179" i="1" s="1"/>
  <c r="L133" i="1"/>
  <c r="B173" i="1" s="1"/>
  <c r="L154" i="1"/>
  <c r="E173" i="1" s="1"/>
  <c r="L150" i="1"/>
  <c r="E169" i="1" s="1"/>
  <c r="L148" i="1"/>
  <c r="E167" i="1" s="1"/>
  <c r="L146" i="1"/>
  <c r="E165" i="1" s="1"/>
  <c r="F195" i="1"/>
  <c r="G195" i="1" s="1"/>
  <c r="B240" i="1" s="1"/>
  <c r="S14" i="3"/>
  <c r="R14" i="3"/>
  <c r="Q14" i="3"/>
  <c r="U14" i="3"/>
  <c r="N14" i="3"/>
  <c r="T14" i="3"/>
  <c r="T9" i="3"/>
  <c r="N9" i="3"/>
  <c r="S9" i="3"/>
  <c r="R9" i="3"/>
  <c r="U9" i="3"/>
  <c r="Q9" i="3"/>
  <c r="S13" i="3"/>
  <c r="U13" i="3"/>
  <c r="N13" i="3"/>
  <c r="T13" i="3"/>
  <c r="R13" i="3"/>
  <c r="Q13" i="3"/>
  <c r="S15" i="3"/>
  <c r="U15" i="3"/>
  <c r="N15" i="3"/>
  <c r="T15" i="3"/>
  <c r="R15" i="3"/>
  <c r="Q15" i="3"/>
  <c r="S165" i="3"/>
  <c r="U165" i="3"/>
  <c r="Q165" i="3"/>
  <c r="R165" i="3"/>
  <c r="E165" i="3"/>
  <c r="T165" i="3"/>
  <c r="G71" i="3"/>
  <c r="H71" i="3" s="1"/>
  <c r="E90" i="3" s="1"/>
  <c r="G68" i="3"/>
  <c r="H68" i="3" s="1"/>
  <c r="E87" i="3" s="1"/>
  <c r="G65" i="3"/>
  <c r="H65" i="3" s="1"/>
  <c r="E84" i="3" s="1"/>
  <c r="G70" i="3"/>
  <c r="H70" i="3" s="1"/>
  <c r="E89" i="3" s="1"/>
  <c r="G67" i="3"/>
  <c r="H67" i="3" s="1"/>
  <c r="E86" i="3" s="1"/>
  <c r="G64" i="3"/>
  <c r="H64" i="3" s="1"/>
  <c r="E83" i="3" s="1"/>
  <c r="G42" i="3"/>
  <c r="H42" i="3" s="1"/>
  <c r="B81" i="3" s="1"/>
  <c r="G41" i="3"/>
  <c r="H41" i="3" s="1"/>
  <c r="B80" i="3" s="1"/>
  <c r="G39" i="3"/>
  <c r="H39" i="3" s="1"/>
  <c r="B78" i="3" s="1"/>
  <c r="G38" i="3"/>
  <c r="H38" i="3" s="1"/>
  <c r="B77" i="3" s="1"/>
  <c r="S173" i="3"/>
  <c r="R173" i="3"/>
  <c r="U173" i="3"/>
  <c r="Q173" i="3"/>
  <c r="T173" i="3"/>
  <c r="E173" i="3"/>
  <c r="F205" i="1"/>
  <c r="G205" i="1" s="1"/>
  <c r="B250" i="1" s="1"/>
  <c r="S16" i="3"/>
  <c r="R16" i="3"/>
  <c r="Q16" i="3"/>
  <c r="U16" i="3"/>
  <c r="N16" i="3"/>
  <c r="T16" i="3"/>
  <c r="T10" i="3"/>
  <c r="N10" i="3"/>
  <c r="S10" i="3"/>
  <c r="R10" i="3"/>
  <c r="U10" i="3"/>
  <c r="Q10" i="3"/>
  <c r="R167" i="3"/>
  <c r="U167" i="3"/>
  <c r="Q167" i="3"/>
  <c r="S167" i="3"/>
  <c r="T167" i="3"/>
  <c r="E167" i="3"/>
  <c r="G51" i="3"/>
  <c r="H51" i="3" s="1"/>
  <c r="B90" i="3" s="1"/>
  <c r="G50" i="3"/>
  <c r="H50" i="3" s="1"/>
  <c r="B89" i="3" s="1"/>
  <c r="G48" i="3"/>
  <c r="H48" i="3" s="1"/>
  <c r="B87" i="3" s="1"/>
  <c r="G47" i="3"/>
  <c r="H47" i="3" s="1"/>
  <c r="B86" i="3" s="1"/>
  <c r="G45" i="3"/>
  <c r="H45" i="3" s="1"/>
  <c r="B84" i="3" s="1"/>
  <c r="G44" i="3"/>
  <c r="H44" i="3" s="1"/>
  <c r="B83" i="3" s="1"/>
  <c r="S168" i="3"/>
  <c r="R168" i="3"/>
  <c r="U168" i="3"/>
  <c r="Q168" i="3"/>
  <c r="T168" i="3"/>
  <c r="E168" i="3"/>
  <c r="T7" i="3"/>
  <c r="N7" i="3"/>
  <c r="S7" i="3"/>
  <c r="R7" i="3"/>
  <c r="U7" i="3"/>
  <c r="Q7" i="3"/>
  <c r="T11" i="3"/>
  <c r="N11" i="3"/>
  <c r="S11" i="3"/>
  <c r="R11" i="3"/>
  <c r="U11" i="3"/>
  <c r="Q11" i="3"/>
  <c r="S164" i="3"/>
  <c r="U164" i="3"/>
  <c r="Q164" i="3"/>
  <c r="R164" i="3"/>
  <c r="E164" i="3"/>
  <c r="T164" i="3"/>
  <c r="S169" i="3"/>
  <c r="R169" i="3"/>
  <c r="U169" i="3"/>
  <c r="Q169" i="3"/>
  <c r="T169" i="3"/>
  <c r="E169" i="3"/>
  <c r="S170" i="3"/>
  <c r="R170" i="3"/>
  <c r="U170" i="3"/>
  <c r="Q170" i="3"/>
  <c r="T170" i="3"/>
  <c r="E170" i="3"/>
  <c r="T8" i="3"/>
  <c r="N8" i="3"/>
  <c r="S8" i="3"/>
  <c r="R8" i="3"/>
  <c r="U8" i="3"/>
  <c r="Q8" i="3"/>
  <c r="T12" i="3"/>
  <c r="N12" i="3"/>
  <c r="S12" i="3"/>
  <c r="R12" i="3"/>
  <c r="U12" i="3"/>
  <c r="Q12" i="3"/>
  <c r="S166" i="3"/>
  <c r="U166" i="3"/>
  <c r="Q166" i="3"/>
  <c r="R166" i="3"/>
  <c r="E166" i="3"/>
  <c r="T166" i="3"/>
  <c r="G62" i="3"/>
  <c r="H62" i="3" s="1"/>
  <c r="E81" i="3" s="1"/>
  <c r="G59" i="3"/>
  <c r="H59" i="3" s="1"/>
  <c r="E78" i="3" s="1"/>
  <c r="G61" i="3"/>
  <c r="H61" i="3" s="1"/>
  <c r="E80" i="3" s="1"/>
  <c r="G58" i="3"/>
  <c r="H58" i="3" s="1"/>
  <c r="E77" i="3" s="1"/>
  <c r="S171" i="3"/>
  <c r="R171" i="3"/>
  <c r="U171" i="3"/>
  <c r="Q171" i="3"/>
  <c r="T171" i="3"/>
  <c r="E171" i="3"/>
  <c r="S172" i="3"/>
  <c r="R172" i="3"/>
  <c r="U172" i="3"/>
  <c r="Q172" i="3"/>
  <c r="T172" i="3"/>
  <c r="E172" i="3"/>
  <c r="F204" i="1"/>
  <c r="G204" i="1" s="1"/>
  <c r="B249" i="1" s="1"/>
  <c r="F207" i="1"/>
  <c r="G207" i="1" s="1"/>
  <c r="B252" i="1" s="1"/>
  <c r="F196" i="1"/>
  <c r="G196" i="1" s="1"/>
  <c r="B241" i="1" s="1"/>
  <c r="F242" i="1"/>
  <c r="F244" i="1"/>
  <c r="L315" i="4"/>
  <c r="K347" i="4"/>
  <c r="G379" i="4" s="1"/>
  <c r="I347" i="4"/>
  <c r="D379" i="4" s="1"/>
  <c r="G664" i="1"/>
  <c r="B721" i="1" s="1"/>
  <c r="I664" i="1"/>
  <c r="F721" i="1" s="1"/>
  <c r="G661" i="1"/>
  <c r="B718" i="1" s="1"/>
  <c r="I661" i="1"/>
  <c r="F718" i="1" s="1"/>
  <c r="I672" i="1"/>
  <c r="F729" i="1" s="1"/>
  <c r="G672" i="1"/>
  <c r="B729" i="1" s="1"/>
  <c r="I699" i="1"/>
  <c r="D718" i="1" s="1"/>
  <c r="K699" i="1"/>
  <c r="G718" i="1" s="1"/>
  <c r="I711" i="1"/>
  <c r="D730" i="1" s="1"/>
  <c r="K711" i="1"/>
  <c r="G730" i="1" s="1"/>
  <c r="K712" i="1"/>
  <c r="G731" i="1" s="1"/>
  <c r="I712" i="1"/>
  <c r="D731" i="1" s="1"/>
  <c r="G669" i="1"/>
  <c r="B726" i="1" s="1"/>
  <c r="I669" i="1"/>
  <c r="F726" i="1" s="1"/>
  <c r="G663" i="1"/>
  <c r="B720" i="1" s="1"/>
  <c r="I663" i="1"/>
  <c r="F720" i="1" s="1"/>
  <c r="I674" i="1"/>
  <c r="F731" i="1" s="1"/>
  <c r="G674" i="1"/>
  <c r="B731" i="1" s="1"/>
  <c r="I701" i="1"/>
  <c r="D720" i="1" s="1"/>
  <c r="K701" i="1"/>
  <c r="G720" i="1" s="1"/>
  <c r="K702" i="1"/>
  <c r="G721" i="1" s="1"/>
  <c r="I702" i="1"/>
  <c r="D721" i="1" s="1"/>
  <c r="I282" i="4"/>
  <c r="F378" i="4" s="1"/>
  <c r="L250" i="4"/>
  <c r="G282" i="4"/>
  <c r="B378" i="4" s="1"/>
  <c r="I346" i="4"/>
  <c r="D378" i="4" s="1"/>
  <c r="K346" i="4"/>
  <c r="G378" i="4" s="1"/>
  <c r="L314" i="4"/>
  <c r="G660" i="1"/>
  <c r="B717" i="1" s="1"/>
  <c r="I660" i="1"/>
  <c r="F717" i="1" s="1"/>
  <c r="I673" i="1"/>
  <c r="F730" i="1" s="1"/>
  <c r="G673" i="1"/>
  <c r="B730" i="1" s="1"/>
  <c r="G665" i="1"/>
  <c r="B722" i="1" s="1"/>
  <c r="I665" i="1"/>
  <c r="F722" i="1" s="1"/>
  <c r="I671" i="1"/>
  <c r="F728" i="1" s="1"/>
  <c r="G671" i="1"/>
  <c r="B728" i="1" s="1"/>
  <c r="K700" i="1"/>
  <c r="G719" i="1" s="1"/>
  <c r="I700" i="1"/>
  <c r="D719" i="1" s="1"/>
  <c r="I703" i="1"/>
  <c r="D722" i="1" s="1"/>
  <c r="K703" i="1"/>
  <c r="G722" i="1" s="1"/>
  <c r="K708" i="1"/>
  <c r="G727" i="1" s="1"/>
  <c r="I708" i="1"/>
  <c r="D727" i="1" s="1"/>
  <c r="G283" i="4"/>
  <c r="B379" i="4" s="1"/>
  <c r="I283" i="4"/>
  <c r="F379" i="4" s="1"/>
  <c r="L251" i="4"/>
  <c r="G662" i="1"/>
  <c r="B719" i="1" s="1"/>
  <c r="I662" i="1"/>
  <c r="F719" i="1" s="1"/>
  <c r="G668" i="1"/>
  <c r="B725" i="1" s="1"/>
  <c r="I668" i="1"/>
  <c r="F725" i="1" s="1"/>
  <c r="I670" i="1"/>
  <c r="F727" i="1" s="1"/>
  <c r="G670" i="1"/>
  <c r="B727" i="1" s="1"/>
  <c r="K698" i="1"/>
  <c r="G717" i="1" s="1"/>
  <c r="I698" i="1"/>
  <c r="D717" i="1" s="1"/>
  <c r="I709" i="1"/>
  <c r="D728" i="1" s="1"/>
  <c r="K709" i="1"/>
  <c r="G728" i="1" s="1"/>
  <c r="K710" i="1"/>
  <c r="G729" i="1" s="1"/>
  <c r="I710" i="1"/>
  <c r="D729" i="1" s="1"/>
  <c r="Q244" i="1" l="1"/>
  <c r="S251" i="1"/>
  <c r="P252" i="1"/>
  <c r="Q252" i="1"/>
  <c r="S252" i="1"/>
  <c r="R252" i="1"/>
  <c r="T252" i="1"/>
  <c r="T250" i="1"/>
  <c r="Q250" i="1"/>
  <c r="R250" i="1"/>
  <c r="S250" i="1"/>
  <c r="P250" i="1"/>
  <c r="Q253" i="1"/>
  <c r="R253" i="1"/>
  <c r="T253" i="1"/>
  <c r="P253" i="1"/>
  <c r="S253" i="1"/>
  <c r="R251" i="1"/>
  <c r="P251" i="1"/>
  <c r="Q248" i="1"/>
  <c r="S248" i="1"/>
  <c r="F248" i="1"/>
  <c r="D23" i="14" s="1"/>
  <c r="P248" i="1"/>
  <c r="R248" i="1"/>
  <c r="T248" i="1"/>
  <c r="F251" i="1"/>
  <c r="D26" i="14" s="1"/>
  <c r="S249" i="1"/>
  <c r="T249" i="1"/>
  <c r="P249" i="1"/>
  <c r="Q249" i="1"/>
  <c r="R249" i="1"/>
  <c r="T257" i="1"/>
  <c r="Q257" i="1"/>
  <c r="R257" i="1"/>
  <c r="S257" i="1"/>
  <c r="P257" i="1"/>
  <c r="Q251" i="1"/>
  <c r="F256" i="1"/>
  <c r="D31" i="14" s="1"/>
  <c r="T256" i="1"/>
  <c r="P256" i="1"/>
  <c r="Q256" i="1"/>
  <c r="R256" i="1"/>
  <c r="S256" i="1"/>
  <c r="S255" i="1"/>
  <c r="T255" i="1"/>
  <c r="P255" i="1"/>
  <c r="Q255" i="1"/>
  <c r="R255" i="1"/>
  <c r="R254" i="1"/>
  <c r="S254" i="1"/>
  <c r="F254" i="1"/>
  <c r="D29" i="14" s="1"/>
  <c r="T254" i="1"/>
  <c r="P254" i="1"/>
  <c r="Q254" i="1"/>
  <c r="E472" i="1"/>
  <c r="S547" i="1"/>
  <c r="E491" i="1"/>
  <c r="Q549" i="1"/>
  <c r="E484" i="1"/>
  <c r="Q544" i="1"/>
  <c r="P549" i="1"/>
  <c r="R549" i="1"/>
  <c r="E482" i="1"/>
  <c r="F482" i="1" s="1"/>
  <c r="T544" i="1"/>
  <c r="S544" i="1"/>
  <c r="T468" i="1"/>
  <c r="E481" i="1"/>
  <c r="E480" i="1"/>
  <c r="T480" i="1" s="1"/>
  <c r="R544" i="1"/>
  <c r="S549" i="1"/>
  <c r="P490" i="1"/>
  <c r="T547" i="1"/>
  <c r="F549" i="1"/>
  <c r="B487" i="1"/>
  <c r="R487" i="1" s="1"/>
  <c r="B478" i="1"/>
  <c r="R478" i="1" s="1"/>
  <c r="B476" i="1"/>
  <c r="F476" i="1" s="1"/>
  <c r="T470" i="1"/>
  <c r="P470" i="1"/>
  <c r="F470" i="1"/>
  <c r="Q470" i="1"/>
  <c r="T147" i="4"/>
  <c r="E485" i="1"/>
  <c r="P485" i="1" s="1"/>
  <c r="E489" i="1"/>
  <c r="R489" i="1" s="1"/>
  <c r="R914" i="1"/>
  <c r="Q914" i="1"/>
  <c r="R474" i="1"/>
  <c r="R547" i="1"/>
  <c r="Q147" i="4"/>
  <c r="S914" i="1"/>
  <c r="T490" i="1"/>
  <c r="P547" i="1"/>
  <c r="F547" i="1"/>
  <c r="R865" i="1"/>
  <c r="T475" i="1"/>
  <c r="P475" i="1"/>
  <c r="S475" i="1"/>
  <c r="R475" i="1"/>
  <c r="Q475" i="1"/>
  <c r="F475" i="1"/>
  <c r="P548" i="1"/>
  <c r="S489" i="1"/>
  <c r="P145" i="4"/>
  <c r="P865" i="1"/>
  <c r="R490" i="1"/>
  <c r="T548" i="1"/>
  <c r="B466" i="1"/>
  <c r="T466" i="1" s="1"/>
  <c r="S865" i="1"/>
  <c r="P544" i="1"/>
  <c r="Q865" i="1"/>
  <c r="Q482" i="1"/>
  <c r="S490" i="1"/>
  <c r="F548" i="1"/>
  <c r="S147" i="4"/>
  <c r="Q490" i="1"/>
  <c r="S548" i="1"/>
  <c r="B472" i="1"/>
  <c r="Q472" i="1" s="1"/>
  <c r="T550" i="1"/>
  <c r="S550" i="1"/>
  <c r="P550" i="1"/>
  <c r="Q474" i="1"/>
  <c r="R550" i="1"/>
  <c r="Q550" i="1"/>
  <c r="R147" i="4"/>
  <c r="F145" i="4"/>
  <c r="D77" i="12" s="1"/>
  <c r="F77" i="12" s="1"/>
  <c r="R412" i="1"/>
  <c r="R145" i="4"/>
  <c r="P147" i="4"/>
  <c r="T145" i="4"/>
  <c r="S471" i="1"/>
  <c r="Q485" i="1"/>
  <c r="F492" i="1"/>
  <c r="R483" i="1"/>
  <c r="P412" i="1"/>
  <c r="T148" i="4"/>
  <c r="S145" i="4"/>
  <c r="F366" i="1"/>
  <c r="H367" i="1" s="1"/>
  <c r="R366" i="1"/>
  <c r="T366" i="1"/>
  <c r="P366" i="1"/>
  <c r="S366" i="1"/>
  <c r="Q366" i="1"/>
  <c r="S485" i="1"/>
  <c r="S148" i="4"/>
  <c r="Q145" i="4"/>
  <c r="Q492" i="1"/>
  <c r="T492" i="1"/>
  <c r="F148" i="4"/>
  <c r="D80" i="12" s="1"/>
  <c r="J80" i="12" s="1"/>
  <c r="S492" i="1"/>
  <c r="P492" i="1"/>
  <c r="P148" i="4"/>
  <c r="R148" i="4"/>
  <c r="K79" i="12"/>
  <c r="I79" i="12"/>
  <c r="G79" i="12"/>
  <c r="J79" i="12"/>
  <c r="F79" i="12"/>
  <c r="H79" i="12"/>
  <c r="K78" i="12"/>
  <c r="F78" i="12"/>
  <c r="H78" i="12"/>
  <c r="G78" i="12"/>
  <c r="I78" i="12"/>
  <c r="J78" i="12"/>
  <c r="P482" i="1"/>
  <c r="R469" i="1"/>
  <c r="T915" i="1"/>
  <c r="R482" i="1"/>
  <c r="T474" i="1"/>
  <c r="Q915" i="1"/>
  <c r="C115" i="12"/>
  <c r="I723" i="1"/>
  <c r="T482" i="1"/>
  <c r="F474" i="1"/>
  <c r="S474" i="1"/>
  <c r="S915" i="1"/>
  <c r="S482" i="1"/>
  <c r="Q469" i="1"/>
  <c r="P478" i="1"/>
  <c r="T478" i="1"/>
  <c r="P474" i="1"/>
  <c r="T484" i="1"/>
  <c r="Q481" i="1"/>
  <c r="F468" i="1"/>
  <c r="F469" i="1"/>
  <c r="P166" i="1"/>
  <c r="R468" i="1"/>
  <c r="R484" i="1"/>
  <c r="Q468" i="1"/>
  <c r="P471" i="1"/>
  <c r="T481" i="1"/>
  <c r="Q478" i="1"/>
  <c r="Q471" i="1"/>
  <c r="T483" i="1"/>
  <c r="S478" i="1"/>
  <c r="P468" i="1"/>
  <c r="T471" i="1"/>
  <c r="P489" i="1"/>
  <c r="R471" i="1"/>
  <c r="S468" i="1"/>
  <c r="F471" i="1"/>
  <c r="T171" i="1"/>
  <c r="Q171" i="1"/>
  <c r="F171" i="1"/>
  <c r="D29" i="12" s="1"/>
  <c r="R171" i="1"/>
  <c r="S171" i="1"/>
  <c r="P171" i="1"/>
  <c r="R724" i="1"/>
  <c r="V724" i="1" s="1"/>
  <c r="H364" i="4"/>
  <c r="I364" i="4" s="1"/>
  <c r="U364" i="4"/>
  <c r="T364" i="4"/>
  <c r="S364" i="4"/>
  <c r="R364" i="4"/>
  <c r="Q364" i="4"/>
  <c r="Q486" i="1"/>
  <c r="P486" i="1"/>
  <c r="T486" i="1"/>
  <c r="R486" i="1"/>
  <c r="S486" i="1"/>
  <c r="F486" i="1"/>
  <c r="Q365" i="4"/>
  <c r="T365" i="4"/>
  <c r="U365" i="4"/>
  <c r="R365" i="4"/>
  <c r="H365" i="4"/>
  <c r="I365" i="4" s="1"/>
  <c r="S365" i="4"/>
  <c r="H724" i="1"/>
  <c r="C116" i="12" s="1"/>
  <c r="B413" i="4"/>
  <c r="G413" i="4" s="1"/>
  <c r="M359" i="4"/>
  <c r="O359" i="4"/>
  <c r="N359" i="4"/>
  <c r="E359" i="4"/>
  <c r="B394" i="4"/>
  <c r="G394" i="4" s="1"/>
  <c r="K359" i="4"/>
  <c r="L359" i="4"/>
  <c r="N370" i="4"/>
  <c r="M370" i="4"/>
  <c r="L370" i="4"/>
  <c r="K370" i="4"/>
  <c r="E370" i="4"/>
  <c r="O370" i="4"/>
  <c r="B390" i="4"/>
  <c r="G390" i="4" s="1"/>
  <c r="B409" i="4"/>
  <c r="G409" i="4" s="1"/>
  <c r="M355" i="4"/>
  <c r="L355" i="4"/>
  <c r="E355" i="4"/>
  <c r="N355" i="4"/>
  <c r="O355" i="4"/>
  <c r="K355" i="4"/>
  <c r="B387" i="4"/>
  <c r="G387" i="4" s="1"/>
  <c r="B406" i="4"/>
  <c r="G406" i="4" s="1"/>
  <c r="O352" i="4"/>
  <c r="M352" i="4"/>
  <c r="E352" i="4"/>
  <c r="L352" i="4"/>
  <c r="K352" i="4"/>
  <c r="N352" i="4"/>
  <c r="L368" i="4"/>
  <c r="E368" i="4"/>
  <c r="O368" i="4"/>
  <c r="M368" i="4"/>
  <c r="N368" i="4"/>
  <c r="K368" i="4"/>
  <c r="O362" i="4"/>
  <c r="N362" i="4"/>
  <c r="E362" i="4"/>
  <c r="K362" i="4"/>
  <c r="L362" i="4"/>
  <c r="M362" i="4"/>
  <c r="F481" i="1"/>
  <c r="P481" i="1"/>
  <c r="F483" i="1"/>
  <c r="S469" i="1"/>
  <c r="R481" i="1"/>
  <c r="L372" i="4"/>
  <c r="N372" i="4"/>
  <c r="E372" i="4"/>
  <c r="O372" i="4"/>
  <c r="M372" i="4"/>
  <c r="K372" i="4"/>
  <c r="R413" i="1"/>
  <c r="Q413" i="1"/>
  <c r="T413" i="1"/>
  <c r="S413" i="1"/>
  <c r="P413" i="1"/>
  <c r="F413" i="1"/>
  <c r="L356" i="4"/>
  <c r="E356" i="4"/>
  <c r="K356" i="4"/>
  <c r="N356" i="4"/>
  <c r="B410" i="4"/>
  <c r="G410" i="4" s="1"/>
  <c r="M356" i="4"/>
  <c r="O356" i="4"/>
  <c r="B391" i="4"/>
  <c r="G391" i="4" s="1"/>
  <c r="O364" i="4"/>
  <c r="N364" i="4"/>
  <c r="L364" i="4"/>
  <c r="K364" i="4"/>
  <c r="E364" i="4"/>
  <c r="M364" i="4"/>
  <c r="Q477" i="1"/>
  <c r="F477" i="1"/>
  <c r="P477" i="1"/>
  <c r="T477" i="1"/>
  <c r="R477" i="1"/>
  <c r="S477" i="1"/>
  <c r="B411" i="4"/>
  <c r="G411" i="4" s="1"/>
  <c r="K357" i="4"/>
  <c r="O357" i="4"/>
  <c r="B392" i="4"/>
  <c r="G392" i="4" s="1"/>
  <c r="E357" i="4"/>
  <c r="N357" i="4"/>
  <c r="M357" i="4"/>
  <c r="L357" i="4"/>
  <c r="P472" i="1"/>
  <c r="L365" i="4"/>
  <c r="M365" i="4"/>
  <c r="K365" i="4"/>
  <c r="E365" i="4"/>
  <c r="O365" i="4"/>
  <c r="N365" i="4"/>
  <c r="U358" i="4"/>
  <c r="T358" i="4"/>
  <c r="S358" i="4"/>
  <c r="H358" i="4"/>
  <c r="I358" i="4" s="1"/>
  <c r="W358" i="4" s="1"/>
  <c r="R358" i="4"/>
  <c r="Q358" i="4"/>
  <c r="V358" i="4" s="1"/>
  <c r="Q412" i="1"/>
  <c r="K373" i="4"/>
  <c r="N373" i="4"/>
  <c r="E373" i="4"/>
  <c r="M373" i="4"/>
  <c r="L373" i="4"/>
  <c r="O373" i="4"/>
  <c r="S491" i="1"/>
  <c r="Q491" i="1"/>
  <c r="F491" i="1"/>
  <c r="P491" i="1"/>
  <c r="T491" i="1"/>
  <c r="R491" i="1"/>
  <c r="Q352" i="4"/>
  <c r="V352" i="4" s="1"/>
  <c r="U352" i="4"/>
  <c r="H352" i="4"/>
  <c r="I352" i="4" s="1"/>
  <c r="W352" i="4" s="1"/>
  <c r="T352" i="4"/>
  <c r="S352" i="4"/>
  <c r="R352" i="4"/>
  <c r="Q362" i="4"/>
  <c r="V362" i="4" s="1"/>
  <c r="T362" i="4"/>
  <c r="H362" i="4"/>
  <c r="I362" i="4" s="1"/>
  <c r="W362" i="4" s="1"/>
  <c r="S362" i="4"/>
  <c r="U362" i="4"/>
  <c r="R362" i="4"/>
  <c r="N363" i="4"/>
  <c r="L363" i="4"/>
  <c r="K363" i="4"/>
  <c r="M363" i="4"/>
  <c r="E363" i="4"/>
  <c r="O363" i="4"/>
  <c r="O353" i="4"/>
  <c r="N353" i="4"/>
  <c r="L353" i="4"/>
  <c r="K353" i="4"/>
  <c r="B407" i="4"/>
  <c r="G407" i="4" s="1"/>
  <c r="B388" i="4"/>
  <c r="G388" i="4" s="1"/>
  <c r="E353" i="4"/>
  <c r="M353" i="4"/>
  <c r="M369" i="4"/>
  <c r="L369" i="4"/>
  <c r="N369" i="4"/>
  <c r="E369" i="4"/>
  <c r="K369" i="4"/>
  <c r="O369" i="4"/>
  <c r="S412" i="1"/>
  <c r="U370" i="4"/>
  <c r="R370" i="4"/>
  <c r="S370" i="4"/>
  <c r="Q370" i="4"/>
  <c r="H370" i="4"/>
  <c r="I370" i="4" s="1"/>
  <c r="T370" i="4"/>
  <c r="U363" i="4"/>
  <c r="R363" i="4"/>
  <c r="T363" i="4"/>
  <c r="H363" i="4"/>
  <c r="I363" i="4" s="1"/>
  <c r="S363" i="4"/>
  <c r="Q363" i="4"/>
  <c r="B414" i="4"/>
  <c r="B395" i="4"/>
  <c r="L360" i="4"/>
  <c r="E360" i="4"/>
  <c r="N360" i="4"/>
  <c r="M360" i="4"/>
  <c r="O360" i="4"/>
  <c r="K360" i="4"/>
  <c r="H353" i="4"/>
  <c r="I353" i="4" s="1"/>
  <c r="W353" i="4" s="1"/>
  <c r="U353" i="4"/>
  <c r="T353" i="4"/>
  <c r="R353" i="4"/>
  <c r="Q353" i="4"/>
  <c r="V353" i="4" s="1"/>
  <c r="S353" i="4"/>
  <c r="T369" i="4"/>
  <c r="U369" i="4"/>
  <c r="S369" i="4"/>
  <c r="H369" i="4"/>
  <c r="I369" i="4" s="1"/>
  <c r="R369" i="4"/>
  <c r="Q369" i="4"/>
  <c r="F480" i="1"/>
  <c r="T469" i="1"/>
  <c r="P483" i="1"/>
  <c r="S483" i="1"/>
  <c r="S481" i="1"/>
  <c r="R366" i="4"/>
  <c r="Q366" i="4"/>
  <c r="H366" i="4"/>
  <c r="I366" i="4" s="1"/>
  <c r="U366" i="4"/>
  <c r="T366" i="4"/>
  <c r="S366" i="4"/>
  <c r="N354" i="4"/>
  <c r="M354" i="4"/>
  <c r="K354" i="4"/>
  <c r="L354" i="4"/>
  <c r="B389" i="4"/>
  <c r="G389" i="4" s="1"/>
  <c r="E354" i="4"/>
  <c r="O354" i="4"/>
  <c r="B408" i="4"/>
  <c r="G408" i="4" s="1"/>
  <c r="S368" i="4"/>
  <c r="Q368" i="4"/>
  <c r="U368" i="4"/>
  <c r="T368" i="4"/>
  <c r="R368" i="4"/>
  <c r="H368" i="4"/>
  <c r="I368" i="4" s="1"/>
  <c r="L367" i="4"/>
  <c r="E367" i="4"/>
  <c r="N367" i="4"/>
  <c r="M367" i="4"/>
  <c r="K367" i="4"/>
  <c r="O367" i="4"/>
  <c r="S484" i="1"/>
  <c r="P484" i="1"/>
  <c r="F484" i="1"/>
  <c r="Q484" i="1"/>
  <c r="H371" i="4"/>
  <c r="I371" i="4" s="1"/>
  <c r="R371" i="4"/>
  <c r="Q371" i="4"/>
  <c r="S371" i="4"/>
  <c r="T371" i="4"/>
  <c r="U371" i="4"/>
  <c r="S360" i="4"/>
  <c r="R360" i="4"/>
  <c r="Q360" i="4"/>
  <c r="V360" i="4" s="1"/>
  <c r="H360" i="4"/>
  <c r="I360" i="4" s="1"/>
  <c r="W360" i="4" s="1"/>
  <c r="U360" i="4"/>
  <c r="T360" i="4"/>
  <c r="Q487" i="1"/>
  <c r="S487" i="1"/>
  <c r="K361" i="4"/>
  <c r="M361" i="4"/>
  <c r="E361" i="4"/>
  <c r="L361" i="4"/>
  <c r="O361" i="4"/>
  <c r="N361" i="4"/>
  <c r="S467" i="1"/>
  <c r="F467" i="1"/>
  <c r="R467" i="1"/>
  <c r="P467" i="1"/>
  <c r="T467" i="1"/>
  <c r="Q467" i="1"/>
  <c r="F412" i="1"/>
  <c r="Q372" i="4"/>
  <c r="T372" i="4"/>
  <c r="U372" i="4"/>
  <c r="H372" i="4"/>
  <c r="I372" i="4" s="1"/>
  <c r="S372" i="4"/>
  <c r="R372" i="4"/>
  <c r="R357" i="4"/>
  <c r="Q357" i="4"/>
  <c r="V357" i="4" s="1"/>
  <c r="S357" i="4"/>
  <c r="H357" i="4"/>
  <c r="I357" i="4" s="1"/>
  <c r="W357" i="4" s="1"/>
  <c r="U357" i="4"/>
  <c r="T357" i="4"/>
  <c r="B393" i="4"/>
  <c r="G393" i="4" s="1"/>
  <c r="N358" i="4"/>
  <c r="B412" i="4"/>
  <c r="G412" i="4" s="1"/>
  <c r="L358" i="4"/>
  <c r="K358" i="4"/>
  <c r="O358" i="4"/>
  <c r="M358" i="4"/>
  <c r="E358" i="4"/>
  <c r="R373" i="4"/>
  <c r="Q373" i="4"/>
  <c r="H373" i="4"/>
  <c r="I373" i="4" s="1"/>
  <c r="U373" i="4"/>
  <c r="S373" i="4"/>
  <c r="T373" i="4"/>
  <c r="Q480" i="1"/>
  <c r="T359" i="4"/>
  <c r="U359" i="4"/>
  <c r="R359" i="4"/>
  <c r="Q359" i="4"/>
  <c r="V359" i="4" s="1"/>
  <c r="S359" i="4"/>
  <c r="H359" i="4"/>
  <c r="I359" i="4" s="1"/>
  <c r="W359" i="4" s="1"/>
  <c r="O371" i="4"/>
  <c r="N371" i="4"/>
  <c r="M371" i="4"/>
  <c r="E371" i="4"/>
  <c r="L371" i="4"/>
  <c r="K371" i="4"/>
  <c r="T355" i="4"/>
  <c r="S355" i="4"/>
  <c r="U355" i="4"/>
  <c r="R355" i="4"/>
  <c r="H355" i="4"/>
  <c r="I355" i="4" s="1"/>
  <c r="W355" i="4" s="1"/>
  <c r="Q355" i="4"/>
  <c r="V355" i="4" s="1"/>
  <c r="T412" i="1"/>
  <c r="K366" i="4"/>
  <c r="M366" i="4"/>
  <c r="L366" i="4"/>
  <c r="N366" i="4"/>
  <c r="O366" i="4"/>
  <c r="E366" i="4"/>
  <c r="U354" i="4"/>
  <c r="T354" i="4"/>
  <c r="S354" i="4"/>
  <c r="H354" i="4"/>
  <c r="I354" i="4" s="1"/>
  <c r="W354" i="4" s="1"/>
  <c r="R354" i="4"/>
  <c r="Q354" i="4"/>
  <c r="V354" i="4" s="1"/>
  <c r="S356" i="4"/>
  <c r="R356" i="4"/>
  <c r="T356" i="4"/>
  <c r="H356" i="4"/>
  <c r="I356" i="4" s="1"/>
  <c r="W356" i="4" s="1"/>
  <c r="Q356" i="4"/>
  <c r="V356" i="4" s="1"/>
  <c r="U356" i="4"/>
  <c r="S367" i="4"/>
  <c r="U367" i="4"/>
  <c r="H367" i="4"/>
  <c r="I367" i="4" s="1"/>
  <c r="T367" i="4"/>
  <c r="Q367" i="4"/>
  <c r="R367" i="4"/>
  <c r="P414" i="1"/>
  <c r="F414" i="1"/>
  <c r="T414" i="1"/>
  <c r="S414" i="1"/>
  <c r="R414" i="1"/>
  <c r="Q414" i="1"/>
  <c r="F473" i="1"/>
  <c r="T473" i="1"/>
  <c r="Q473" i="1"/>
  <c r="R473" i="1"/>
  <c r="P473" i="1"/>
  <c r="S473" i="1"/>
  <c r="R361" i="4"/>
  <c r="U361" i="4"/>
  <c r="T361" i="4"/>
  <c r="Q361" i="4"/>
  <c r="V361" i="4" s="1"/>
  <c r="H361" i="4"/>
  <c r="I361" i="4" s="1"/>
  <c r="W361" i="4" s="1"/>
  <c r="S361" i="4"/>
  <c r="V87" i="3"/>
  <c r="U87" i="3"/>
  <c r="Q87" i="3"/>
  <c r="S87" i="3"/>
  <c r="T87" i="3"/>
  <c r="R87" i="3"/>
  <c r="R90" i="3"/>
  <c r="S90" i="3"/>
  <c r="T90" i="3"/>
  <c r="Q90" i="3"/>
  <c r="V90" i="3"/>
  <c r="U90" i="3"/>
  <c r="Q83" i="3"/>
  <c r="R83" i="3"/>
  <c r="V83" i="3"/>
  <c r="S83" i="3"/>
  <c r="U83" i="3"/>
  <c r="T83" i="3"/>
  <c r="V82" i="3"/>
  <c r="Q82" i="3"/>
  <c r="R82" i="3"/>
  <c r="T82" i="3"/>
  <c r="F82" i="3"/>
  <c r="D102" i="14" s="1"/>
  <c r="U82" i="3"/>
  <c r="S82" i="3"/>
  <c r="V88" i="3"/>
  <c r="Q88" i="3"/>
  <c r="R88" i="3"/>
  <c r="T88" i="3"/>
  <c r="U88" i="3"/>
  <c r="S88" i="3"/>
  <c r="F88" i="3"/>
  <c r="D108" i="14" s="1"/>
  <c r="T80" i="3"/>
  <c r="U80" i="3"/>
  <c r="R80" i="3"/>
  <c r="V80" i="3"/>
  <c r="S80" i="3"/>
  <c r="Q80" i="3"/>
  <c r="V81" i="3"/>
  <c r="U81" i="3"/>
  <c r="Q81" i="3"/>
  <c r="S81" i="3"/>
  <c r="T81" i="3"/>
  <c r="R81" i="3"/>
  <c r="R84" i="3"/>
  <c r="S84" i="3"/>
  <c r="T84" i="3"/>
  <c r="Q84" i="3"/>
  <c r="V84" i="3"/>
  <c r="U84" i="3"/>
  <c r="V77" i="3"/>
  <c r="F79" i="3"/>
  <c r="D99" i="14" s="1"/>
  <c r="S79" i="3"/>
  <c r="T79" i="3"/>
  <c r="U79" i="3"/>
  <c r="V79" i="3"/>
  <c r="Q79" i="3"/>
  <c r="R79" i="3"/>
  <c r="F76" i="3"/>
  <c r="D96" i="14" s="1"/>
  <c r="S76" i="3"/>
  <c r="V76" i="3"/>
  <c r="T76" i="3"/>
  <c r="U76" i="3"/>
  <c r="Q76" i="3"/>
  <c r="R76" i="3"/>
  <c r="Q89" i="3"/>
  <c r="R89" i="3"/>
  <c r="V89" i="3"/>
  <c r="S89" i="3"/>
  <c r="U89" i="3"/>
  <c r="T89" i="3"/>
  <c r="T86" i="3"/>
  <c r="U86" i="3"/>
  <c r="R86" i="3"/>
  <c r="V86" i="3"/>
  <c r="S86" i="3"/>
  <c r="Q86" i="3"/>
  <c r="V78" i="3"/>
  <c r="S85" i="3"/>
  <c r="T85" i="3"/>
  <c r="U85" i="3"/>
  <c r="V85" i="3"/>
  <c r="Q85" i="3"/>
  <c r="F85" i="3"/>
  <c r="D105" i="14" s="1"/>
  <c r="R85" i="3"/>
  <c r="P244" i="1"/>
  <c r="J81" i="1"/>
  <c r="B107" i="1" s="1"/>
  <c r="K30" i="12"/>
  <c r="H30" i="12"/>
  <c r="J30" i="12"/>
  <c r="F30" i="12"/>
  <c r="G30" i="12"/>
  <c r="I30" i="12"/>
  <c r="R138" i="4"/>
  <c r="J76" i="1"/>
  <c r="B102" i="1" s="1"/>
  <c r="J92" i="1"/>
  <c r="E104" i="1" s="1"/>
  <c r="J78" i="1"/>
  <c r="B104" i="1" s="1"/>
  <c r="J90" i="1"/>
  <c r="E102" i="1" s="1"/>
  <c r="J95" i="1"/>
  <c r="E107" i="1" s="1"/>
  <c r="F255" i="1"/>
  <c r="D30" i="14" s="1"/>
  <c r="K30" i="14" s="1"/>
  <c r="Q247" i="1"/>
  <c r="R242" i="1"/>
  <c r="R141" i="4"/>
  <c r="F170" i="1"/>
  <c r="R142" i="4"/>
  <c r="T123" i="4"/>
  <c r="P137" i="4"/>
  <c r="F142" i="4"/>
  <c r="D74" i="12" s="1"/>
  <c r="K74" i="12" s="1"/>
  <c r="R125" i="4"/>
  <c r="Q123" i="4"/>
  <c r="R123" i="4"/>
  <c r="F123" i="4"/>
  <c r="N74" i="6" s="1"/>
  <c r="S123" i="4"/>
  <c r="T134" i="4"/>
  <c r="S142" i="4"/>
  <c r="T142" i="4"/>
  <c r="S143" i="4"/>
  <c r="P142" i="4"/>
  <c r="P143" i="4"/>
  <c r="Q142" i="4"/>
  <c r="R143" i="4"/>
  <c r="Q137" i="4"/>
  <c r="F144" i="4"/>
  <c r="D76" i="12" s="1"/>
  <c r="K76" i="12" s="1"/>
  <c r="Q143" i="4"/>
  <c r="F137" i="4"/>
  <c r="N57" i="6" s="1"/>
  <c r="F143" i="4"/>
  <c r="N94" i="6" s="1"/>
  <c r="R137" i="4"/>
  <c r="T125" i="4"/>
  <c r="J75" i="1"/>
  <c r="B101" i="1" s="1"/>
  <c r="J96" i="1"/>
  <c r="E108" i="1" s="1"/>
  <c r="F247" i="1"/>
  <c r="T247" i="1"/>
  <c r="P242" i="1"/>
  <c r="T242" i="1"/>
  <c r="F253" i="1"/>
  <c r="C139" i="6" s="1"/>
  <c r="S174" i="1"/>
  <c r="T174" i="1"/>
  <c r="Q174" i="1"/>
  <c r="R174" i="1"/>
  <c r="T169" i="1"/>
  <c r="J82" i="1"/>
  <c r="B108" i="1" s="1"/>
  <c r="S137" i="4"/>
  <c r="P134" i="4"/>
  <c r="P128" i="4"/>
  <c r="P130" i="4"/>
  <c r="T137" i="4"/>
  <c r="P125" i="4"/>
  <c r="Q134" i="4"/>
  <c r="R247" i="1"/>
  <c r="R244" i="1"/>
  <c r="P243" i="1"/>
  <c r="T244" i="1"/>
  <c r="S244" i="1"/>
  <c r="S242" i="1"/>
  <c r="Q241" i="1"/>
  <c r="P240" i="1"/>
  <c r="S247" i="1"/>
  <c r="T245" i="1"/>
  <c r="T246" i="1"/>
  <c r="F240" i="1"/>
  <c r="R240" i="1"/>
  <c r="S241" i="1"/>
  <c r="Q246" i="1"/>
  <c r="Q245" i="1"/>
  <c r="F246" i="1"/>
  <c r="R246" i="1"/>
  <c r="R245" i="1"/>
  <c r="Q240" i="1"/>
  <c r="P246" i="1"/>
  <c r="P245" i="1"/>
  <c r="S245" i="1"/>
  <c r="S246" i="1"/>
  <c r="R243" i="1"/>
  <c r="T243" i="1"/>
  <c r="F141" i="4"/>
  <c r="T128" i="4"/>
  <c r="T124" i="4"/>
  <c r="F140" i="4"/>
  <c r="S129" i="4"/>
  <c r="Q144" i="4"/>
  <c r="Q136" i="4"/>
  <c r="R144" i="4"/>
  <c r="T138" i="4"/>
  <c r="R134" i="4"/>
  <c r="P139" i="4"/>
  <c r="T135" i="4"/>
  <c r="F131" i="4"/>
  <c r="T139" i="4"/>
  <c r="S126" i="4"/>
  <c r="F125" i="4"/>
  <c r="F138" i="4"/>
  <c r="F139" i="4"/>
  <c r="F134" i="4"/>
  <c r="T149" i="4"/>
  <c r="P133" i="4"/>
  <c r="S138" i="4"/>
  <c r="S134" i="4"/>
  <c r="P129" i="4"/>
  <c r="F127" i="4"/>
  <c r="S140" i="4"/>
  <c r="P138" i="4"/>
  <c r="Q139" i="4"/>
  <c r="P140" i="4"/>
  <c r="Q126" i="4"/>
  <c r="S136" i="4"/>
  <c r="S144" i="4"/>
  <c r="Q138" i="4"/>
  <c r="R139" i="4"/>
  <c r="R140" i="4"/>
  <c r="T130" i="4"/>
  <c r="T144" i="4"/>
  <c r="R149" i="4"/>
  <c r="S132" i="4"/>
  <c r="P124" i="4"/>
  <c r="S141" i="4"/>
  <c r="Q128" i="4"/>
  <c r="R124" i="4"/>
  <c r="H379" i="4"/>
  <c r="I379" i="4" s="1"/>
  <c r="P141" i="4"/>
  <c r="F132" i="4"/>
  <c r="P144" i="4"/>
  <c r="T127" i="4"/>
  <c r="R128" i="4"/>
  <c r="T140" i="4"/>
  <c r="T132" i="4"/>
  <c r="Q132" i="4"/>
  <c r="F124" i="4"/>
  <c r="T141" i="4"/>
  <c r="P126" i="4"/>
  <c r="R127" i="4"/>
  <c r="F128" i="4"/>
  <c r="Q140" i="4"/>
  <c r="Q141" i="4"/>
  <c r="S128" i="4"/>
  <c r="T150" i="4"/>
  <c r="R126" i="4"/>
  <c r="F136" i="4"/>
  <c r="S135" i="4"/>
  <c r="Q131" i="4"/>
  <c r="T133" i="4"/>
  <c r="P149" i="4"/>
  <c r="P135" i="4"/>
  <c r="P150" i="4"/>
  <c r="T126" i="4"/>
  <c r="F130" i="4"/>
  <c r="R131" i="4"/>
  <c r="R136" i="4"/>
  <c r="Q127" i="4"/>
  <c r="F133" i="4"/>
  <c r="S124" i="4"/>
  <c r="Q149" i="4"/>
  <c r="R130" i="4"/>
  <c r="Q135" i="4"/>
  <c r="S131" i="4"/>
  <c r="R135" i="4"/>
  <c r="F126" i="4"/>
  <c r="D58" i="12" s="1"/>
  <c r="K58" i="12" s="1"/>
  <c r="P131" i="4"/>
  <c r="P136" i="4"/>
  <c r="S127" i="4"/>
  <c r="Q124" i="4"/>
  <c r="F149" i="4"/>
  <c r="R133" i="4"/>
  <c r="Q129" i="4"/>
  <c r="S149" i="4"/>
  <c r="R129" i="4"/>
  <c r="R150" i="4"/>
  <c r="S125" i="4"/>
  <c r="S130" i="4"/>
  <c r="R132" i="4"/>
  <c r="S133" i="4"/>
  <c r="F129" i="4"/>
  <c r="Q150" i="4"/>
  <c r="S150" i="4"/>
  <c r="Q125" i="4"/>
  <c r="Q130" i="4"/>
  <c r="P132" i="4"/>
  <c r="Q133" i="4"/>
  <c r="T129" i="4"/>
  <c r="T167" i="1"/>
  <c r="P174" i="1"/>
  <c r="F175" i="1"/>
  <c r="T175" i="1"/>
  <c r="Q166" i="1"/>
  <c r="R169" i="1"/>
  <c r="T177" i="1"/>
  <c r="P178" i="1"/>
  <c r="P173" i="1"/>
  <c r="F169" i="1"/>
  <c r="D23" i="5" s="1"/>
  <c r="F178" i="1"/>
  <c r="D36" i="12" s="1"/>
  <c r="K36" i="12" s="1"/>
  <c r="R178" i="1"/>
  <c r="R166" i="1"/>
  <c r="F166" i="1"/>
  <c r="N19" i="6" s="1"/>
  <c r="T166" i="1"/>
  <c r="P175" i="1"/>
  <c r="F177" i="1"/>
  <c r="M29" i="5" s="1"/>
  <c r="T165" i="1"/>
  <c r="Q176" i="1"/>
  <c r="P169" i="1"/>
  <c r="P177" i="1"/>
  <c r="S175" i="1"/>
  <c r="Q175" i="1"/>
  <c r="S166" i="1"/>
  <c r="R175" i="1"/>
  <c r="P167" i="1"/>
  <c r="R168" i="1"/>
  <c r="Q168" i="1"/>
  <c r="S176" i="1"/>
  <c r="R167" i="1"/>
  <c r="Q177" i="1"/>
  <c r="F173" i="1"/>
  <c r="D31" i="12" s="1"/>
  <c r="K31" i="12" s="1"/>
  <c r="P170" i="1"/>
  <c r="T178" i="1"/>
  <c r="S243" i="1"/>
  <c r="Q243" i="1"/>
  <c r="F257" i="1"/>
  <c r="N141" i="6" s="1"/>
  <c r="R241" i="1"/>
  <c r="T240" i="1"/>
  <c r="S240" i="1"/>
  <c r="E868" i="1"/>
  <c r="F816" i="1"/>
  <c r="G815" i="1"/>
  <c r="B869" i="1" s="1"/>
  <c r="Q866" i="1"/>
  <c r="S866" i="1"/>
  <c r="P866" i="1"/>
  <c r="T866" i="1"/>
  <c r="R866" i="1"/>
  <c r="I849" i="1"/>
  <c r="D867" i="1" s="1"/>
  <c r="H850" i="1"/>
  <c r="J94" i="1"/>
  <c r="E106" i="1" s="1"/>
  <c r="J77" i="1"/>
  <c r="B103" i="1" s="1"/>
  <c r="J89" i="1"/>
  <c r="E101" i="1" s="1"/>
  <c r="J79" i="1"/>
  <c r="B105" i="1" s="1"/>
  <c r="J93" i="1"/>
  <c r="E105" i="1" s="1"/>
  <c r="J80" i="1"/>
  <c r="B106" i="1" s="1"/>
  <c r="J91" i="1"/>
  <c r="E103" i="1" s="1"/>
  <c r="Q169" i="1"/>
  <c r="Q178" i="1"/>
  <c r="R177" i="1"/>
  <c r="P165" i="1"/>
  <c r="S169" i="1"/>
  <c r="S178" i="1"/>
  <c r="Q165" i="1"/>
  <c r="S177" i="1"/>
  <c r="T173" i="1"/>
  <c r="T176" i="1"/>
  <c r="P176" i="1"/>
  <c r="P179" i="1"/>
  <c r="S170" i="1"/>
  <c r="R173" i="1"/>
  <c r="T170" i="1"/>
  <c r="R176" i="1"/>
  <c r="R170" i="1"/>
  <c r="S168" i="1"/>
  <c r="F176" i="1"/>
  <c r="M28" i="5" s="1"/>
  <c r="F167" i="1"/>
  <c r="D25" i="12" s="1"/>
  <c r="K25" i="12" s="1"/>
  <c r="Q170" i="1"/>
  <c r="R179" i="1"/>
  <c r="T168" i="1"/>
  <c r="T179" i="1"/>
  <c r="Q173" i="1"/>
  <c r="Q179" i="1"/>
  <c r="F168" i="1"/>
  <c r="S179" i="1"/>
  <c r="P168" i="1"/>
  <c r="F179" i="1"/>
  <c r="N30" i="6" s="1"/>
  <c r="S173" i="1"/>
  <c r="F165" i="1"/>
  <c r="S167" i="1"/>
  <c r="R165" i="1"/>
  <c r="Q167" i="1"/>
  <c r="S165" i="1"/>
  <c r="F252" i="1"/>
  <c r="D23" i="8" s="1"/>
  <c r="F250" i="1"/>
  <c r="F249" i="1"/>
  <c r="F241" i="1"/>
  <c r="T241" i="1"/>
  <c r="P241" i="1"/>
  <c r="F87" i="3"/>
  <c r="D107" i="14" s="1"/>
  <c r="S77" i="3"/>
  <c r="U77" i="3"/>
  <c r="Q77" i="3"/>
  <c r="T77" i="3"/>
  <c r="R77" i="3"/>
  <c r="F77" i="3"/>
  <c r="D97" i="14" s="1"/>
  <c r="F83" i="3"/>
  <c r="D103" i="14" s="1"/>
  <c r="F89" i="3"/>
  <c r="D109" i="14" s="1"/>
  <c r="S78" i="3"/>
  <c r="U78" i="3"/>
  <c r="Q78" i="3"/>
  <c r="T78" i="3"/>
  <c r="R78" i="3"/>
  <c r="F78" i="3"/>
  <c r="D98" i="14" s="1"/>
  <c r="F84" i="3"/>
  <c r="D104" i="14" s="1"/>
  <c r="F90" i="3"/>
  <c r="D110" i="14" s="1"/>
  <c r="F80" i="3"/>
  <c r="D100" i="14" s="1"/>
  <c r="F86" i="3"/>
  <c r="D106" i="14" s="1"/>
  <c r="F81" i="3"/>
  <c r="D101" i="14" s="1"/>
  <c r="B764" i="1"/>
  <c r="G764" i="1" s="1"/>
  <c r="O727" i="1"/>
  <c r="K727" i="1"/>
  <c r="M727" i="1"/>
  <c r="B745" i="1"/>
  <c r="G745" i="1" s="1"/>
  <c r="N727" i="1"/>
  <c r="E727" i="1"/>
  <c r="L727" i="1"/>
  <c r="S719" i="1"/>
  <c r="H719" i="1"/>
  <c r="R719" i="1"/>
  <c r="V719" i="1" s="1"/>
  <c r="N97" i="6"/>
  <c r="N66" i="6"/>
  <c r="M68" i="5"/>
  <c r="C97" i="6"/>
  <c r="C66" i="6"/>
  <c r="D68" i="5"/>
  <c r="M722" i="1"/>
  <c r="B763" i="1"/>
  <c r="G763" i="1" s="1"/>
  <c r="O722" i="1"/>
  <c r="K722" i="1"/>
  <c r="N722" i="1"/>
  <c r="L722" i="1"/>
  <c r="B744" i="1"/>
  <c r="G744" i="1" s="1"/>
  <c r="E722" i="1"/>
  <c r="B758" i="1"/>
  <c r="G758" i="1" s="1"/>
  <c r="O717" i="1"/>
  <c r="K717" i="1"/>
  <c r="M717" i="1"/>
  <c r="N717" i="1"/>
  <c r="E717" i="1"/>
  <c r="B739" i="1"/>
  <c r="G739" i="1" s="1"/>
  <c r="L717" i="1"/>
  <c r="H378" i="4"/>
  <c r="I378" i="4" s="1"/>
  <c r="S731" i="1"/>
  <c r="H731" i="1"/>
  <c r="R731" i="1"/>
  <c r="V731" i="1" s="1"/>
  <c r="M726" i="1"/>
  <c r="O726" i="1"/>
  <c r="K726" i="1"/>
  <c r="E726" i="1"/>
  <c r="L726" i="1"/>
  <c r="N726" i="1"/>
  <c r="M718" i="1"/>
  <c r="B759" i="1"/>
  <c r="G759" i="1" s="1"/>
  <c r="O718" i="1"/>
  <c r="K718" i="1"/>
  <c r="N718" i="1"/>
  <c r="L718" i="1"/>
  <c r="B740" i="1"/>
  <c r="G740" i="1" s="1"/>
  <c r="E718" i="1"/>
  <c r="B760" i="1"/>
  <c r="G760" i="1" s="1"/>
  <c r="O719" i="1"/>
  <c r="K719" i="1"/>
  <c r="M719" i="1"/>
  <c r="B741" i="1"/>
  <c r="G741" i="1" s="1"/>
  <c r="N719" i="1"/>
  <c r="E719" i="1"/>
  <c r="L719" i="1"/>
  <c r="M728" i="1"/>
  <c r="B765" i="1"/>
  <c r="G765" i="1" s="1"/>
  <c r="O728" i="1"/>
  <c r="K728" i="1"/>
  <c r="N728" i="1"/>
  <c r="E728" i="1"/>
  <c r="L728" i="1"/>
  <c r="B746" i="1"/>
  <c r="G746" i="1" s="1"/>
  <c r="M730" i="1"/>
  <c r="O730" i="1"/>
  <c r="K730" i="1"/>
  <c r="L730" i="1"/>
  <c r="N730" i="1"/>
  <c r="E730" i="1"/>
  <c r="S720" i="1"/>
  <c r="H720" i="1"/>
  <c r="R720" i="1"/>
  <c r="V720" i="1" s="1"/>
  <c r="B766" i="1"/>
  <c r="O729" i="1"/>
  <c r="K729" i="1"/>
  <c r="M729" i="1"/>
  <c r="N729" i="1"/>
  <c r="E729" i="1"/>
  <c r="B747" i="1"/>
  <c r="L729" i="1"/>
  <c r="S721" i="1"/>
  <c r="H721" i="1"/>
  <c r="R721" i="1"/>
  <c r="V721" i="1" s="1"/>
  <c r="S727" i="1"/>
  <c r="H727" i="1"/>
  <c r="R727" i="1"/>
  <c r="V727" i="1" s="1"/>
  <c r="S725" i="1"/>
  <c r="H725" i="1"/>
  <c r="R725" i="1"/>
  <c r="V725" i="1" s="1"/>
  <c r="L379" i="4"/>
  <c r="N379" i="4"/>
  <c r="E379" i="4"/>
  <c r="O379" i="4"/>
  <c r="M379" i="4"/>
  <c r="K379" i="4"/>
  <c r="S728" i="1"/>
  <c r="H728" i="1"/>
  <c r="R728" i="1"/>
  <c r="V728" i="1" s="1"/>
  <c r="S730" i="1"/>
  <c r="H730" i="1"/>
  <c r="R730" i="1"/>
  <c r="V730" i="1" s="1"/>
  <c r="L378" i="4"/>
  <c r="N378" i="4"/>
  <c r="E378" i="4"/>
  <c r="M378" i="4"/>
  <c r="K378" i="4"/>
  <c r="O378" i="4"/>
  <c r="M720" i="1"/>
  <c r="B761" i="1"/>
  <c r="G761" i="1" s="1"/>
  <c r="O720" i="1"/>
  <c r="K720" i="1"/>
  <c r="N720" i="1"/>
  <c r="E720" i="1"/>
  <c r="L720" i="1"/>
  <c r="B742" i="1"/>
  <c r="G742" i="1" s="1"/>
  <c r="S729" i="1"/>
  <c r="H729" i="1"/>
  <c r="R729" i="1"/>
  <c r="V729" i="1" s="1"/>
  <c r="B762" i="1"/>
  <c r="G762" i="1" s="1"/>
  <c r="O721" i="1"/>
  <c r="K721" i="1"/>
  <c r="M721" i="1"/>
  <c r="N721" i="1"/>
  <c r="E721" i="1"/>
  <c r="B743" i="1"/>
  <c r="G743" i="1" s="1"/>
  <c r="L721" i="1"/>
  <c r="O725" i="1"/>
  <c r="K725" i="1"/>
  <c r="M725" i="1"/>
  <c r="N725" i="1"/>
  <c r="E725" i="1"/>
  <c r="L725" i="1"/>
  <c r="N55" i="6"/>
  <c r="N86" i="6"/>
  <c r="C55" i="6"/>
  <c r="D57" i="5"/>
  <c r="C86" i="6"/>
  <c r="M57" i="5"/>
  <c r="S722" i="1"/>
  <c r="H722" i="1"/>
  <c r="R722" i="1"/>
  <c r="V722" i="1" s="1"/>
  <c r="S717" i="1"/>
  <c r="H717" i="1"/>
  <c r="R717" i="1"/>
  <c r="V717" i="1" s="1"/>
  <c r="O731" i="1"/>
  <c r="K731" i="1"/>
  <c r="M731" i="1"/>
  <c r="N731" i="1"/>
  <c r="E731" i="1"/>
  <c r="L731" i="1"/>
  <c r="S726" i="1"/>
  <c r="H726" i="1"/>
  <c r="R726" i="1"/>
  <c r="V726" i="1" s="1"/>
  <c r="S718" i="1"/>
  <c r="H718" i="1"/>
  <c r="R718" i="1"/>
  <c r="V718" i="1" s="1"/>
  <c r="D32" i="12"/>
  <c r="K32" i="12" s="1"/>
  <c r="N25" i="6"/>
  <c r="D26" i="5"/>
  <c r="C25" i="6"/>
  <c r="M26" i="5"/>
  <c r="K23" i="14" l="1"/>
  <c r="F23" i="14"/>
  <c r="H23" i="14"/>
  <c r="G23" i="14"/>
  <c r="I23" i="14"/>
  <c r="J23" i="14"/>
  <c r="I29" i="14"/>
  <c r="F29" i="14"/>
  <c r="J29" i="14"/>
  <c r="H29" i="14"/>
  <c r="G29" i="14"/>
  <c r="K29" i="14"/>
  <c r="I31" i="14"/>
  <c r="F31" i="14"/>
  <c r="H31" i="14"/>
  <c r="J31" i="14"/>
  <c r="G31" i="14"/>
  <c r="K31" i="14"/>
  <c r="F26" i="14"/>
  <c r="I26" i="14"/>
  <c r="J26" i="14"/>
  <c r="H26" i="14"/>
  <c r="G26" i="14"/>
  <c r="K26" i="14"/>
  <c r="Q476" i="1"/>
  <c r="P476" i="1"/>
  <c r="T476" i="1"/>
  <c r="S476" i="1"/>
  <c r="T489" i="1"/>
  <c r="F487" i="1"/>
  <c r="S480" i="1"/>
  <c r="R485" i="1"/>
  <c r="R480" i="1"/>
  <c r="P487" i="1"/>
  <c r="R472" i="1"/>
  <c r="T487" i="1"/>
  <c r="T472" i="1"/>
  <c r="P480" i="1"/>
  <c r="R476" i="1"/>
  <c r="T485" i="1"/>
  <c r="F485" i="1"/>
  <c r="F489" i="1"/>
  <c r="Q489" i="1"/>
  <c r="F478" i="1"/>
  <c r="K77" i="12"/>
  <c r="I77" i="12"/>
  <c r="G77" i="12"/>
  <c r="J77" i="12"/>
  <c r="S466" i="1"/>
  <c r="R466" i="1"/>
  <c r="S472" i="1"/>
  <c r="P466" i="1"/>
  <c r="F466" i="1"/>
  <c r="F472" i="1"/>
  <c r="Q466" i="1"/>
  <c r="I80" i="12"/>
  <c r="G80" i="12"/>
  <c r="H77" i="12"/>
  <c r="F80" i="12"/>
  <c r="H80" i="12"/>
  <c r="K80" i="12"/>
  <c r="T723" i="1"/>
  <c r="W723" i="1" s="1"/>
  <c r="U723" i="1"/>
  <c r="D115" i="12"/>
  <c r="F115" i="12"/>
  <c r="E115" i="12"/>
  <c r="I115" i="12" s="1"/>
  <c r="G29" i="12"/>
  <c r="H29" i="12"/>
  <c r="I29" i="12"/>
  <c r="J29" i="12"/>
  <c r="F29" i="12"/>
  <c r="K29" i="12"/>
  <c r="I724" i="1"/>
  <c r="D116" i="12" s="1"/>
  <c r="H116" i="12" s="1"/>
  <c r="B415" i="4"/>
  <c r="G415" i="4" s="1"/>
  <c r="B416" i="4"/>
  <c r="G416" i="4" s="1"/>
  <c r="G414" i="4"/>
  <c r="U390" i="4"/>
  <c r="M390" i="4"/>
  <c r="S390" i="4"/>
  <c r="T390" i="4"/>
  <c r="N390" i="4"/>
  <c r="L390" i="4"/>
  <c r="V390" i="4"/>
  <c r="K390" i="4"/>
  <c r="M389" i="4"/>
  <c r="V389" i="4"/>
  <c r="K389" i="4"/>
  <c r="U389" i="4"/>
  <c r="N389" i="4"/>
  <c r="L389" i="4"/>
  <c r="S389" i="4"/>
  <c r="T389" i="4"/>
  <c r="B396" i="4"/>
  <c r="G395" i="4"/>
  <c r="T407" i="4"/>
  <c r="L407" i="4"/>
  <c r="U407" i="4"/>
  <c r="K407" i="4"/>
  <c r="V407" i="4"/>
  <c r="N407" i="4"/>
  <c r="M407" i="4"/>
  <c r="S407" i="4"/>
  <c r="V409" i="4"/>
  <c r="N409" i="4"/>
  <c r="U409" i="4"/>
  <c r="L409" i="4"/>
  <c r="S409" i="4"/>
  <c r="T409" i="4"/>
  <c r="M409" i="4"/>
  <c r="K409" i="4"/>
  <c r="T413" i="4"/>
  <c r="L413" i="4"/>
  <c r="N413" i="4"/>
  <c r="M413" i="4"/>
  <c r="K413" i="4"/>
  <c r="U413" i="4"/>
  <c r="S413" i="4"/>
  <c r="V413" i="4"/>
  <c r="S392" i="4"/>
  <c r="N392" i="4"/>
  <c r="V392" i="4"/>
  <c r="K392" i="4"/>
  <c r="U392" i="4"/>
  <c r="T392" i="4"/>
  <c r="L392" i="4"/>
  <c r="M392" i="4"/>
  <c r="V406" i="4"/>
  <c r="N406" i="4"/>
  <c r="T406" i="4"/>
  <c r="K406" i="4"/>
  <c r="U406" i="4"/>
  <c r="S406" i="4"/>
  <c r="M406" i="4"/>
  <c r="L406" i="4"/>
  <c r="S394" i="4"/>
  <c r="K394" i="4"/>
  <c r="T394" i="4"/>
  <c r="M394" i="4"/>
  <c r="N394" i="4"/>
  <c r="L394" i="4"/>
  <c r="V394" i="4"/>
  <c r="U394" i="4"/>
  <c r="V411" i="4"/>
  <c r="M411" i="4"/>
  <c r="K411" i="4"/>
  <c r="U411" i="4"/>
  <c r="S411" i="4"/>
  <c r="N411" i="4"/>
  <c r="L411" i="4"/>
  <c r="T411" i="4"/>
  <c r="S391" i="4"/>
  <c r="K391" i="4"/>
  <c r="V391" i="4"/>
  <c r="L391" i="4"/>
  <c r="N391" i="4"/>
  <c r="M391" i="4"/>
  <c r="T391" i="4"/>
  <c r="U391" i="4"/>
  <c r="V412" i="4"/>
  <c r="N412" i="4"/>
  <c r="M412" i="4"/>
  <c r="T412" i="4"/>
  <c r="S412" i="4"/>
  <c r="U412" i="4"/>
  <c r="L412" i="4"/>
  <c r="K412" i="4"/>
  <c r="U393" i="4"/>
  <c r="M393" i="4"/>
  <c r="S393" i="4"/>
  <c r="T393" i="4"/>
  <c r="V393" i="4"/>
  <c r="L393" i="4"/>
  <c r="N393" i="4"/>
  <c r="K393" i="4"/>
  <c r="U408" i="4"/>
  <c r="L408" i="4"/>
  <c r="N408" i="4"/>
  <c r="K408" i="4"/>
  <c r="V408" i="4"/>
  <c r="M408" i="4"/>
  <c r="S408" i="4"/>
  <c r="T408" i="4"/>
  <c r="S388" i="4"/>
  <c r="K388" i="4"/>
  <c r="U388" i="4"/>
  <c r="N388" i="4"/>
  <c r="M388" i="4"/>
  <c r="L388" i="4"/>
  <c r="V388" i="4"/>
  <c r="T388" i="4"/>
  <c r="T410" i="4"/>
  <c r="L410" i="4"/>
  <c r="V410" i="4"/>
  <c r="M410" i="4"/>
  <c r="K410" i="4"/>
  <c r="N410" i="4"/>
  <c r="U410" i="4"/>
  <c r="S410" i="4"/>
  <c r="U387" i="4"/>
  <c r="M387" i="4"/>
  <c r="T387" i="4"/>
  <c r="S387" i="4"/>
  <c r="K387" i="4"/>
  <c r="L387" i="4"/>
  <c r="V387" i="4"/>
  <c r="N387" i="4"/>
  <c r="E116" i="12"/>
  <c r="I116" i="12" s="1"/>
  <c r="F116" i="12"/>
  <c r="J105" i="14"/>
  <c r="H105" i="14"/>
  <c r="G105" i="14"/>
  <c r="I105" i="14"/>
  <c r="K105" i="14"/>
  <c r="F105" i="14"/>
  <c r="F96" i="14"/>
  <c r="J96" i="14"/>
  <c r="I96" i="14"/>
  <c r="G96" i="14"/>
  <c r="K96" i="14"/>
  <c r="H96" i="14"/>
  <c r="K102" i="14"/>
  <c r="J102" i="14"/>
  <c r="H102" i="14"/>
  <c r="G102" i="14"/>
  <c r="I102" i="14"/>
  <c r="F102" i="14"/>
  <c r="I99" i="14"/>
  <c r="F99" i="14"/>
  <c r="K99" i="14"/>
  <c r="H99" i="14"/>
  <c r="J99" i="14"/>
  <c r="G99" i="14"/>
  <c r="I108" i="14"/>
  <c r="G108" i="14"/>
  <c r="H108" i="14"/>
  <c r="F108" i="14"/>
  <c r="K108" i="14"/>
  <c r="J108" i="14"/>
  <c r="C140" i="6"/>
  <c r="S140" i="6" s="1"/>
  <c r="D28" i="12"/>
  <c r="K28" i="12" s="1"/>
  <c r="F107" i="1"/>
  <c r="D25" i="13" s="1"/>
  <c r="J25" i="13" s="1"/>
  <c r="Q104" i="1"/>
  <c r="P104" i="1"/>
  <c r="M25" i="8"/>
  <c r="N140" i="6"/>
  <c r="D25" i="8"/>
  <c r="F25" i="8" s="1"/>
  <c r="R104" i="1"/>
  <c r="T104" i="1"/>
  <c r="Q102" i="1"/>
  <c r="T107" i="1"/>
  <c r="F102" i="1"/>
  <c r="F104" i="1"/>
  <c r="D22" i="13" s="1"/>
  <c r="J22" i="13" s="1"/>
  <c r="S104" i="1"/>
  <c r="P107" i="1"/>
  <c r="P102" i="1"/>
  <c r="D28" i="14"/>
  <c r="T102" i="1"/>
  <c r="R102" i="1"/>
  <c r="S107" i="1"/>
  <c r="R107" i="1"/>
  <c r="S102" i="1"/>
  <c r="Q107" i="1"/>
  <c r="P106" i="1"/>
  <c r="Q106" i="1"/>
  <c r="R106" i="1"/>
  <c r="S106" i="1"/>
  <c r="T106" i="1"/>
  <c r="P105" i="1"/>
  <c r="R105" i="1"/>
  <c r="S105" i="1"/>
  <c r="T105" i="1"/>
  <c r="Q105" i="1"/>
  <c r="S103" i="1"/>
  <c r="T103" i="1"/>
  <c r="P103" i="1"/>
  <c r="Q103" i="1"/>
  <c r="R103" i="1"/>
  <c r="R108" i="1"/>
  <c r="S108" i="1"/>
  <c r="P108" i="1"/>
  <c r="Q108" i="1"/>
  <c r="T108" i="1"/>
  <c r="C74" i="6"/>
  <c r="R74" i="6" s="1"/>
  <c r="D45" i="5"/>
  <c r="Q45" i="5" s="1"/>
  <c r="D24" i="8"/>
  <c r="O24" i="8" s="1"/>
  <c r="N139" i="6"/>
  <c r="M24" i="5"/>
  <c r="D24" i="5"/>
  <c r="R24" i="5" s="1"/>
  <c r="N23" i="6"/>
  <c r="N64" i="6"/>
  <c r="P101" i="1"/>
  <c r="C23" i="6"/>
  <c r="F23" i="6" s="1"/>
  <c r="C88" i="6"/>
  <c r="R88" i="6" s="1"/>
  <c r="N93" i="6"/>
  <c r="N88" i="6"/>
  <c r="D64" i="5"/>
  <c r="H64" i="5" s="1"/>
  <c r="C62" i="6"/>
  <c r="F62" i="6" s="1"/>
  <c r="N62" i="6"/>
  <c r="M45" i="5"/>
  <c r="M64" i="5"/>
  <c r="D55" i="12"/>
  <c r="C93" i="6"/>
  <c r="F93" i="6" s="1"/>
  <c r="N90" i="6"/>
  <c r="D71" i="12"/>
  <c r="K71" i="12" s="1"/>
  <c r="C81" i="6"/>
  <c r="R81" i="6" s="1"/>
  <c r="D62" i="12"/>
  <c r="K62" i="12" s="1"/>
  <c r="C75" i="6"/>
  <c r="Q75" i="6" s="1"/>
  <c r="D56" i="12"/>
  <c r="N89" i="6"/>
  <c r="D70" i="12"/>
  <c r="K70" i="12" s="1"/>
  <c r="C94" i="6"/>
  <c r="G94" i="6" s="1"/>
  <c r="D75" i="12"/>
  <c r="K75" i="12" s="1"/>
  <c r="C43" i="6"/>
  <c r="R43" i="6" s="1"/>
  <c r="N52" i="6"/>
  <c r="D64" i="12"/>
  <c r="N45" i="6"/>
  <c r="D57" i="12"/>
  <c r="N60" i="6"/>
  <c r="D72" i="12"/>
  <c r="K72" i="12" s="1"/>
  <c r="C57" i="6"/>
  <c r="H57" i="6" s="1"/>
  <c r="D69" i="12"/>
  <c r="K69" i="12" s="1"/>
  <c r="N48" i="6"/>
  <c r="D60" i="12"/>
  <c r="M65" i="5"/>
  <c r="D81" i="12"/>
  <c r="K81" i="12" s="1"/>
  <c r="N84" i="6"/>
  <c r="D65" i="12"/>
  <c r="K65" i="12" s="1"/>
  <c r="C87" i="6"/>
  <c r="R87" i="6" s="1"/>
  <c r="D68" i="12"/>
  <c r="K68" i="12" s="1"/>
  <c r="N43" i="6"/>
  <c r="N63" i="6"/>
  <c r="C49" i="6"/>
  <c r="D49" i="6" s="1"/>
  <c r="D61" i="12"/>
  <c r="D59" i="12"/>
  <c r="C85" i="6"/>
  <c r="F85" i="6" s="1"/>
  <c r="D66" i="12"/>
  <c r="K66" i="12" s="1"/>
  <c r="D53" i="5"/>
  <c r="F53" i="5" s="1"/>
  <c r="D63" i="12"/>
  <c r="K63" i="12" s="1"/>
  <c r="N61" i="6"/>
  <c r="D73" i="12"/>
  <c r="K73" i="12" s="1"/>
  <c r="D65" i="5"/>
  <c r="P65" i="5" s="1"/>
  <c r="C63" i="6"/>
  <c r="Q63" i="6" s="1"/>
  <c r="C64" i="6"/>
  <c r="P64" i="6" s="1"/>
  <c r="N95" i="6"/>
  <c r="C95" i="6"/>
  <c r="R95" i="6" s="1"/>
  <c r="M66" i="5"/>
  <c r="D66" i="5"/>
  <c r="Q66" i="5" s="1"/>
  <c r="M59" i="5"/>
  <c r="D59" i="5"/>
  <c r="N59" i="5" s="1"/>
  <c r="N91" i="6"/>
  <c r="F108" i="1"/>
  <c r="D26" i="13" s="1"/>
  <c r="M24" i="8"/>
  <c r="M30" i="5"/>
  <c r="D29" i="5"/>
  <c r="R29" i="5" s="1"/>
  <c r="C22" i="6"/>
  <c r="F22" i="6" s="1"/>
  <c r="C26" i="6"/>
  <c r="F26" i="6" s="1"/>
  <c r="N22" i="6"/>
  <c r="D33" i="12"/>
  <c r="M63" i="5"/>
  <c r="C76" i="6"/>
  <c r="P76" i="6" s="1"/>
  <c r="C82" i="6"/>
  <c r="R82" i="6" s="1"/>
  <c r="C92" i="6"/>
  <c r="Q92" i="6" s="1"/>
  <c r="C51" i="6"/>
  <c r="F51" i="6" s="1"/>
  <c r="C78" i="6"/>
  <c r="P78" i="6" s="1"/>
  <c r="M56" i="5"/>
  <c r="N92" i="6"/>
  <c r="M62" i="5"/>
  <c r="N50" i="6"/>
  <c r="N54" i="6"/>
  <c r="D63" i="5"/>
  <c r="P63" i="5" s="1"/>
  <c r="C61" i="6"/>
  <c r="Q61" i="6" s="1"/>
  <c r="D62" i="5"/>
  <c r="Q62" i="5" s="1"/>
  <c r="M22" i="8"/>
  <c r="N137" i="6"/>
  <c r="D32" i="14"/>
  <c r="D21" i="8"/>
  <c r="G21" i="8" s="1"/>
  <c r="T101" i="1"/>
  <c r="M46" i="5"/>
  <c r="N59" i="6"/>
  <c r="N75" i="6"/>
  <c r="N76" i="6"/>
  <c r="C58" i="6"/>
  <c r="H58" i="6" s="1"/>
  <c r="M60" i="5"/>
  <c r="C60" i="6"/>
  <c r="R60" i="6" s="1"/>
  <c r="C89" i="6"/>
  <c r="R89" i="6" s="1"/>
  <c r="C91" i="6"/>
  <c r="F91" i="6" s="1"/>
  <c r="N58" i="6"/>
  <c r="C44" i="6"/>
  <c r="R44" i="6" s="1"/>
  <c r="M52" i="5"/>
  <c r="C90" i="6"/>
  <c r="Q90" i="6" s="1"/>
  <c r="N44" i="6"/>
  <c r="C50" i="6"/>
  <c r="D50" i="6" s="1"/>
  <c r="D61" i="5"/>
  <c r="R61" i="5" s="1"/>
  <c r="M61" i="5"/>
  <c r="C59" i="6"/>
  <c r="P59" i="6" s="1"/>
  <c r="D60" i="5"/>
  <c r="R60" i="5" s="1"/>
  <c r="N81" i="6"/>
  <c r="M47" i="5"/>
  <c r="M51" i="5"/>
  <c r="N47" i="6"/>
  <c r="N82" i="6"/>
  <c r="N85" i="6"/>
  <c r="D49" i="5"/>
  <c r="N49" i="5" s="1"/>
  <c r="N51" i="6"/>
  <c r="D47" i="5"/>
  <c r="H47" i="5" s="1"/>
  <c r="C47" i="6"/>
  <c r="D47" i="6" s="1"/>
  <c r="M53" i="5"/>
  <c r="C45" i="6"/>
  <c r="D45" i="6" s="1"/>
  <c r="C54" i="6"/>
  <c r="Q54" i="6" s="1"/>
  <c r="M50" i="5"/>
  <c r="D46" i="5"/>
  <c r="H46" i="5" s="1"/>
  <c r="N78" i="6"/>
  <c r="D52" i="5"/>
  <c r="F52" i="5" s="1"/>
  <c r="D56" i="5"/>
  <c r="R56" i="5" s="1"/>
  <c r="C96" i="6"/>
  <c r="H96" i="6" s="1"/>
  <c r="N79" i="6"/>
  <c r="D55" i="5"/>
  <c r="F55" i="5" s="1"/>
  <c r="C56" i="6"/>
  <c r="F56" i="6" s="1"/>
  <c r="M49" i="5"/>
  <c r="C46" i="6"/>
  <c r="Q46" i="6" s="1"/>
  <c r="C79" i="6"/>
  <c r="F79" i="6" s="1"/>
  <c r="N83" i="6"/>
  <c r="N56" i="6"/>
  <c r="N87" i="6"/>
  <c r="C84" i="6"/>
  <c r="P84" i="6" s="1"/>
  <c r="D50" i="5"/>
  <c r="Q50" i="5" s="1"/>
  <c r="M58" i="5"/>
  <c r="N46" i="6"/>
  <c r="M67" i="5"/>
  <c r="N53" i="6"/>
  <c r="D54" i="5"/>
  <c r="P54" i="5" s="1"/>
  <c r="M54" i="5"/>
  <c r="C48" i="6"/>
  <c r="R48" i="6" s="1"/>
  <c r="D58" i="5"/>
  <c r="H58" i="5" s="1"/>
  <c r="N77" i="6"/>
  <c r="N65" i="6"/>
  <c r="C52" i="6"/>
  <c r="Q52" i="6" s="1"/>
  <c r="C77" i="6"/>
  <c r="R77" i="6" s="1"/>
  <c r="M48" i="5"/>
  <c r="C83" i="6"/>
  <c r="F83" i="6" s="1"/>
  <c r="D48" i="5"/>
  <c r="F48" i="5" s="1"/>
  <c r="N80" i="6"/>
  <c r="N49" i="6"/>
  <c r="N96" i="6"/>
  <c r="M55" i="5"/>
  <c r="D51" i="5"/>
  <c r="Q51" i="5" s="1"/>
  <c r="D67" i="5"/>
  <c r="G67" i="5" s="1"/>
  <c r="C53" i="6"/>
  <c r="H53" i="6" s="1"/>
  <c r="C80" i="6"/>
  <c r="R80" i="6" s="1"/>
  <c r="C65" i="6"/>
  <c r="Q65" i="6" s="1"/>
  <c r="M27" i="5"/>
  <c r="D27" i="5"/>
  <c r="F27" i="5" s="1"/>
  <c r="N26" i="6"/>
  <c r="C28" i="6"/>
  <c r="P28" i="6" s="1"/>
  <c r="C29" i="6"/>
  <c r="R29" i="6" s="1"/>
  <c r="D27" i="12"/>
  <c r="M23" i="5"/>
  <c r="D30" i="5"/>
  <c r="N30" i="5" s="1"/>
  <c r="N29" i="6"/>
  <c r="C27" i="6"/>
  <c r="H27" i="6" s="1"/>
  <c r="D28" i="5"/>
  <c r="H28" i="5" s="1"/>
  <c r="D24" i="12"/>
  <c r="D25" i="5"/>
  <c r="R25" i="5" s="1"/>
  <c r="M20" i="5"/>
  <c r="N24" i="6"/>
  <c r="C19" i="6"/>
  <c r="F19" i="6" s="1"/>
  <c r="D31" i="5"/>
  <c r="N31" i="5" s="1"/>
  <c r="D20" i="5"/>
  <c r="H20" i="5" s="1"/>
  <c r="N28" i="6"/>
  <c r="D35" i="12"/>
  <c r="D19" i="5"/>
  <c r="N19" i="5" s="1"/>
  <c r="N20" i="6"/>
  <c r="C18" i="6"/>
  <c r="R18" i="6" s="1"/>
  <c r="N27" i="6"/>
  <c r="D23" i="12"/>
  <c r="M21" i="5"/>
  <c r="M25" i="5"/>
  <c r="C20" i="6"/>
  <c r="D20" i="6" s="1"/>
  <c r="D21" i="5"/>
  <c r="R21" i="5" s="1"/>
  <c r="D34" i="12"/>
  <c r="C24" i="6"/>
  <c r="P24" i="6" s="1"/>
  <c r="M26" i="8"/>
  <c r="C141" i="6"/>
  <c r="G141" i="6" s="1"/>
  <c r="C136" i="6"/>
  <c r="E136" i="6" s="1"/>
  <c r="D27" i="14"/>
  <c r="D26" i="8"/>
  <c r="I26" i="8" s="1"/>
  <c r="N136" i="6"/>
  <c r="M21" i="8"/>
  <c r="D25" i="14"/>
  <c r="D24" i="14"/>
  <c r="N138" i="6"/>
  <c r="T867" i="1"/>
  <c r="Q867" i="1"/>
  <c r="S867" i="1"/>
  <c r="R867" i="1"/>
  <c r="P867" i="1"/>
  <c r="E869" i="1"/>
  <c r="H851" i="1"/>
  <c r="I850" i="1"/>
  <c r="D868" i="1" s="1"/>
  <c r="F817" i="1"/>
  <c r="G816" i="1"/>
  <c r="B870" i="1" s="1"/>
  <c r="S101" i="1"/>
  <c r="F101" i="1"/>
  <c r="R101" i="1"/>
  <c r="Q101" i="1"/>
  <c r="F105" i="1"/>
  <c r="D23" i="13" s="1"/>
  <c r="F106" i="1"/>
  <c r="D24" i="13" s="1"/>
  <c r="F103" i="1"/>
  <c r="D21" i="13" s="1"/>
  <c r="M31" i="5"/>
  <c r="C21" i="6"/>
  <c r="H21" i="6" s="1"/>
  <c r="D37" i="12"/>
  <c r="C30" i="6"/>
  <c r="F30" i="6" s="1"/>
  <c r="D26" i="12"/>
  <c r="M19" i="5"/>
  <c r="M22" i="5"/>
  <c r="D22" i="5"/>
  <c r="P22" i="5" s="1"/>
  <c r="N18" i="6"/>
  <c r="N21" i="6"/>
  <c r="D22" i="8"/>
  <c r="O22" i="8" s="1"/>
  <c r="C138" i="6"/>
  <c r="Q138" i="6" s="1"/>
  <c r="C137" i="6"/>
  <c r="S137" i="6" s="1"/>
  <c r="M23" i="8"/>
  <c r="M53" i="8"/>
  <c r="C177" i="6"/>
  <c r="N177" i="6"/>
  <c r="D53" i="8"/>
  <c r="N176" i="6"/>
  <c r="D52" i="8"/>
  <c r="M52" i="8"/>
  <c r="C176" i="6"/>
  <c r="M55" i="8"/>
  <c r="C179" i="6"/>
  <c r="N179" i="6"/>
  <c r="D55" i="8"/>
  <c r="N182" i="6"/>
  <c r="D58" i="8"/>
  <c r="M58" i="8"/>
  <c r="C182" i="6"/>
  <c r="N174" i="6"/>
  <c r="D50" i="8"/>
  <c r="M50" i="8"/>
  <c r="C174" i="6"/>
  <c r="N180" i="6"/>
  <c r="D56" i="8"/>
  <c r="M56" i="8"/>
  <c r="C180" i="6"/>
  <c r="M59" i="8"/>
  <c r="C183" i="6"/>
  <c r="N183" i="6"/>
  <c r="D59" i="8"/>
  <c r="M51" i="8"/>
  <c r="C175" i="6"/>
  <c r="N175" i="6"/>
  <c r="D51" i="8"/>
  <c r="N178" i="6"/>
  <c r="D54" i="8"/>
  <c r="M54" i="8"/>
  <c r="C178" i="6"/>
  <c r="M57" i="8"/>
  <c r="C181" i="6"/>
  <c r="N181" i="6"/>
  <c r="D57" i="8"/>
  <c r="G30" i="14"/>
  <c r="J30" i="14"/>
  <c r="H30" i="14"/>
  <c r="I30" i="14"/>
  <c r="F30" i="14"/>
  <c r="Q23" i="8"/>
  <c r="G23" i="8"/>
  <c r="P23" i="8"/>
  <c r="F23" i="8"/>
  <c r="O23" i="8"/>
  <c r="I23" i="8"/>
  <c r="E23" i="8"/>
  <c r="R23" i="8"/>
  <c r="N23" i="8"/>
  <c r="H23" i="8"/>
  <c r="S139" i="6"/>
  <c r="O139" i="6"/>
  <c r="G139" i="6"/>
  <c r="R139" i="6"/>
  <c r="F139" i="6"/>
  <c r="Q139" i="6"/>
  <c r="E139" i="6"/>
  <c r="P139" i="6"/>
  <c r="H139" i="6"/>
  <c r="D139" i="6"/>
  <c r="I32" i="12"/>
  <c r="J32" i="12"/>
  <c r="H32" i="12"/>
  <c r="G32" i="12"/>
  <c r="F32" i="12"/>
  <c r="C110" i="12"/>
  <c r="B216" i="6"/>
  <c r="M216" i="6"/>
  <c r="L89" i="5"/>
  <c r="C89" i="5"/>
  <c r="I718" i="1"/>
  <c r="G25" i="12"/>
  <c r="I25" i="12"/>
  <c r="H25" i="12"/>
  <c r="F25" i="12"/>
  <c r="J25" i="12"/>
  <c r="C109" i="12"/>
  <c r="B215" i="6"/>
  <c r="M215" i="6"/>
  <c r="L88" i="5"/>
  <c r="C88" i="5"/>
  <c r="I717" i="1"/>
  <c r="G58" i="12"/>
  <c r="I58" i="12"/>
  <c r="H58" i="12"/>
  <c r="J58" i="12"/>
  <c r="F58" i="12"/>
  <c r="R55" i="6"/>
  <c r="F55" i="6"/>
  <c r="P55" i="6"/>
  <c r="H55" i="6"/>
  <c r="D55" i="6"/>
  <c r="Q55" i="6"/>
  <c r="E55" i="6"/>
  <c r="G55" i="6"/>
  <c r="S55" i="6"/>
  <c r="O55" i="6"/>
  <c r="G31" i="12"/>
  <c r="I31" i="12"/>
  <c r="H31" i="12"/>
  <c r="F31" i="12"/>
  <c r="J31" i="12"/>
  <c r="C120" i="12"/>
  <c r="B224" i="6"/>
  <c r="M224" i="6"/>
  <c r="L97" i="5"/>
  <c r="C97" i="5"/>
  <c r="I728" i="1"/>
  <c r="G747" i="1"/>
  <c r="B748" i="1"/>
  <c r="C112" i="12"/>
  <c r="B218" i="6"/>
  <c r="M218" i="6"/>
  <c r="L91" i="5"/>
  <c r="C91" i="5"/>
  <c r="I720" i="1"/>
  <c r="L746" i="1"/>
  <c r="N746" i="1"/>
  <c r="M746" i="1"/>
  <c r="K746" i="1"/>
  <c r="R26" i="5"/>
  <c r="N26" i="5"/>
  <c r="H26" i="5"/>
  <c r="P26" i="5"/>
  <c r="F26" i="5"/>
  <c r="Q26" i="5"/>
  <c r="I26" i="5"/>
  <c r="O26" i="5"/>
  <c r="G26" i="5"/>
  <c r="E26" i="5"/>
  <c r="C118" i="12"/>
  <c r="B222" i="6"/>
  <c r="M222" i="6"/>
  <c r="L95" i="5"/>
  <c r="C95" i="5"/>
  <c r="I726" i="1"/>
  <c r="C122" i="12"/>
  <c r="B226" i="6"/>
  <c r="M226" i="6"/>
  <c r="L99" i="5"/>
  <c r="C99" i="5"/>
  <c r="I730" i="1"/>
  <c r="C113" i="12"/>
  <c r="B219" i="6"/>
  <c r="M219" i="6"/>
  <c r="L92" i="5"/>
  <c r="C92" i="5"/>
  <c r="I721" i="1"/>
  <c r="N741" i="1"/>
  <c r="L741" i="1"/>
  <c r="M741" i="1"/>
  <c r="K741" i="1"/>
  <c r="U760" i="1"/>
  <c r="K760" i="1"/>
  <c r="S760" i="1"/>
  <c r="M760" i="1"/>
  <c r="V760" i="1"/>
  <c r="T760" i="1"/>
  <c r="N760" i="1"/>
  <c r="L760" i="1"/>
  <c r="U758" i="1"/>
  <c r="K758" i="1"/>
  <c r="S758" i="1"/>
  <c r="M758" i="1"/>
  <c r="V758" i="1"/>
  <c r="T758" i="1"/>
  <c r="N758" i="1"/>
  <c r="L758" i="1"/>
  <c r="P86" i="6"/>
  <c r="H86" i="6"/>
  <c r="D86" i="6"/>
  <c r="R86" i="6"/>
  <c r="F86" i="6"/>
  <c r="Q86" i="6"/>
  <c r="E86" i="6"/>
  <c r="O86" i="6"/>
  <c r="G86" i="6"/>
  <c r="S86" i="6"/>
  <c r="L742" i="1"/>
  <c r="N742" i="1"/>
  <c r="M742" i="1"/>
  <c r="K742" i="1"/>
  <c r="C119" i="12"/>
  <c r="B223" i="6"/>
  <c r="M223" i="6"/>
  <c r="L96" i="5"/>
  <c r="C96" i="5"/>
  <c r="I727" i="1"/>
  <c r="P23" i="5"/>
  <c r="F23" i="5"/>
  <c r="R23" i="5"/>
  <c r="N23" i="5"/>
  <c r="H23" i="5"/>
  <c r="Q23" i="5"/>
  <c r="I23" i="5"/>
  <c r="O23" i="5"/>
  <c r="G23" i="5"/>
  <c r="E23" i="5"/>
  <c r="S765" i="1"/>
  <c r="M765" i="1"/>
  <c r="U765" i="1"/>
  <c r="K765" i="1"/>
  <c r="V765" i="1"/>
  <c r="L765" i="1"/>
  <c r="T765" i="1"/>
  <c r="N765" i="1"/>
  <c r="Q68" i="5"/>
  <c r="G68" i="5"/>
  <c r="O68" i="5"/>
  <c r="I68" i="5"/>
  <c r="E68" i="5"/>
  <c r="P68" i="5"/>
  <c r="F68" i="5"/>
  <c r="H68" i="5"/>
  <c r="R68" i="5"/>
  <c r="N68" i="5"/>
  <c r="U762" i="1"/>
  <c r="K762" i="1"/>
  <c r="S762" i="1"/>
  <c r="M762" i="1"/>
  <c r="V762" i="1"/>
  <c r="T762" i="1"/>
  <c r="N762" i="1"/>
  <c r="L762" i="1"/>
  <c r="B768" i="1"/>
  <c r="G768" i="1" s="1"/>
  <c r="B767" i="1"/>
  <c r="G767" i="1" s="1"/>
  <c r="G766" i="1"/>
  <c r="C114" i="12"/>
  <c r="B220" i="6"/>
  <c r="M220" i="6"/>
  <c r="C93" i="5"/>
  <c r="L93" i="5"/>
  <c r="I722" i="1"/>
  <c r="R57" i="5"/>
  <c r="N57" i="5"/>
  <c r="H57" i="5"/>
  <c r="P57" i="5"/>
  <c r="F57" i="5"/>
  <c r="Q57" i="5"/>
  <c r="I57" i="5"/>
  <c r="O57" i="5"/>
  <c r="G57" i="5"/>
  <c r="E57" i="5"/>
  <c r="C117" i="12"/>
  <c r="B221" i="6"/>
  <c r="M221" i="6"/>
  <c r="L94" i="5"/>
  <c r="C94" i="5"/>
  <c r="I725" i="1"/>
  <c r="L740" i="1"/>
  <c r="N740" i="1"/>
  <c r="M740" i="1"/>
  <c r="K740" i="1"/>
  <c r="C123" i="12"/>
  <c r="B227" i="6"/>
  <c r="M227" i="6"/>
  <c r="L100" i="5"/>
  <c r="C100" i="5"/>
  <c r="I731" i="1"/>
  <c r="N739" i="1"/>
  <c r="L739" i="1"/>
  <c r="M739" i="1"/>
  <c r="K739" i="1"/>
  <c r="L744" i="1"/>
  <c r="N744" i="1"/>
  <c r="M744" i="1"/>
  <c r="K744" i="1"/>
  <c r="P66" i="6"/>
  <c r="H66" i="6"/>
  <c r="D66" i="6"/>
  <c r="R66" i="6"/>
  <c r="F66" i="6"/>
  <c r="Q66" i="6"/>
  <c r="E66" i="6"/>
  <c r="O66" i="6"/>
  <c r="G66" i="6"/>
  <c r="S66" i="6"/>
  <c r="C111" i="12"/>
  <c r="B217" i="6"/>
  <c r="M217" i="6"/>
  <c r="L90" i="5"/>
  <c r="C90" i="5"/>
  <c r="I719" i="1"/>
  <c r="P25" i="6"/>
  <c r="H25" i="6"/>
  <c r="D25" i="6"/>
  <c r="R25" i="6"/>
  <c r="F25" i="6"/>
  <c r="S25" i="6"/>
  <c r="G25" i="6"/>
  <c r="Q25" i="6"/>
  <c r="E25" i="6"/>
  <c r="O25" i="6"/>
  <c r="N743" i="1"/>
  <c r="L743" i="1"/>
  <c r="M743" i="1"/>
  <c r="K743" i="1"/>
  <c r="C121" i="12"/>
  <c r="B225" i="6"/>
  <c r="M225" i="6"/>
  <c r="L98" i="5"/>
  <c r="C98" i="5"/>
  <c r="I729" i="1"/>
  <c r="S761" i="1"/>
  <c r="M761" i="1"/>
  <c r="U761" i="1"/>
  <c r="K761" i="1"/>
  <c r="V761" i="1"/>
  <c r="T761" i="1"/>
  <c r="N761" i="1"/>
  <c r="L761" i="1"/>
  <c r="I36" i="12"/>
  <c r="J36" i="12"/>
  <c r="H36" i="12"/>
  <c r="G36" i="12"/>
  <c r="F36" i="12"/>
  <c r="S759" i="1"/>
  <c r="M759" i="1"/>
  <c r="U759" i="1"/>
  <c r="K759" i="1"/>
  <c r="V759" i="1"/>
  <c r="T759" i="1"/>
  <c r="N759" i="1"/>
  <c r="L759" i="1"/>
  <c r="S763" i="1"/>
  <c r="M763" i="1"/>
  <c r="U763" i="1"/>
  <c r="K763" i="1"/>
  <c r="V763" i="1"/>
  <c r="T763" i="1"/>
  <c r="N763" i="1"/>
  <c r="L763" i="1"/>
  <c r="R97" i="6"/>
  <c r="F97" i="6"/>
  <c r="Q97" i="6"/>
  <c r="E97" i="6"/>
  <c r="S97" i="6"/>
  <c r="H97" i="6"/>
  <c r="O97" i="6"/>
  <c r="D97" i="6"/>
  <c r="P97" i="6"/>
  <c r="G97" i="6"/>
  <c r="N745" i="1"/>
  <c r="L745" i="1"/>
  <c r="M745" i="1"/>
  <c r="K745" i="1"/>
  <c r="U764" i="1"/>
  <c r="K764" i="1"/>
  <c r="S764" i="1"/>
  <c r="M764" i="1"/>
  <c r="V764" i="1"/>
  <c r="L764" i="1"/>
  <c r="T764" i="1"/>
  <c r="N764" i="1"/>
  <c r="G116" i="12" l="1"/>
  <c r="J116" i="12" s="1"/>
  <c r="T724" i="1"/>
  <c r="W724" i="1" s="1"/>
  <c r="U724" i="1"/>
  <c r="H115" i="12"/>
  <c r="G115" i="12"/>
  <c r="J115" i="12" s="1"/>
  <c r="Q408" i="4"/>
  <c r="P408" i="4"/>
  <c r="Q412" i="4"/>
  <c r="P412" i="4"/>
  <c r="Q394" i="4"/>
  <c r="P394" i="4"/>
  <c r="P410" i="4"/>
  <c r="Q410" i="4"/>
  <c r="P387" i="4"/>
  <c r="Q387" i="4"/>
  <c r="P388" i="4"/>
  <c r="Q388" i="4"/>
  <c r="Q391" i="4"/>
  <c r="P391" i="4"/>
  <c r="P392" i="4"/>
  <c r="Q392" i="4"/>
  <c r="T395" i="4"/>
  <c r="K395" i="4"/>
  <c r="V395" i="4"/>
  <c r="U395" i="4"/>
  <c r="N395" i="4"/>
  <c r="L395" i="4"/>
  <c r="M395" i="4"/>
  <c r="S395" i="4"/>
  <c r="Q411" i="4"/>
  <c r="P411" i="4"/>
  <c r="B397" i="4"/>
  <c r="G397" i="4" s="1"/>
  <c r="G396" i="4"/>
  <c r="P389" i="4"/>
  <c r="Q389" i="4"/>
  <c r="T416" i="4"/>
  <c r="L416" i="4"/>
  <c r="N416" i="4"/>
  <c r="M416" i="4"/>
  <c r="K416" i="4"/>
  <c r="V416" i="4"/>
  <c r="U416" i="4"/>
  <c r="S416" i="4"/>
  <c r="Q406" i="4"/>
  <c r="P406" i="4"/>
  <c r="Q390" i="4"/>
  <c r="P390" i="4"/>
  <c r="N414" i="4"/>
  <c r="S414" i="4"/>
  <c r="V414" i="4"/>
  <c r="K414" i="4"/>
  <c r="U414" i="4"/>
  <c r="T414" i="4"/>
  <c r="M414" i="4"/>
  <c r="L414" i="4"/>
  <c r="Q393" i="4"/>
  <c r="P393" i="4"/>
  <c r="P413" i="4"/>
  <c r="Q413" i="4"/>
  <c r="Q409" i="4"/>
  <c r="P409" i="4"/>
  <c r="P407" i="4"/>
  <c r="Q407" i="4"/>
  <c r="V415" i="4"/>
  <c r="N415" i="4"/>
  <c r="U415" i="4"/>
  <c r="K415" i="4"/>
  <c r="S415" i="4"/>
  <c r="L415" i="4"/>
  <c r="T415" i="4"/>
  <c r="M415" i="4"/>
  <c r="H140" i="6"/>
  <c r="P140" i="6"/>
  <c r="I28" i="12"/>
  <c r="F28" i="12"/>
  <c r="F140" i="6"/>
  <c r="R140" i="6"/>
  <c r="G25" i="8"/>
  <c r="J28" i="12"/>
  <c r="H28" i="12"/>
  <c r="G28" i="12"/>
  <c r="D140" i="6"/>
  <c r="K98" i="14"/>
  <c r="J98" i="14"/>
  <c r="J107" i="14"/>
  <c r="K107" i="14"/>
  <c r="J97" i="14"/>
  <c r="K97" i="14"/>
  <c r="J109" i="14"/>
  <c r="K109" i="14"/>
  <c r="K101" i="14"/>
  <c r="J101" i="14"/>
  <c r="J106" i="14"/>
  <c r="K106" i="14"/>
  <c r="J103" i="14"/>
  <c r="K103" i="14"/>
  <c r="K104" i="14"/>
  <c r="J104" i="14"/>
  <c r="J100" i="14"/>
  <c r="K100" i="14"/>
  <c r="K110" i="14"/>
  <c r="J110" i="14"/>
  <c r="G140" i="6"/>
  <c r="R25" i="8"/>
  <c r="O140" i="6"/>
  <c r="Q140" i="6"/>
  <c r="E25" i="8"/>
  <c r="N25" i="8"/>
  <c r="E140" i="6"/>
  <c r="P25" i="8"/>
  <c r="K25" i="14"/>
  <c r="G32" i="14"/>
  <c r="K32" i="14"/>
  <c r="G27" i="14"/>
  <c r="K27" i="14"/>
  <c r="K24" i="14"/>
  <c r="G28" i="14"/>
  <c r="K28" i="14"/>
  <c r="Q25" i="8"/>
  <c r="G22" i="13"/>
  <c r="P24" i="5"/>
  <c r="F25" i="13"/>
  <c r="K25" i="13"/>
  <c r="H24" i="8"/>
  <c r="H25" i="13"/>
  <c r="G25" i="13"/>
  <c r="I25" i="13"/>
  <c r="I25" i="8"/>
  <c r="I22" i="13"/>
  <c r="O25" i="8"/>
  <c r="H22" i="13"/>
  <c r="H25" i="8"/>
  <c r="K22" i="13"/>
  <c r="E45" i="5"/>
  <c r="H28" i="14"/>
  <c r="I28" i="14"/>
  <c r="I45" i="5"/>
  <c r="F28" i="14"/>
  <c r="F22" i="13"/>
  <c r="J28" i="14"/>
  <c r="F24" i="8"/>
  <c r="R45" i="5"/>
  <c r="P24" i="8"/>
  <c r="E24" i="8"/>
  <c r="G24" i="8"/>
  <c r="I24" i="8"/>
  <c r="N24" i="8"/>
  <c r="F45" i="5"/>
  <c r="R24" i="8"/>
  <c r="G74" i="6"/>
  <c r="D74" i="6"/>
  <c r="F24" i="5"/>
  <c r="Q24" i="8"/>
  <c r="O74" i="6"/>
  <c r="R23" i="6"/>
  <c r="P74" i="6"/>
  <c r="Q74" i="6"/>
  <c r="F74" i="6"/>
  <c r="H74" i="6"/>
  <c r="E74" i="6"/>
  <c r="S74" i="6"/>
  <c r="H23" i="13"/>
  <c r="I23" i="13"/>
  <c r="J23" i="13"/>
  <c r="K23" i="13"/>
  <c r="F23" i="13"/>
  <c r="G23" i="13"/>
  <c r="N112" i="6"/>
  <c r="D20" i="13"/>
  <c r="P20" i="13" s="1"/>
  <c r="H21" i="13"/>
  <c r="F21" i="13"/>
  <c r="I21" i="13"/>
  <c r="J21" i="13"/>
  <c r="G21" i="13"/>
  <c r="K21" i="13"/>
  <c r="H24" i="13"/>
  <c r="K24" i="13"/>
  <c r="J24" i="13"/>
  <c r="I24" i="13"/>
  <c r="F24" i="13"/>
  <c r="G24" i="13"/>
  <c r="K26" i="13"/>
  <c r="F26" i="13"/>
  <c r="G26" i="13"/>
  <c r="H26" i="13"/>
  <c r="J26" i="13"/>
  <c r="I26" i="13"/>
  <c r="P45" i="5"/>
  <c r="G45" i="5"/>
  <c r="H45" i="5"/>
  <c r="O45" i="5"/>
  <c r="N45" i="5"/>
  <c r="O23" i="6"/>
  <c r="O88" i="6"/>
  <c r="H24" i="5"/>
  <c r="D88" i="6"/>
  <c r="G24" i="5"/>
  <c r="N24" i="5"/>
  <c r="H88" i="6"/>
  <c r="O24" i="5"/>
  <c r="G88" i="6"/>
  <c r="F25" i="5"/>
  <c r="E24" i="5"/>
  <c r="Q24" i="5"/>
  <c r="Q88" i="6"/>
  <c r="I24" i="5"/>
  <c r="P141" i="6"/>
  <c r="E88" i="6"/>
  <c r="P88" i="6"/>
  <c r="F88" i="6"/>
  <c r="S88" i="6"/>
  <c r="E23" i="6"/>
  <c r="D23" i="6"/>
  <c r="O136" i="6"/>
  <c r="Q23" i="6"/>
  <c r="G23" i="6"/>
  <c r="P23" i="6"/>
  <c r="I64" i="5"/>
  <c r="S23" i="6"/>
  <c r="H26" i="8"/>
  <c r="H23" i="6"/>
  <c r="R30" i="5"/>
  <c r="C116" i="6"/>
  <c r="D116" i="6" s="1"/>
  <c r="N26" i="13"/>
  <c r="P87" i="6"/>
  <c r="K56" i="12"/>
  <c r="K59" i="12"/>
  <c r="J64" i="12"/>
  <c r="K64" i="12"/>
  <c r="G60" i="12"/>
  <c r="K60" i="12"/>
  <c r="K57" i="12"/>
  <c r="K61" i="12"/>
  <c r="N64" i="5"/>
  <c r="E43" i="6"/>
  <c r="E85" i="6"/>
  <c r="I65" i="5"/>
  <c r="Q43" i="6"/>
  <c r="K24" i="12"/>
  <c r="Q65" i="5"/>
  <c r="P64" i="5"/>
  <c r="G75" i="6"/>
  <c r="D85" i="6"/>
  <c r="I35" i="12"/>
  <c r="K35" i="12"/>
  <c r="K33" i="12"/>
  <c r="K37" i="12"/>
  <c r="I23" i="12"/>
  <c r="K23" i="12"/>
  <c r="K27" i="12"/>
  <c r="K34" i="12"/>
  <c r="F75" i="6"/>
  <c r="R85" i="6"/>
  <c r="P95" i="6"/>
  <c r="F55" i="12"/>
  <c r="H95" i="6"/>
  <c r="K26" i="12"/>
  <c r="I30" i="5"/>
  <c r="H29" i="5"/>
  <c r="D26" i="6"/>
  <c r="G95" i="6"/>
  <c r="G65" i="5"/>
  <c r="F64" i="5"/>
  <c r="O43" i="6"/>
  <c r="S75" i="6"/>
  <c r="H85" i="6"/>
  <c r="E95" i="6"/>
  <c r="R65" i="5"/>
  <c r="E64" i="5"/>
  <c r="G55" i="12"/>
  <c r="F43" i="6"/>
  <c r="D75" i="6"/>
  <c r="Q95" i="6"/>
  <c r="H65" i="5"/>
  <c r="O64" i="5"/>
  <c r="H43" i="6"/>
  <c r="P75" i="6"/>
  <c r="O85" i="6"/>
  <c r="D93" i="6"/>
  <c r="R62" i="6"/>
  <c r="G62" i="6"/>
  <c r="S95" i="6"/>
  <c r="O62" i="6"/>
  <c r="O65" i="5"/>
  <c r="N65" i="5"/>
  <c r="G64" i="5"/>
  <c r="R64" i="5"/>
  <c r="H55" i="12"/>
  <c r="D43" i="6"/>
  <c r="O75" i="6"/>
  <c r="H75" i="6"/>
  <c r="Q85" i="6"/>
  <c r="Q93" i="6"/>
  <c r="D95" i="6"/>
  <c r="F65" i="5"/>
  <c r="Q64" i="5"/>
  <c r="I55" i="12"/>
  <c r="J55" i="12"/>
  <c r="S43" i="6"/>
  <c r="P43" i="6"/>
  <c r="E75" i="6"/>
  <c r="R75" i="6"/>
  <c r="S85" i="6"/>
  <c r="P85" i="6"/>
  <c r="R93" i="6"/>
  <c r="F95" i="6"/>
  <c r="O95" i="6"/>
  <c r="E65" i="5"/>
  <c r="G43" i="6"/>
  <c r="G85" i="6"/>
  <c r="D62" i="6"/>
  <c r="P57" i="6"/>
  <c r="R57" i="6"/>
  <c r="P89" i="6"/>
  <c r="H62" i="6"/>
  <c r="S62" i="6"/>
  <c r="E93" i="6"/>
  <c r="Q49" i="6"/>
  <c r="E62" i="6"/>
  <c r="P62" i="6"/>
  <c r="S57" i="6"/>
  <c r="O93" i="6"/>
  <c r="H93" i="6"/>
  <c r="E57" i="6"/>
  <c r="Q49" i="5"/>
  <c r="S93" i="6"/>
  <c r="P93" i="6"/>
  <c r="Q62" i="6"/>
  <c r="Q63" i="5"/>
  <c r="Q57" i="6"/>
  <c r="G93" i="6"/>
  <c r="I53" i="5"/>
  <c r="Q91" i="6"/>
  <c r="F63" i="6"/>
  <c r="E53" i="5"/>
  <c r="S54" i="6"/>
  <c r="S64" i="6"/>
  <c r="E54" i="6"/>
  <c r="Q64" i="6"/>
  <c r="O49" i="6"/>
  <c r="P53" i="5"/>
  <c r="P91" i="6"/>
  <c r="Q76" i="6"/>
  <c r="G82" i="6"/>
  <c r="H81" i="6"/>
  <c r="F64" i="6"/>
  <c r="R64" i="6"/>
  <c r="Q94" i="6"/>
  <c r="S87" i="6"/>
  <c r="H94" i="6"/>
  <c r="Q53" i="5"/>
  <c r="E49" i="6"/>
  <c r="R53" i="5"/>
  <c r="H49" i="6"/>
  <c r="E61" i="6"/>
  <c r="R49" i="6"/>
  <c r="D61" i="6"/>
  <c r="D64" i="6"/>
  <c r="G64" i="6"/>
  <c r="O81" i="6"/>
  <c r="O64" i="6"/>
  <c r="H64" i="6"/>
  <c r="E64" i="6"/>
  <c r="S81" i="6"/>
  <c r="G63" i="6"/>
  <c r="Q87" i="6"/>
  <c r="P81" i="6"/>
  <c r="F76" i="6"/>
  <c r="G53" i="5"/>
  <c r="H53" i="5"/>
  <c r="S49" i="6"/>
  <c r="P49" i="6"/>
  <c r="D63" i="6"/>
  <c r="H87" i="6"/>
  <c r="F94" i="6"/>
  <c r="G57" i="12"/>
  <c r="S56" i="6"/>
  <c r="D76" i="6"/>
  <c r="G64" i="12"/>
  <c r="O53" i="5"/>
  <c r="N53" i="5"/>
  <c r="G49" i="6"/>
  <c r="F49" i="6"/>
  <c r="O87" i="6"/>
  <c r="O94" i="6"/>
  <c r="Q81" i="6"/>
  <c r="G76" i="6"/>
  <c r="H91" i="6"/>
  <c r="H61" i="6"/>
  <c r="F61" i="5"/>
  <c r="H61" i="5"/>
  <c r="D87" i="6"/>
  <c r="P94" i="6"/>
  <c r="S94" i="6"/>
  <c r="D81" i="6"/>
  <c r="H63" i="5"/>
  <c r="G57" i="6"/>
  <c r="F57" i="6"/>
  <c r="R59" i="5"/>
  <c r="F87" i="6"/>
  <c r="E94" i="6"/>
  <c r="G81" i="6"/>
  <c r="F81" i="6"/>
  <c r="G63" i="5"/>
  <c r="H51" i="6"/>
  <c r="D57" i="6"/>
  <c r="S89" i="6"/>
  <c r="G61" i="5"/>
  <c r="R54" i="6"/>
  <c r="G87" i="6"/>
  <c r="D94" i="6"/>
  <c r="E90" i="6"/>
  <c r="Q61" i="5"/>
  <c r="E87" i="6"/>
  <c r="R94" i="6"/>
  <c r="F90" i="6"/>
  <c r="E81" i="6"/>
  <c r="O63" i="5"/>
  <c r="O57" i="6"/>
  <c r="D89" i="6"/>
  <c r="O63" i="6"/>
  <c r="H63" i="6"/>
  <c r="S63" i="6"/>
  <c r="P63" i="6"/>
  <c r="E59" i="5"/>
  <c r="E63" i="6"/>
  <c r="R63" i="6"/>
  <c r="R66" i="5"/>
  <c r="N63" i="5"/>
  <c r="O66" i="5"/>
  <c r="J63" i="12"/>
  <c r="Q89" i="6"/>
  <c r="D60" i="6"/>
  <c r="E66" i="5"/>
  <c r="P51" i="6"/>
  <c r="I59" i="5"/>
  <c r="G78" i="6"/>
  <c r="P66" i="5"/>
  <c r="O50" i="6"/>
  <c r="N66" i="5"/>
  <c r="I66" i="5"/>
  <c r="P59" i="5"/>
  <c r="H66" i="5"/>
  <c r="G66" i="5"/>
  <c r="Q44" i="6"/>
  <c r="F66" i="5"/>
  <c r="S51" i="6"/>
  <c r="Q78" i="6"/>
  <c r="F50" i="6"/>
  <c r="D44" i="6"/>
  <c r="Q59" i="5"/>
  <c r="F78" i="6"/>
  <c r="H50" i="6"/>
  <c r="O51" i="6"/>
  <c r="R51" i="6"/>
  <c r="F59" i="5"/>
  <c r="G60" i="6"/>
  <c r="E51" i="6"/>
  <c r="G59" i="5"/>
  <c r="H59" i="5"/>
  <c r="D78" i="6"/>
  <c r="Q60" i="6"/>
  <c r="N47" i="5"/>
  <c r="Q51" i="6"/>
  <c r="G44" i="6"/>
  <c r="O59" i="5"/>
  <c r="O62" i="5"/>
  <c r="P90" i="6"/>
  <c r="Q82" i="6"/>
  <c r="O60" i="5"/>
  <c r="O91" i="6"/>
  <c r="R91" i="6"/>
  <c r="F61" i="6"/>
  <c r="F56" i="5"/>
  <c r="D82" i="6"/>
  <c r="H47" i="6"/>
  <c r="F92" i="6"/>
  <c r="S91" i="6"/>
  <c r="O61" i="6"/>
  <c r="R61" i="6"/>
  <c r="O82" i="6"/>
  <c r="J57" i="12"/>
  <c r="H82" i="6"/>
  <c r="E91" i="6"/>
  <c r="G61" i="6"/>
  <c r="N29" i="5"/>
  <c r="E29" i="5"/>
  <c r="G26" i="6"/>
  <c r="R26" i="6"/>
  <c r="S26" i="6"/>
  <c r="R22" i="6"/>
  <c r="H26" i="6"/>
  <c r="P26" i="6"/>
  <c r="O26" i="6"/>
  <c r="E26" i="6"/>
  <c r="Q26" i="6"/>
  <c r="I33" i="12"/>
  <c r="N22" i="7"/>
  <c r="N116" i="6"/>
  <c r="D22" i="7"/>
  <c r="Q22" i="7" s="1"/>
  <c r="D137" i="6"/>
  <c r="O141" i="6"/>
  <c r="S141" i="6"/>
  <c r="G22" i="6"/>
  <c r="H22" i="6"/>
  <c r="O29" i="5"/>
  <c r="F29" i="5"/>
  <c r="O22" i="6"/>
  <c r="F37" i="12"/>
  <c r="P29" i="6"/>
  <c r="G33" i="12"/>
  <c r="S22" i="6"/>
  <c r="I29" i="5"/>
  <c r="P29" i="5"/>
  <c r="D22" i="6"/>
  <c r="Q29" i="5"/>
  <c r="E22" i="6"/>
  <c r="P22" i="6"/>
  <c r="Q22" i="6"/>
  <c r="G29" i="5"/>
  <c r="H29" i="6"/>
  <c r="F33" i="12"/>
  <c r="H33" i="12"/>
  <c r="Q28" i="6"/>
  <c r="J33" i="12"/>
  <c r="I27" i="5"/>
  <c r="S18" i="6"/>
  <c r="P27" i="5"/>
  <c r="F28" i="6"/>
  <c r="F20" i="6"/>
  <c r="G27" i="12"/>
  <c r="Q27" i="5"/>
  <c r="I60" i="5"/>
  <c r="S92" i="6"/>
  <c r="R92" i="6"/>
  <c r="H49" i="5"/>
  <c r="E61" i="5"/>
  <c r="P61" i="5"/>
  <c r="F54" i="6"/>
  <c r="E58" i="6"/>
  <c r="H27" i="5"/>
  <c r="E82" i="6"/>
  <c r="P82" i="6"/>
  <c r="I63" i="5"/>
  <c r="R63" i="5"/>
  <c r="F60" i="5"/>
  <c r="G92" i="6"/>
  <c r="D92" i="6"/>
  <c r="I27" i="12"/>
  <c r="S76" i="6"/>
  <c r="R76" i="6"/>
  <c r="O89" i="6"/>
  <c r="H89" i="6"/>
  <c r="G70" i="12"/>
  <c r="E27" i="5"/>
  <c r="P60" i="5"/>
  <c r="H92" i="6"/>
  <c r="N61" i="5"/>
  <c r="P58" i="6"/>
  <c r="G27" i="5"/>
  <c r="R27" i="5"/>
  <c r="F82" i="6"/>
  <c r="F63" i="5"/>
  <c r="I28" i="5"/>
  <c r="H62" i="5"/>
  <c r="E92" i="6"/>
  <c r="P92" i="6"/>
  <c r="O76" i="6"/>
  <c r="H76" i="6"/>
  <c r="G89" i="6"/>
  <c r="F89" i="6"/>
  <c r="N67" i="5"/>
  <c r="Q58" i="6"/>
  <c r="N27" i="5"/>
  <c r="O92" i="6"/>
  <c r="O61" i="5"/>
  <c r="P54" i="6"/>
  <c r="I61" i="5"/>
  <c r="O27" i="5"/>
  <c r="S82" i="6"/>
  <c r="E63" i="5"/>
  <c r="F62" i="5"/>
  <c r="G58" i="5"/>
  <c r="E76" i="6"/>
  <c r="E89" i="6"/>
  <c r="E29" i="6"/>
  <c r="O48" i="6"/>
  <c r="G28" i="6"/>
  <c r="O60" i="6"/>
  <c r="H60" i="6"/>
  <c r="N28" i="5"/>
  <c r="E62" i="5"/>
  <c r="N62" i="5"/>
  <c r="E50" i="6"/>
  <c r="P50" i="6"/>
  <c r="F27" i="12"/>
  <c r="O44" i="6"/>
  <c r="H44" i="6"/>
  <c r="Q84" i="6"/>
  <c r="S78" i="6"/>
  <c r="R78" i="6"/>
  <c r="O18" i="6"/>
  <c r="S90" i="6"/>
  <c r="Q54" i="5"/>
  <c r="S28" i="6"/>
  <c r="E60" i="6"/>
  <c r="P60" i="6"/>
  <c r="O47" i="6"/>
  <c r="G62" i="5"/>
  <c r="R62" i="5"/>
  <c r="O47" i="5"/>
  <c r="Q50" i="6"/>
  <c r="H59" i="12"/>
  <c r="D51" i="6"/>
  <c r="E44" i="6"/>
  <c r="P44" i="6"/>
  <c r="D91" i="6"/>
  <c r="S61" i="6"/>
  <c r="P61" i="6"/>
  <c r="Q26" i="8"/>
  <c r="E141" i="6"/>
  <c r="O78" i="6"/>
  <c r="H78" i="6"/>
  <c r="R28" i="6"/>
  <c r="F60" i="6"/>
  <c r="H20" i="6"/>
  <c r="I62" i="5"/>
  <c r="P62" i="5"/>
  <c r="S50" i="6"/>
  <c r="R50" i="6"/>
  <c r="G59" i="6"/>
  <c r="P21" i="6"/>
  <c r="P55" i="5"/>
  <c r="F44" i="6"/>
  <c r="E78" i="6"/>
  <c r="R90" i="6"/>
  <c r="S60" i="6"/>
  <c r="P20" i="6"/>
  <c r="O25" i="5"/>
  <c r="G50" i="6"/>
  <c r="H27" i="12"/>
  <c r="F59" i="6"/>
  <c r="O31" i="5"/>
  <c r="G51" i="6"/>
  <c r="S44" i="6"/>
  <c r="G91" i="6"/>
  <c r="H137" i="6"/>
  <c r="N26" i="8"/>
  <c r="E21" i="8"/>
  <c r="R22" i="8"/>
  <c r="F32" i="14"/>
  <c r="O26" i="8"/>
  <c r="J32" i="14"/>
  <c r="O21" i="8"/>
  <c r="H22" i="8"/>
  <c r="I32" i="14"/>
  <c r="F26" i="8"/>
  <c r="R26" i="8"/>
  <c r="S138" i="6"/>
  <c r="N21" i="8"/>
  <c r="F21" i="8"/>
  <c r="H32" i="14"/>
  <c r="F22" i="8"/>
  <c r="P26" i="8"/>
  <c r="E26" i="8"/>
  <c r="D138" i="6"/>
  <c r="R21" i="8"/>
  <c r="Q21" i="8"/>
  <c r="E22" i="8"/>
  <c r="F138" i="6"/>
  <c r="H21" i="8"/>
  <c r="P21" i="8"/>
  <c r="P22" i="8"/>
  <c r="G26" i="8"/>
  <c r="H138" i="6"/>
  <c r="I21" i="8"/>
  <c r="R137" i="6"/>
  <c r="Q136" i="6"/>
  <c r="F141" i="6"/>
  <c r="R138" i="6"/>
  <c r="P138" i="6"/>
  <c r="G25" i="14"/>
  <c r="G24" i="14"/>
  <c r="Q137" i="6"/>
  <c r="Q141" i="6"/>
  <c r="H24" i="14"/>
  <c r="G137" i="6"/>
  <c r="D141" i="6"/>
  <c r="R141" i="6"/>
  <c r="G138" i="6"/>
  <c r="E138" i="6"/>
  <c r="D136" i="6"/>
  <c r="H136" i="6"/>
  <c r="J24" i="14"/>
  <c r="F136" i="6"/>
  <c r="H141" i="6"/>
  <c r="O138" i="6"/>
  <c r="H27" i="14"/>
  <c r="N22" i="8"/>
  <c r="S136" i="6"/>
  <c r="I24" i="14"/>
  <c r="F24" i="14"/>
  <c r="G22" i="8"/>
  <c r="I22" i="8"/>
  <c r="R136" i="6"/>
  <c r="P136" i="6"/>
  <c r="I27" i="14"/>
  <c r="Q22" i="8"/>
  <c r="G136" i="6"/>
  <c r="D18" i="7"/>
  <c r="R18" i="7" s="1"/>
  <c r="N20" i="13"/>
  <c r="C112" i="6"/>
  <c r="D112" i="6" s="1"/>
  <c r="N18" i="7"/>
  <c r="S45" i="6"/>
  <c r="Q60" i="5"/>
  <c r="E46" i="5"/>
  <c r="S58" i="6"/>
  <c r="R58" i="6"/>
  <c r="H60" i="5"/>
  <c r="R96" i="6"/>
  <c r="H45" i="6"/>
  <c r="R58" i="5"/>
  <c r="R49" i="5"/>
  <c r="N46" i="5"/>
  <c r="G58" i="6"/>
  <c r="D58" i="6"/>
  <c r="E60" i="5"/>
  <c r="N60" i="5"/>
  <c r="F58" i="6"/>
  <c r="O58" i="6"/>
  <c r="G60" i="5"/>
  <c r="E79" i="6"/>
  <c r="H67" i="5"/>
  <c r="D77" i="6"/>
  <c r="R46" i="5"/>
  <c r="E59" i="6"/>
  <c r="O46" i="5"/>
  <c r="F46" i="5"/>
  <c r="G90" i="6"/>
  <c r="D90" i="6"/>
  <c r="H57" i="12"/>
  <c r="I57" i="12"/>
  <c r="P45" i="6"/>
  <c r="Q59" i="6"/>
  <c r="J66" i="12"/>
  <c r="Q79" i="6"/>
  <c r="G46" i="5"/>
  <c r="R59" i="6"/>
  <c r="I46" i="5"/>
  <c r="P46" i="5"/>
  <c r="O90" i="6"/>
  <c r="H90" i="6"/>
  <c r="F57" i="12"/>
  <c r="P51" i="5"/>
  <c r="D59" i="6"/>
  <c r="R79" i="6"/>
  <c r="Q46" i="5"/>
  <c r="O59" i="6"/>
  <c r="H59" i="6"/>
  <c r="I66" i="12"/>
  <c r="O56" i="5"/>
  <c r="O45" i="6"/>
  <c r="R56" i="6"/>
  <c r="S59" i="6"/>
  <c r="I59" i="12"/>
  <c r="J60" i="12"/>
  <c r="F45" i="6"/>
  <c r="Q47" i="5"/>
  <c r="I52" i="5"/>
  <c r="E45" i="6"/>
  <c r="R45" i="6"/>
  <c r="F47" i="5"/>
  <c r="Q52" i="5"/>
  <c r="E55" i="5"/>
  <c r="Q96" i="6"/>
  <c r="O79" i="6"/>
  <c r="H79" i="6"/>
  <c r="I47" i="5"/>
  <c r="F59" i="12"/>
  <c r="H55" i="5"/>
  <c r="G45" i="6"/>
  <c r="R55" i="5"/>
  <c r="Q45" i="6"/>
  <c r="O46" i="6"/>
  <c r="I50" i="5"/>
  <c r="R53" i="6"/>
  <c r="E47" i="5"/>
  <c r="P47" i="5"/>
  <c r="G59" i="12"/>
  <c r="N52" i="5"/>
  <c r="G49" i="5"/>
  <c r="G55" i="5"/>
  <c r="P96" i="6"/>
  <c r="S79" i="6"/>
  <c r="P79" i="6"/>
  <c r="H54" i="5"/>
  <c r="R47" i="5"/>
  <c r="E52" i="5"/>
  <c r="R54" i="5"/>
  <c r="J59" i="12"/>
  <c r="D79" i="6"/>
  <c r="G54" i="5"/>
  <c r="F46" i="6"/>
  <c r="P50" i="5"/>
  <c r="G47" i="5"/>
  <c r="F56" i="12"/>
  <c r="G62" i="12" s="1"/>
  <c r="P52" i="5"/>
  <c r="I49" i="5"/>
  <c r="I55" i="5"/>
  <c r="H60" i="12"/>
  <c r="G79" i="6"/>
  <c r="P56" i="5"/>
  <c r="G56" i="6"/>
  <c r="S47" i="6"/>
  <c r="E48" i="5"/>
  <c r="G54" i="6"/>
  <c r="D54" i="6"/>
  <c r="Q56" i="5"/>
  <c r="R46" i="6"/>
  <c r="O56" i="6"/>
  <c r="H56" i="6"/>
  <c r="G47" i="6"/>
  <c r="F47" i="6"/>
  <c r="E80" i="6"/>
  <c r="N48" i="5"/>
  <c r="J56" i="12"/>
  <c r="F49" i="5"/>
  <c r="G96" i="6"/>
  <c r="Q67" i="5"/>
  <c r="H77" i="6"/>
  <c r="I56" i="5"/>
  <c r="D56" i="6"/>
  <c r="P47" i="6"/>
  <c r="O54" i="6"/>
  <c r="H54" i="6"/>
  <c r="H56" i="5"/>
  <c r="H46" i="6"/>
  <c r="J68" i="12"/>
  <c r="E56" i="6"/>
  <c r="P56" i="6"/>
  <c r="E47" i="6"/>
  <c r="R47" i="6"/>
  <c r="R48" i="5"/>
  <c r="E49" i="5"/>
  <c r="P49" i="5"/>
  <c r="S96" i="6"/>
  <c r="E56" i="5"/>
  <c r="N56" i="5"/>
  <c r="H68" i="12"/>
  <c r="Q56" i="6"/>
  <c r="Q47" i="6"/>
  <c r="G56" i="5"/>
  <c r="S46" i="6"/>
  <c r="O58" i="5"/>
  <c r="G56" i="12"/>
  <c r="O49" i="5"/>
  <c r="D80" i="6"/>
  <c r="E54" i="5"/>
  <c r="N54" i="5"/>
  <c r="G46" i="6"/>
  <c r="D46" i="6"/>
  <c r="H80" i="6"/>
  <c r="N58" i="5"/>
  <c r="H56" i="12"/>
  <c r="H52" i="5"/>
  <c r="E83" i="6"/>
  <c r="O55" i="5"/>
  <c r="N55" i="5"/>
  <c r="O96" i="6"/>
  <c r="R67" i="5"/>
  <c r="F62" i="12"/>
  <c r="Q83" i="6"/>
  <c r="H62" i="12"/>
  <c r="J62" i="12"/>
  <c r="O54" i="5"/>
  <c r="F54" i="5"/>
  <c r="E46" i="6"/>
  <c r="P46" i="6"/>
  <c r="G80" i="6"/>
  <c r="F58" i="5"/>
  <c r="I56" i="12"/>
  <c r="G52" i="5"/>
  <c r="R52" i="5"/>
  <c r="D83" i="6"/>
  <c r="Q55" i="5"/>
  <c r="F96" i="6"/>
  <c r="D96" i="6"/>
  <c r="E67" i="5"/>
  <c r="O77" i="6"/>
  <c r="P80" i="6"/>
  <c r="I64" i="12"/>
  <c r="I54" i="5"/>
  <c r="E53" i="6"/>
  <c r="O80" i="6"/>
  <c r="E58" i="5"/>
  <c r="O52" i="5"/>
  <c r="R83" i="6"/>
  <c r="E96" i="6"/>
  <c r="F60" i="12"/>
  <c r="I67" i="5"/>
  <c r="Q77" i="6"/>
  <c r="S52" i="6"/>
  <c r="S84" i="6"/>
  <c r="F52" i="6"/>
  <c r="J61" i="12"/>
  <c r="H48" i="6"/>
  <c r="E51" i="5"/>
  <c r="Q80" i="6"/>
  <c r="I48" i="5"/>
  <c r="H65" i="12"/>
  <c r="O83" i="6"/>
  <c r="H83" i="6"/>
  <c r="D65" i="6"/>
  <c r="G84" i="6"/>
  <c r="D84" i="6"/>
  <c r="H51" i="5"/>
  <c r="F84" i="6"/>
  <c r="P48" i="5"/>
  <c r="P48" i="6"/>
  <c r="G51" i="5"/>
  <c r="F80" i="6"/>
  <c r="Q48" i="5"/>
  <c r="F64" i="12"/>
  <c r="S83" i="6"/>
  <c r="P83" i="6"/>
  <c r="P65" i="6"/>
  <c r="O84" i="6"/>
  <c r="H84" i="6"/>
  <c r="E48" i="6"/>
  <c r="G52" i="6"/>
  <c r="D48" i="6"/>
  <c r="G48" i="5"/>
  <c r="S65" i="6"/>
  <c r="R84" i="6"/>
  <c r="R52" i="6"/>
  <c r="D52" i="6"/>
  <c r="I61" i="12"/>
  <c r="G48" i="6"/>
  <c r="F51" i="5"/>
  <c r="S80" i="6"/>
  <c r="H48" i="5"/>
  <c r="H64" i="12"/>
  <c r="G83" i="6"/>
  <c r="F65" i="6"/>
  <c r="E84" i="6"/>
  <c r="O52" i="6"/>
  <c r="H52" i="6"/>
  <c r="Q48" i="6"/>
  <c r="O51" i="5"/>
  <c r="N51" i="5"/>
  <c r="E50" i="5"/>
  <c r="N50" i="5"/>
  <c r="I58" i="5"/>
  <c r="P58" i="5"/>
  <c r="F67" i="5"/>
  <c r="O67" i="5"/>
  <c r="S77" i="6"/>
  <c r="P77" i="6"/>
  <c r="E52" i="6"/>
  <c r="P52" i="6"/>
  <c r="H61" i="12"/>
  <c r="F48" i="6"/>
  <c r="I51" i="5"/>
  <c r="R51" i="5"/>
  <c r="G50" i="5"/>
  <c r="R50" i="5"/>
  <c r="O48" i="5"/>
  <c r="Q58" i="5"/>
  <c r="G65" i="6"/>
  <c r="I60" i="12"/>
  <c r="P67" i="5"/>
  <c r="G77" i="6"/>
  <c r="F77" i="6"/>
  <c r="H50" i="5"/>
  <c r="S48" i="6"/>
  <c r="O50" i="5"/>
  <c r="F50" i="5"/>
  <c r="E77" i="6"/>
  <c r="S53" i="6"/>
  <c r="P53" i="6"/>
  <c r="F61" i="12"/>
  <c r="G53" i="6"/>
  <c r="F53" i="6"/>
  <c r="O65" i="6"/>
  <c r="H65" i="6"/>
  <c r="G61" i="12"/>
  <c r="D53" i="6"/>
  <c r="E65" i="6"/>
  <c r="R65" i="6"/>
  <c r="Q53" i="6"/>
  <c r="O53" i="6"/>
  <c r="D18" i="6"/>
  <c r="D28" i="6"/>
  <c r="O20" i="6"/>
  <c r="E30" i="6"/>
  <c r="G29" i="6"/>
  <c r="F21" i="5"/>
  <c r="P27" i="6"/>
  <c r="H18" i="6"/>
  <c r="O28" i="6"/>
  <c r="H28" i="6"/>
  <c r="E20" i="6"/>
  <c r="D30" i="6"/>
  <c r="F29" i="6"/>
  <c r="Q29" i="6"/>
  <c r="E28" i="6"/>
  <c r="Q20" i="6"/>
  <c r="D29" i="6"/>
  <c r="Q30" i="5"/>
  <c r="Q25" i="5"/>
  <c r="F30" i="5"/>
  <c r="H25" i="5"/>
  <c r="R31" i="5"/>
  <c r="E30" i="5"/>
  <c r="P30" i="5"/>
  <c r="S29" i="6"/>
  <c r="F35" i="12"/>
  <c r="I25" i="5"/>
  <c r="P25" i="5"/>
  <c r="E25" i="5"/>
  <c r="N25" i="5"/>
  <c r="J27" i="12"/>
  <c r="G30" i="5"/>
  <c r="H30" i="5"/>
  <c r="G25" i="5"/>
  <c r="P21" i="5"/>
  <c r="O30" i="5"/>
  <c r="O29" i="6"/>
  <c r="G35" i="12"/>
  <c r="O19" i="6"/>
  <c r="G27" i="6"/>
  <c r="R19" i="6"/>
  <c r="S27" i="6"/>
  <c r="J24" i="12"/>
  <c r="R28" i="5"/>
  <c r="F31" i="5"/>
  <c r="O20" i="5"/>
  <c r="N20" i="5"/>
  <c r="O28" i="5"/>
  <c r="F27" i="6"/>
  <c r="G31" i="5"/>
  <c r="R20" i="5"/>
  <c r="P31" i="5"/>
  <c r="H24" i="12"/>
  <c r="F28" i="5"/>
  <c r="H34" i="12"/>
  <c r="O27" i="6"/>
  <c r="R27" i="6"/>
  <c r="Q31" i="5"/>
  <c r="R19" i="5"/>
  <c r="F24" i="12"/>
  <c r="I31" i="5"/>
  <c r="I24" i="12"/>
  <c r="E28" i="5"/>
  <c r="P28" i="5"/>
  <c r="E27" i="6"/>
  <c r="D27" i="6"/>
  <c r="H31" i="5"/>
  <c r="I20" i="5"/>
  <c r="Q20" i="5"/>
  <c r="Q28" i="5"/>
  <c r="F20" i="5"/>
  <c r="E20" i="5"/>
  <c r="P20" i="5"/>
  <c r="G20" i="5"/>
  <c r="G24" i="12"/>
  <c r="G28" i="5"/>
  <c r="Q27" i="6"/>
  <c r="E31" i="5"/>
  <c r="E18" i="6"/>
  <c r="P18" i="6"/>
  <c r="G19" i="6"/>
  <c r="P19" i="6"/>
  <c r="G20" i="6"/>
  <c r="R20" i="6"/>
  <c r="I21" i="5"/>
  <c r="P30" i="6"/>
  <c r="H35" i="12"/>
  <c r="D19" i="6"/>
  <c r="H19" i="6"/>
  <c r="O21" i="5"/>
  <c r="Q18" i="6"/>
  <c r="F18" i="6"/>
  <c r="S19" i="6"/>
  <c r="S20" i="6"/>
  <c r="Q21" i="5"/>
  <c r="R30" i="6"/>
  <c r="E19" i="6"/>
  <c r="J34" i="12"/>
  <c r="Q19" i="6"/>
  <c r="H30" i="6"/>
  <c r="G18" i="6"/>
  <c r="H21" i="5"/>
  <c r="O30" i="6"/>
  <c r="J35" i="12"/>
  <c r="I22" i="5"/>
  <c r="O21" i="6"/>
  <c r="G19" i="5"/>
  <c r="G21" i="6"/>
  <c r="F19" i="5"/>
  <c r="P19" i="5"/>
  <c r="H19" i="5"/>
  <c r="E21" i="5"/>
  <c r="N21" i="5"/>
  <c r="G30" i="6"/>
  <c r="O19" i="5"/>
  <c r="I19" i="5"/>
  <c r="S24" i="6"/>
  <c r="Q19" i="5"/>
  <c r="G34" i="12"/>
  <c r="E19" i="5"/>
  <c r="G21" i="5"/>
  <c r="S30" i="6"/>
  <c r="Q24" i="6"/>
  <c r="F24" i="6"/>
  <c r="G24" i="6"/>
  <c r="R24" i="6"/>
  <c r="F23" i="12"/>
  <c r="J23" i="12"/>
  <c r="I34" i="12"/>
  <c r="I26" i="12"/>
  <c r="D24" i="6"/>
  <c r="G23" i="12"/>
  <c r="O24" i="6"/>
  <c r="H24" i="6"/>
  <c r="F34" i="12"/>
  <c r="F21" i="6"/>
  <c r="H23" i="12"/>
  <c r="E24" i="6"/>
  <c r="R21" i="6"/>
  <c r="J27" i="14"/>
  <c r="F25" i="14"/>
  <c r="H25" i="14"/>
  <c r="J25" i="14"/>
  <c r="I25" i="14"/>
  <c r="F27" i="14"/>
  <c r="H852" i="1"/>
  <c r="I851" i="1"/>
  <c r="D869" i="1" s="1"/>
  <c r="E870" i="1"/>
  <c r="F818" i="1"/>
  <c r="G817" i="1"/>
  <c r="B871" i="1" s="1"/>
  <c r="S868" i="1"/>
  <c r="R868" i="1"/>
  <c r="Q868" i="1"/>
  <c r="P868" i="1"/>
  <c r="T868" i="1"/>
  <c r="C114" i="6"/>
  <c r="N114" i="6"/>
  <c r="N20" i="7"/>
  <c r="D20" i="7"/>
  <c r="N23" i="13"/>
  <c r="C115" i="6"/>
  <c r="D21" i="7"/>
  <c r="N24" i="13"/>
  <c r="N115" i="6"/>
  <c r="N21" i="7"/>
  <c r="O26" i="13"/>
  <c r="S26" i="13"/>
  <c r="P26" i="13"/>
  <c r="R26" i="13"/>
  <c r="Q26" i="13"/>
  <c r="N21" i="13"/>
  <c r="N113" i="6"/>
  <c r="D19" i="7"/>
  <c r="N19" i="7"/>
  <c r="C113" i="6"/>
  <c r="J37" i="12"/>
  <c r="J26" i="12"/>
  <c r="S21" i="6"/>
  <c r="H37" i="12"/>
  <c r="R22" i="5"/>
  <c r="I37" i="12"/>
  <c r="G37" i="12"/>
  <c r="E21" i="6"/>
  <c r="D21" i="6"/>
  <c r="Q21" i="6"/>
  <c r="F26" i="12"/>
  <c r="G26" i="12"/>
  <c r="Q30" i="6"/>
  <c r="H26" i="12"/>
  <c r="G22" i="5"/>
  <c r="H22" i="5"/>
  <c r="O22" i="5"/>
  <c r="N22" i="5"/>
  <c r="F22" i="5"/>
  <c r="Q22" i="5"/>
  <c r="E22" i="5"/>
  <c r="F137" i="6"/>
  <c r="P137" i="6"/>
  <c r="O137" i="6"/>
  <c r="E137" i="6"/>
  <c r="Q57" i="8"/>
  <c r="G57" i="8"/>
  <c r="P57" i="8"/>
  <c r="F57" i="8"/>
  <c r="O57" i="8"/>
  <c r="I57" i="8"/>
  <c r="E57" i="8"/>
  <c r="R57" i="8"/>
  <c r="N57" i="8"/>
  <c r="H57" i="8"/>
  <c r="F107" i="14"/>
  <c r="G107" i="14"/>
  <c r="H107" i="14"/>
  <c r="I107" i="14"/>
  <c r="Q51" i="8"/>
  <c r="G51" i="8"/>
  <c r="P51" i="8"/>
  <c r="F51" i="8"/>
  <c r="O51" i="8"/>
  <c r="I51" i="8"/>
  <c r="E51" i="8"/>
  <c r="R51" i="8"/>
  <c r="N51" i="8"/>
  <c r="H51" i="8"/>
  <c r="P183" i="6"/>
  <c r="H183" i="6"/>
  <c r="D183" i="6"/>
  <c r="S183" i="6"/>
  <c r="O183" i="6"/>
  <c r="G183" i="6"/>
  <c r="R183" i="6"/>
  <c r="F183" i="6"/>
  <c r="Q183" i="6"/>
  <c r="E183" i="6"/>
  <c r="R180" i="6"/>
  <c r="F180" i="6"/>
  <c r="Q180" i="6"/>
  <c r="E180" i="6"/>
  <c r="P180" i="6"/>
  <c r="H180" i="6"/>
  <c r="D180" i="6"/>
  <c r="S180" i="6"/>
  <c r="O180" i="6"/>
  <c r="G180" i="6"/>
  <c r="R182" i="6"/>
  <c r="F182" i="6"/>
  <c r="Q182" i="6"/>
  <c r="E182" i="6"/>
  <c r="P182" i="6"/>
  <c r="H182" i="6"/>
  <c r="D182" i="6"/>
  <c r="S182" i="6"/>
  <c r="O182" i="6"/>
  <c r="G182" i="6"/>
  <c r="H109" i="14"/>
  <c r="G109" i="14"/>
  <c r="I109" i="14"/>
  <c r="F109" i="14"/>
  <c r="R176" i="6"/>
  <c r="F176" i="6"/>
  <c r="Q176" i="6"/>
  <c r="E176" i="6"/>
  <c r="P176" i="6"/>
  <c r="H176" i="6"/>
  <c r="D176" i="6"/>
  <c r="S176" i="6"/>
  <c r="O176" i="6"/>
  <c r="G176" i="6"/>
  <c r="F101" i="14"/>
  <c r="I101" i="14"/>
  <c r="G101" i="14"/>
  <c r="H101" i="14"/>
  <c r="O54" i="8"/>
  <c r="I54" i="8"/>
  <c r="E54" i="8"/>
  <c r="R54" i="8"/>
  <c r="N54" i="8"/>
  <c r="H54" i="8"/>
  <c r="Q54" i="8"/>
  <c r="G54" i="8"/>
  <c r="P54" i="8"/>
  <c r="F54" i="8"/>
  <c r="F110" i="14"/>
  <c r="G110" i="14"/>
  <c r="I110" i="14"/>
  <c r="H110" i="14"/>
  <c r="H106" i="14"/>
  <c r="I106" i="14"/>
  <c r="G106" i="14"/>
  <c r="F106" i="14"/>
  <c r="O50" i="8"/>
  <c r="I50" i="8"/>
  <c r="E50" i="8"/>
  <c r="R50" i="8"/>
  <c r="N50" i="8"/>
  <c r="H50" i="8"/>
  <c r="Q50" i="8"/>
  <c r="G50" i="8"/>
  <c r="P50" i="8"/>
  <c r="F50" i="8"/>
  <c r="P181" i="6"/>
  <c r="H181" i="6"/>
  <c r="D181" i="6"/>
  <c r="S181" i="6"/>
  <c r="O181" i="6"/>
  <c r="G181" i="6"/>
  <c r="R181" i="6"/>
  <c r="F181" i="6"/>
  <c r="Q181" i="6"/>
  <c r="E181" i="6"/>
  <c r="R178" i="6"/>
  <c r="F178" i="6"/>
  <c r="Q178" i="6"/>
  <c r="E178" i="6"/>
  <c r="P178" i="6"/>
  <c r="H178" i="6"/>
  <c r="D178" i="6"/>
  <c r="S178" i="6"/>
  <c r="O178" i="6"/>
  <c r="G178" i="6"/>
  <c r="P175" i="6"/>
  <c r="H175" i="6"/>
  <c r="D175" i="6"/>
  <c r="S175" i="6"/>
  <c r="O175" i="6"/>
  <c r="G175" i="6"/>
  <c r="R175" i="6"/>
  <c r="F175" i="6"/>
  <c r="Q175" i="6"/>
  <c r="E175" i="6"/>
  <c r="Q59" i="8"/>
  <c r="G59" i="8"/>
  <c r="P59" i="8"/>
  <c r="F59" i="8"/>
  <c r="O59" i="8"/>
  <c r="I59" i="8"/>
  <c r="E59" i="8"/>
  <c r="R59" i="8"/>
  <c r="N59" i="8"/>
  <c r="H59" i="8"/>
  <c r="R174" i="6"/>
  <c r="F174" i="6"/>
  <c r="Q174" i="6"/>
  <c r="E174" i="6"/>
  <c r="P174" i="6"/>
  <c r="H174" i="6"/>
  <c r="D174" i="6"/>
  <c r="S174" i="6"/>
  <c r="O174" i="6"/>
  <c r="G174" i="6"/>
  <c r="F97" i="14"/>
  <c r="G97" i="14"/>
  <c r="H97" i="14"/>
  <c r="I97" i="14"/>
  <c r="Q55" i="8"/>
  <c r="G55" i="8"/>
  <c r="P55" i="8"/>
  <c r="F55" i="8"/>
  <c r="O55" i="8"/>
  <c r="I55" i="8"/>
  <c r="E55" i="8"/>
  <c r="R55" i="8"/>
  <c r="N55" i="8"/>
  <c r="H55" i="8"/>
  <c r="P179" i="6"/>
  <c r="H179" i="6"/>
  <c r="D179" i="6"/>
  <c r="S179" i="6"/>
  <c r="O179" i="6"/>
  <c r="G179" i="6"/>
  <c r="R179" i="6"/>
  <c r="F179" i="6"/>
  <c r="Q179" i="6"/>
  <c r="E179" i="6"/>
  <c r="I100" i="14"/>
  <c r="G100" i="14"/>
  <c r="F100" i="14"/>
  <c r="H100" i="14"/>
  <c r="Q53" i="8"/>
  <c r="G53" i="8"/>
  <c r="P53" i="8"/>
  <c r="F53" i="8"/>
  <c r="O53" i="8"/>
  <c r="I53" i="8"/>
  <c r="E53" i="8"/>
  <c r="R53" i="8"/>
  <c r="N53" i="8"/>
  <c r="H53" i="8"/>
  <c r="P177" i="6"/>
  <c r="H177" i="6"/>
  <c r="D177" i="6"/>
  <c r="S177" i="6"/>
  <c r="O177" i="6"/>
  <c r="G177" i="6"/>
  <c r="R177" i="6"/>
  <c r="F177" i="6"/>
  <c r="Q177" i="6"/>
  <c r="E177" i="6"/>
  <c r="H103" i="14"/>
  <c r="I103" i="14"/>
  <c r="F103" i="14"/>
  <c r="G103" i="14"/>
  <c r="F98" i="14"/>
  <c r="G98" i="14"/>
  <c r="I98" i="14"/>
  <c r="H98" i="14"/>
  <c r="O56" i="8"/>
  <c r="I56" i="8"/>
  <c r="E56" i="8"/>
  <c r="R56" i="8"/>
  <c r="N56" i="8"/>
  <c r="H56" i="8"/>
  <c r="Q56" i="8"/>
  <c r="G56" i="8"/>
  <c r="P56" i="8"/>
  <c r="F56" i="8"/>
  <c r="O58" i="8"/>
  <c r="I58" i="8"/>
  <c r="E58" i="8"/>
  <c r="R58" i="8"/>
  <c r="N58" i="8"/>
  <c r="H58" i="8"/>
  <c r="Q58" i="8"/>
  <c r="G58" i="8"/>
  <c r="P58" i="8"/>
  <c r="F58" i="8"/>
  <c r="F104" i="14"/>
  <c r="H104" i="14"/>
  <c r="G104" i="14"/>
  <c r="I104" i="14"/>
  <c r="O52" i="8"/>
  <c r="I52" i="8"/>
  <c r="E52" i="8"/>
  <c r="R52" i="8"/>
  <c r="N52" i="8"/>
  <c r="H52" i="8"/>
  <c r="Q52" i="8"/>
  <c r="G52" i="8"/>
  <c r="P52" i="8"/>
  <c r="F52" i="8"/>
  <c r="O98" i="5"/>
  <c r="F98" i="5"/>
  <c r="N98" i="5"/>
  <c r="R98" i="5" s="1"/>
  <c r="E98" i="5"/>
  <c r="I98" i="5" s="1"/>
  <c r="P764" i="1"/>
  <c r="Q764" i="1"/>
  <c r="P759" i="1"/>
  <c r="Q759" i="1"/>
  <c r="O94" i="5"/>
  <c r="F94" i="5"/>
  <c r="N94" i="5"/>
  <c r="R94" i="5" s="1"/>
  <c r="E94" i="5"/>
  <c r="I94" i="5" s="1"/>
  <c r="F117" i="12"/>
  <c r="E117" i="12"/>
  <c r="I117" i="12" s="1"/>
  <c r="O93" i="5"/>
  <c r="F93" i="5"/>
  <c r="N93" i="5"/>
  <c r="R93" i="5" s="1"/>
  <c r="E93" i="5"/>
  <c r="I93" i="5" s="1"/>
  <c r="P765" i="1"/>
  <c r="Q765" i="1"/>
  <c r="D119" i="12"/>
  <c r="N223" i="6"/>
  <c r="C223" i="6"/>
  <c r="M96" i="5"/>
  <c r="D96" i="5"/>
  <c r="U727" i="1"/>
  <c r="T727" i="1"/>
  <c r="W727" i="1" s="1"/>
  <c r="O223" i="6"/>
  <c r="S223" i="6" s="1"/>
  <c r="D223" i="6"/>
  <c r="H223" i="6" s="1"/>
  <c r="P223" i="6"/>
  <c r="E223" i="6"/>
  <c r="O92" i="5"/>
  <c r="F92" i="5"/>
  <c r="N92" i="5"/>
  <c r="R92" i="5" s="1"/>
  <c r="E92" i="5"/>
  <c r="I92" i="5" s="1"/>
  <c r="F113" i="12"/>
  <c r="E113" i="12"/>
  <c r="I113" i="12" s="1"/>
  <c r="O95" i="5"/>
  <c r="F95" i="5"/>
  <c r="N95" i="5"/>
  <c r="R95" i="5" s="1"/>
  <c r="E95" i="5"/>
  <c r="I95" i="5" s="1"/>
  <c r="F118" i="12"/>
  <c r="E118" i="12"/>
  <c r="I118" i="12" s="1"/>
  <c r="D109" i="12"/>
  <c r="N215" i="6"/>
  <c r="C215" i="6"/>
  <c r="M88" i="5"/>
  <c r="D88" i="5"/>
  <c r="U717" i="1"/>
  <c r="T717" i="1"/>
  <c r="W717" i="1" s="1"/>
  <c r="O215" i="6"/>
  <c r="S215" i="6" s="1"/>
  <c r="D215" i="6"/>
  <c r="H215" i="6" s="1"/>
  <c r="P215" i="6"/>
  <c r="E215" i="6"/>
  <c r="O89" i="5"/>
  <c r="F89" i="5"/>
  <c r="N89" i="5"/>
  <c r="R89" i="5" s="1"/>
  <c r="E89" i="5"/>
  <c r="I89" i="5" s="1"/>
  <c r="F110" i="12"/>
  <c r="E110" i="12"/>
  <c r="I110" i="12" s="1"/>
  <c r="D111" i="12"/>
  <c r="N217" i="6"/>
  <c r="C217" i="6"/>
  <c r="M90" i="5"/>
  <c r="D90" i="5"/>
  <c r="U719" i="1"/>
  <c r="T719" i="1"/>
  <c r="W719" i="1" s="1"/>
  <c r="O217" i="6"/>
  <c r="S217" i="6" s="1"/>
  <c r="D217" i="6"/>
  <c r="H217" i="6" s="1"/>
  <c r="P217" i="6"/>
  <c r="E217" i="6"/>
  <c r="U766" i="1"/>
  <c r="K766" i="1"/>
  <c r="S766" i="1"/>
  <c r="M766" i="1"/>
  <c r="V766" i="1"/>
  <c r="L766" i="1"/>
  <c r="T766" i="1"/>
  <c r="N766" i="1"/>
  <c r="O96" i="5"/>
  <c r="F96" i="5"/>
  <c r="N96" i="5"/>
  <c r="R96" i="5" s="1"/>
  <c r="E96" i="5"/>
  <c r="I96" i="5" s="1"/>
  <c r="F119" i="12"/>
  <c r="E119" i="12"/>
  <c r="I119" i="12" s="1"/>
  <c r="P742" i="1"/>
  <c r="O742" i="1"/>
  <c r="P758" i="1"/>
  <c r="Q758" i="1"/>
  <c r="P741" i="1"/>
  <c r="O741" i="1"/>
  <c r="G748" i="1"/>
  <c r="B749" i="1"/>
  <c r="G749" i="1" s="1"/>
  <c r="D120" i="12"/>
  <c r="N224" i="6"/>
  <c r="C224" i="6"/>
  <c r="M97" i="5"/>
  <c r="D97" i="5"/>
  <c r="U728" i="1"/>
  <c r="T728" i="1"/>
  <c r="W728" i="1" s="1"/>
  <c r="O224" i="6"/>
  <c r="S224" i="6" s="1"/>
  <c r="D224" i="6"/>
  <c r="H224" i="6" s="1"/>
  <c r="P224" i="6"/>
  <c r="E224" i="6"/>
  <c r="O88" i="5"/>
  <c r="F88" i="5"/>
  <c r="N88" i="5"/>
  <c r="R88" i="5" s="1"/>
  <c r="E88" i="5"/>
  <c r="I88" i="5" s="1"/>
  <c r="F109" i="12"/>
  <c r="E109" i="12"/>
  <c r="I109" i="12" s="1"/>
  <c r="P743" i="1"/>
  <c r="O743" i="1"/>
  <c r="P745" i="1"/>
  <c r="O745" i="1"/>
  <c r="P763" i="1"/>
  <c r="Q763" i="1"/>
  <c r="P761" i="1"/>
  <c r="Q761" i="1"/>
  <c r="D121" i="12"/>
  <c r="N225" i="6"/>
  <c r="C225" i="6"/>
  <c r="M98" i="5"/>
  <c r="D98" i="5"/>
  <c r="U729" i="1"/>
  <c r="T729" i="1"/>
  <c r="W729" i="1" s="1"/>
  <c r="O225" i="6"/>
  <c r="S225" i="6" s="1"/>
  <c r="D225" i="6"/>
  <c r="H225" i="6" s="1"/>
  <c r="P225" i="6"/>
  <c r="E225" i="6"/>
  <c r="O90" i="5"/>
  <c r="F90" i="5"/>
  <c r="N90" i="5"/>
  <c r="R90" i="5" s="1"/>
  <c r="E90" i="5"/>
  <c r="I90" i="5" s="1"/>
  <c r="F111" i="12"/>
  <c r="E111" i="12"/>
  <c r="I111" i="12" s="1"/>
  <c r="P744" i="1"/>
  <c r="O744" i="1"/>
  <c r="P739" i="1"/>
  <c r="O739" i="1"/>
  <c r="D123" i="12"/>
  <c r="N227" i="6"/>
  <c r="C227" i="6"/>
  <c r="M100" i="5"/>
  <c r="D100" i="5"/>
  <c r="U731" i="1"/>
  <c r="T731" i="1"/>
  <c r="W731" i="1" s="1"/>
  <c r="O227" i="6"/>
  <c r="S227" i="6" s="1"/>
  <c r="D227" i="6"/>
  <c r="H227" i="6" s="1"/>
  <c r="P227" i="6"/>
  <c r="E227" i="6"/>
  <c r="D114" i="12"/>
  <c r="N220" i="6"/>
  <c r="C220" i="6"/>
  <c r="M93" i="5"/>
  <c r="D93" i="5"/>
  <c r="U722" i="1"/>
  <c r="T722" i="1"/>
  <c r="W722" i="1" s="1"/>
  <c r="O220" i="6"/>
  <c r="S220" i="6" s="1"/>
  <c r="D220" i="6"/>
  <c r="H220" i="6" s="1"/>
  <c r="P220" i="6"/>
  <c r="E220" i="6"/>
  <c r="S767" i="1"/>
  <c r="M767" i="1"/>
  <c r="U767" i="1"/>
  <c r="K767" i="1"/>
  <c r="V767" i="1"/>
  <c r="T767" i="1"/>
  <c r="N767" i="1"/>
  <c r="L767" i="1"/>
  <c r="P762" i="1"/>
  <c r="Q762" i="1"/>
  <c r="D122" i="12"/>
  <c r="N226" i="6"/>
  <c r="C226" i="6"/>
  <c r="M99" i="5"/>
  <c r="D99" i="5"/>
  <c r="U730" i="1"/>
  <c r="T730" i="1"/>
  <c r="W730" i="1" s="1"/>
  <c r="O226" i="6"/>
  <c r="S226" i="6" s="1"/>
  <c r="D226" i="6"/>
  <c r="H226" i="6" s="1"/>
  <c r="P226" i="6"/>
  <c r="E226" i="6"/>
  <c r="P746" i="1"/>
  <c r="O746" i="1"/>
  <c r="D112" i="12"/>
  <c r="N218" i="6"/>
  <c r="C218" i="6"/>
  <c r="M91" i="5"/>
  <c r="D91" i="5"/>
  <c r="U720" i="1"/>
  <c r="T720" i="1"/>
  <c r="W720" i="1" s="1"/>
  <c r="O218" i="6"/>
  <c r="S218" i="6" s="1"/>
  <c r="D218" i="6"/>
  <c r="H218" i="6" s="1"/>
  <c r="P218" i="6"/>
  <c r="E218" i="6"/>
  <c r="N747" i="1"/>
  <c r="L747" i="1"/>
  <c r="M747" i="1"/>
  <c r="K747" i="1"/>
  <c r="O97" i="5"/>
  <c r="F97" i="5"/>
  <c r="N97" i="5"/>
  <c r="R97" i="5" s="1"/>
  <c r="E97" i="5"/>
  <c r="I97" i="5" s="1"/>
  <c r="F120" i="12"/>
  <c r="E120" i="12"/>
  <c r="I120" i="12" s="1"/>
  <c r="F121" i="12"/>
  <c r="E121" i="12"/>
  <c r="I121" i="12" s="1"/>
  <c r="O100" i="5"/>
  <c r="F100" i="5"/>
  <c r="N100" i="5"/>
  <c r="R100" i="5" s="1"/>
  <c r="E100" i="5"/>
  <c r="I100" i="5" s="1"/>
  <c r="F123" i="12"/>
  <c r="E123" i="12"/>
  <c r="I123" i="12" s="1"/>
  <c r="P740" i="1"/>
  <c r="O740" i="1"/>
  <c r="D117" i="12"/>
  <c r="N221" i="6"/>
  <c r="C221" i="6"/>
  <c r="M94" i="5"/>
  <c r="D94" i="5"/>
  <c r="U725" i="1"/>
  <c r="T725" i="1"/>
  <c r="W725" i="1" s="1"/>
  <c r="O221" i="6"/>
  <c r="S221" i="6" s="1"/>
  <c r="D221" i="6"/>
  <c r="H221" i="6" s="1"/>
  <c r="P221" i="6"/>
  <c r="E221" i="6"/>
  <c r="F114" i="12"/>
  <c r="E114" i="12"/>
  <c r="I114" i="12" s="1"/>
  <c r="U768" i="1"/>
  <c r="K768" i="1"/>
  <c r="S768" i="1"/>
  <c r="M768" i="1"/>
  <c r="V768" i="1"/>
  <c r="L768" i="1"/>
  <c r="T768" i="1"/>
  <c r="N768" i="1"/>
  <c r="P760" i="1"/>
  <c r="Q760" i="1"/>
  <c r="D113" i="12"/>
  <c r="N219" i="6"/>
  <c r="C219" i="6"/>
  <c r="M92" i="5"/>
  <c r="D92" i="5"/>
  <c r="U721" i="1"/>
  <c r="T721" i="1"/>
  <c r="W721" i="1" s="1"/>
  <c r="O219" i="6"/>
  <c r="S219" i="6" s="1"/>
  <c r="D219" i="6"/>
  <c r="H219" i="6" s="1"/>
  <c r="P219" i="6"/>
  <c r="E219" i="6"/>
  <c r="O99" i="5"/>
  <c r="F99" i="5"/>
  <c r="N99" i="5"/>
  <c r="R99" i="5" s="1"/>
  <c r="E99" i="5"/>
  <c r="I99" i="5" s="1"/>
  <c r="F122" i="12"/>
  <c r="E122" i="12"/>
  <c r="I122" i="12" s="1"/>
  <c r="D118" i="12"/>
  <c r="N222" i="6"/>
  <c r="C222" i="6"/>
  <c r="M95" i="5"/>
  <c r="D95" i="5"/>
  <c r="U726" i="1"/>
  <c r="T726" i="1"/>
  <c r="W726" i="1" s="1"/>
  <c r="O222" i="6"/>
  <c r="S222" i="6" s="1"/>
  <c r="D222" i="6"/>
  <c r="H222" i="6" s="1"/>
  <c r="P222" i="6"/>
  <c r="E222" i="6"/>
  <c r="O91" i="5"/>
  <c r="F91" i="5"/>
  <c r="N91" i="5"/>
  <c r="R91" i="5" s="1"/>
  <c r="E91" i="5"/>
  <c r="I91" i="5" s="1"/>
  <c r="F112" i="12"/>
  <c r="E112" i="12"/>
  <c r="I112" i="12" s="1"/>
  <c r="D110" i="12"/>
  <c r="N216" i="6"/>
  <c r="C216" i="6"/>
  <c r="M89" i="5"/>
  <c r="D89" i="5"/>
  <c r="U718" i="1"/>
  <c r="T718" i="1"/>
  <c r="W718" i="1" s="1"/>
  <c r="O216" i="6"/>
  <c r="S216" i="6" s="1"/>
  <c r="D216" i="6"/>
  <c r="H216" i="6" s="1"/>
  <c r="P216" i="6"/>
  <c r="E216" i="6"/>
  <c r="Q414" i="4" l="1"/>
  <c r="P414" i="4"/>
  <c r="P395" i="4"/>
  <c r="Q395" i="4"/>
  <c r="P416" i="4"/>
  <c r="Q416" i="4"/>
  <c r="U396" i="4"/>
  <c r="M396" i="4"/>
  <c r="T396" i="4"/>
  <c r="K396" i="4"/>
  <c r="V396" i="4"/>
  <c r="S396" i="4"/>
  <c r="N396" i="4"/>
  <c r="L396" i="4"/>
  <c r="S397" i="4"/>
  <c r="K397" i="4"/>
  <c r="U397" i="4"/>
  <c r="L397" i="4"/>
  <c r="N397" i="4"/>
  <c r="M397" i="4"/>
  <c r="T397" i="4"/>
  <c r="V397" i="4"/>
  <c r="P415" i="4"/>
  <c r="Q415" i="4"/>
  <c r="K20" i="13"/>
  <c r="J20" i="13"/>
  <c r="F20" i="13"/>
  <c r="H20" i="13"/>
  <c r="G20" i="13"/>
  <c r="I20" i="13"/>
  <c r="H116" i="6"/>
  <c r="G116" i="6"/>
  <c r="R116" i="6"/>
  <c r="Q116" i="6"/>
  <c r="O116" i="6"/>
  <c r="F116" i="6"/>
  <c r="S116" i="6"/>
  <c r="P116" i="6"/>
  <c r="E116" i="6"/>
  <c r="S18" i="7"/>
  <c r="E22" i="7"/>
  <c r="F22" i="7"/>
  <c r="G18" i="7"/>
  <c r="E18" i="7"/>
  <c r="G68" i="12"/>
  <c r="F68" i="12"/>
  <c r="H74" i="12" s="1"/>
  <c r="I62" i="12"/>
  <c r="H66" i="12"/>
  <c r="I74" i="12"/>
  <c r="J74" i="12"/>
  <c r="F74" i="12"/>
  <c r="H70" i="12"/>
  <c r="I65" i="12"/>
  <c r="J65" i="12"/>
  <c r="I70" i="12"/>
  <c r="F70" i="12"/>
  <c r="H67" i="12"/>
  <c r="G67" i="12"/>
  <c r="I67" i="12"/>
  <c r="J67" i="12"/>
  <c r="F67" i="12"/>
  <c r="G65" i="12"/>
  <c r="F65" i="12"/>
  <c r="I68" i="12"/>
  <c r="G66" i="12"/>
  <c r="I63" i="12"/>
  <c r="H63" i="12"/>
  <c r="G63" i="12"/>
  <c r="F63" i="12"/>
  <c r="F66" i="12"/>
  <c r="J70" i="12"/>
  <c r="R22" i="7"/>
  <c r="G22" i="7"/>
  <c r="H18" i="7"/>
  <c r="S22" i="7"/>
  <c r="P22" i="7"/>
  <c r="O22" i="7"/>
  <c r="H22" i="7"/>
  <c r="I22" i="7"/>
  <c r="Q18" i="7"/>
  <c r="O18" i="7"/>
  <c r="I18" i="7"/>
  <c r="P18" i="7"/>
  <c r="F18" i="7"/>
  <c r="O20" i="13"/>
  <c r="F112" i="6"/>
  <c r="R112" i="6"/>
  <c r="G112" i="6"/>
  <c r="E112" i="6"/>
  <c r="H112" i="6"/>
  <c r="O112" i="6"/>
  <c r="Q112" i="6"/>
  <c r="P112" i="6"/>
  <c r="S112" i="6"/>
  <c r="R20" i="13"/>
  <c r="Q20" i="13"/>
  <c r="S20" i="13"/>
  <c r="E871" i="1"/>
  <c r="F819" i="1"/>
  <c r="G818" i="1"/>
  <c r="B872" i="1" s="1"/>
  <c r="Q869" i="1"/>
  <c r="S869" i="1"/>
  <c r="R869" i="1"/>
  <c r="T869" i="1"/>
  <c r="P869" i="1"/>
  <c r="I852" i="1"/>
  <c r="D870" i="1" s="1"/>
  <c r="H853" i="1"/>
  <c r="O114" i="6"/>
  <c r="E114" i="6"/>
  <c r="R114" i="6"/>
  <c r="D114" i="6"/>
  <c r="P114" i="6"/>
  <c r="F114" i="6"/>
  <c r="S114" i="6"/>
  <c r="H114" i="6"/>
  <c r="G114" i="6"/>
  <c r="Q114" i="6"/>
  <c r="O21" i="13"/>
  <c r="S21" i="13"/>
  <c r="R21" i="13"/>
  <c r="P21" i="13"/>
  <c r="Q21" i="13"/>
  <c r="S23" i="13"/>
  <c r="Q23" i="13"/>
  <c r="R23" i="13"/>
  <c r="P23" i="13"/>
  <c r="O23" i="13"/>
  <c r="Q19" i="7"/>
  <c r="H19" i="7"/>
  <c r="F19" i="7"/>
  <c r="P19" i="7"/>
  <c r="G19" i="7"/>
  <c r="R19" i="7"/>
  <c r="I19" i="7"/>
  <c r="O19" i="7"/>
  <c r="E19" i="7"/>
  <c r="S19" i="7"/>
  <c r="S115" i="6"/>
  <c r="Q115" i="6"/>
  <c r="R115" i="6"/>
  <c r="H115" i="6"/>
  <c r="G115" i="6"/>
  <c r="F115" i="6"/>
  <c r="D115" i="6"/>
  <c r="P115" i="6"/>
  <c r="O115" i="6"/>
  <c r="E115" i="6"/>
  <c r="Q113" i="6"/>
  <c r="G113" i="6"/>
  <c r="P113" i="6"/>
  <c r="F113" i="6"/>
  <c r="O113" i="6"/>
  <c r="R113" i="6"/>
  <c r="H113" i="6"/>
  <c r="E113" i="6"/>
  <c r="S113" i="6"/>
  <c r="D113" i="6"/>
  <c r="Q24" i="13"/>
  <c r="O24" i="13"/>
  <c r="P24" i="13"/>
  <c r="R24" i="13"/>
  <c r="S24" i="13"/>
  <c r="S21" i="7"/>
  <c r="R21" i="7"/>
  <c r="I21" i="7"/>
  <c r="Q21" i="7"/>
  <c r="E21" i="7"/>
  <c r="H21" i="7"/>
  <c r="G21" i="7"/>
  <c r="F21" i="7"/>
  <c r="P21" i="7"/>
  <c r="O21" i="7"/>
  <c r="O20" i="7"/>
  <c r="F20" i="7"/>
  <c r="S20" i="7"/>
  <c r="E20" i="7"/>
  <c r="P20" i="7"/>
  <c r="G20" i="7"/>
  <c r="I20" i="7"/>
  <c r="H20" i="7"/>
  <c r="R20" i="7"/>
  <c r="Q20" i="7"/>
  <c r="H110" i="12"/>
  <c r="G110" i="12"/>
  <c r="J110" i="12" s="1"/>
  <c r="Q95" i="5"/>
  <c r="H95" i="5"/>
  <c r="P95" i="5"/>
  <c r="S95" i="5" s="1"/>
  <c r="G95" i="5"/>
  <c r="J95" i="5" s="1"/>
  <c r="H113" i="12"/>
  <c r="G113" i="12"/>
  <c r="J113" i="12" s="1"/>
  <c r="G221" i="6"/>
  <c r="F221" i="6"/>
  <c r="I221" i="6" s="1"/>
  <c r="R221" i="6"/>
  <c r="Q221" i="6"/>
  <c r="T221" i="6" s="1"/>
  <c r="Q91" i="5"/>
  <c r="H91" i="5"/>
  <c r="G91" i="5"/>
  <c r="J91" i="5" s="1"/>
  <c r="P91" i="5"/>
  <c r="S91" i="5" s="1"/>
  <c r="G226" i="6"/>
  <c r="F226" i="6"/>
  <c r="I226" i="6" s="1"/>
  <c r="R226" i="6"/>
  <c r="Q226" i="6"/>
  <c r="T226" i="6" s="1"/>
  <c r="Q100" i="5"/>
  <c r="H100" i="5"/>
  <c r="P100" i="5"/>
  <c r="S100" i="5" s="1"/>
  <c r="G100" i="5"/>
  <c r="J100" i="5" s="1"/>
  <c r="Q97" i="5"/>
  <c r="H97" i="5"/>
  <c r="P97" i="5"/>
  <c r="S97" i="5" s="1"/>
  <c r="G97" i="5"/>
  <c r="J97" i="5" s="1"/>
  <c r="Q96" i="5"/>
  <c r="H96" i="5"/>
  <c r="P96" i="5"/>
  <c r="S96" i="5" s="1"/>
  <c r="G96" i="5"/>
  <c r="J96" i="5" s="1"/>
  <c r="Q89" i="5"/>
  <c r="H89" i="5"/>
  <c r="G89" i="5"/>
  <c r="J89" i="5" s="1"/>
  <c r="P89" i="5"/>
  <c r="S89" i="5" s="1"/>
  <c r="H118" i="12"/>
  <c r="G118" i="12"/>
  <c r="J118" i="12" s="1"/>
  <c r="Q92" i="5"/>
  <c r="H92" i="5"/>
  <c r="P92" i="5"/>
  <c r="S92" i="5" s="1"/>
  <c r="G92" i="5"/>
  <c r="J92" i="5" s="1"/>
  <c r="H112" i="12"/>
  <c r="G112" i="12"/>
  <c r="J112" i="12" s="1"/>
  <c r="Q93" i="5"/>
  <c r="H93" i="5"/>
  <c r="P93" i="5"/>
  <c r="S93" i="5" s="1"/>
  <c r="G93" i="5"/>
  <c r="J93" i="5" s="1"/>
  <c r="H114" i="12"/>
  <c r="G114" i="12"/>
  <c r="J114" i="12" s="1"/>
  <c r="H123" i="12"/>
  <c r="G123" i="12"/>
  <c r="J123" i="12" s="1"/>
  <c r="Q98" i="5"/>
  <c r="H98" i="5"/>
  <c r="P98" i="5"/>
  <c r="S98" i="5" s="1"/>
  <c r="G98" i="5"/>
  <c r="J98" i="5" s="1"/>
  <c r="H121" i="12"/>
  <c r="G121" i="12"/>
  <c r="J121" i="12" s="1"/>
  <c r="H120" i="12"/>
  <c r="G120" i="12"/>
  <c r="J120" i="12" s="1"/>
  <c r="P766" i="1"/>
  <c r="Q766" i="1"/>
  <c r="Q90" i="5"/>
  <c r="H90" i="5"/>
  <c r="G90" i="5"/>
  <c r="J90" i="5" s="1"/>
  <c r="P90" i="5"/>
  <c r="S90" i="5" s="1"/>
  <c r="H111" i="12"/>
  <c r="G111" i="12"/>
  <c r="J111" i="12" s="1"/>
  <c r="Q88" i="5"/>
  <c r="H88" i="5"/>
  <c r="G88" i="5"/>
  <c r="J88" i="5" s="1"/>
  <c r="P88" i="5"/>
  <c r="S88" i="5" s="1"/>
  <c r="H109" i="12"/>
  <c r="G109" i="12"/>
  <c r="J109" i="12" s="1"/>
  <c r="H119" i="12"/>
  <c r="G119" i="12"/>
  <c r="J119" i="12" s="1"/>
  <c r="G216" i="6"/>
  <c r="F216" i="6"/>
  <c r="I216" i="6" s="1"/>
  <c r="R216" i="6"/>
  <c r="Q216" i="6"/>
  <c r="T216" i="6" s="1"/>
  <c r="G222" i="6"/>
  <c r="F222" i="6"/>
  <c r="I222" i="6" s="1"/>
  <c r="R222" i="6"/>
  <c r="Q222" i="6"/>
  <c r="T222" i="6" s="1"/>
  <c r="G219" i="6"/>
  <c r="F219" i="6"/>
  <c r="I219" i="6" s="1"/>
  <c r="R219" i="6"/>
  <c r="Q219" i="6"/>
  <c r="T219" i="6" s="1"/>
  <c r="P768" i="1"/>
  <c r="Q768" i="1"/>
  <c r="Q94" i="5"/>
  <c r="H94" i="5"/>
  <c r="P94" i="5"/>
  <c r="S94" i="5" s="1"/>
  <c r="G94" i="5"/>
  <c r="J94" i="5" s="1"/>
  <c r="H117" i="12"/>
  <c r="G117" i="12"/>
  <c r="J117" i="12" s="1"/>
  <c r="P747" i="1"/>
  <c r="O747" i="1"/>
  <c r="G218" i="6"/>
  <c r="F218" i="6"/>
  <c r="I218" i="6" s="1"/>
  <c r="R218" i="6"/>
  <c r="Q218" i="6"/>
  <c r="T218" i="6" s="1"/>
  <c r="Q99" i="5"/>
  <c r="H99" i="5"/>
  <c r="P99" i="5"/>
  <c r="S99" i="5" s="1"/>
  <c r="G99" i="5"/>
  <c r="J99" i="5" s="1"/>
  <c r="H122" i="12"/>
  <c r="G122" i="12"/>
  <c r="J122" i="12" s="1"/>
  <c r="P767" i="1"/>
  <c r="Q767" i="1"/>
  <c r="G220" i="6"/>
  <c r="F220" i="6"/>
  <c r="I220" i="6" s="1"/>
  <c r="R220" i="6"/>
  <c r="Q220" i="6"/>
  <c r="T220" i="6" s="1"/>
  <c r="G227" i="6"/>
  <c r="F227" i="6"/>
  <c r="I227" i="6" s="1"/>
  <c r="R227" i="6"/>
  <c r="Q227" i="6"/>
  <c r="T227" i="6" s="1"/>
  <c r="G225" i="6"/>
  <c r="F225" i="6"/>
  <c r="I225" i="6" s="1"/>
  <c r="R225" i="6"/>
  <c r="Q225" i="6"/>
  <c r="T225" i="6" s="1"/>
  <c r="G224" i="6"/>
  <c r="F224" i="6"/>
  <c r="I224" i="6" s="1"/>
  <c r="R224" i="6"/>
  <c r="Q224" i="6"/>
  <c r="T224" i="6" s="1"/>
  <c r="N749" i="1"/>
  <c r="L749" i="1"/>
  <c r="M749" i="1"/>
  <c r="K749" i="1"/>
  <c r="G217" i="6"/>
  <c r="F217" i="6"/>
  <c r="I217" i="6" s="1"/>
  <c r="R217" i="6"/>
  <c r="Q217" i="6"/>
  <c r="T217" i="6" s="1"/>
  <c r="G215" i="6"/>
  <c r="F215" i="6"/>
  <c r="I215" i="6" s="1"/>
  <c r="R215" i="6"/>
  <c r="Q215" i="6"/>
  <c r="T215" i="6" s="1"/>
  <c r="G223" i="6"/>
  <c r="F223" i="6"/>
  <c r="I223" i="6" s="1"/>
  <c r="R223" i="6"/>
  <c r="Q223" i="6"/>
  <c r="T223" i="6" s="1"/>
  <c r="L748" i="1"/>
  <c r="N748" i="1"/>
  <c r="M748" i="1"/>
  <c r="K748" i="1"/>
  <c r="Q396" i="4" l="1"/>
  <c r="P396" i="4"/>
  <c r="Q397" i="4"/>
  <c r="P397" i="4"/>
  <c r="G74" i="12"/>
  <c r="H69" i="12"/>
  <c r="J69" i="12"/>
  <c r="I69" i="12"/>
  <c r="F69" i="12"/>
  <c r="G69" i="12"/>
  <c r="J76" i="12"/>
  <c r="F76" i="12"/>
  <c r="G76" i="12"/>
  <c r="H76" i="12"/>
  <c r="I76" i="12"/>
  <c r="H71" i="12"/>
  <c r="G71" i="12"/>
  <c r="J71" i="12"/>
  <c r="I71" i="12"/>
  <c r="F71" i="12"/>
  <c r="I72" i="12"/>
  <c r="J72" i="12"/>
  <c r="F72" i="12"/>
  <c r="G72" i="12"/>
  <c r="H72" i="12"/>
  <c r="I73" i="12"/>
  <c r="H73" i="12"/>
  <c r="F73" i="12"/>
  <c r="G73" i="12"/>
  <c r="J73" i="12"/>
  <c r="S870" i="1"/>
  <c r="R870" i="1"/>
  <c r="P870" i="1"/>
  <c r="T870" i="1"/>
  <c r="Q870" i="1"/>
  <c r="E872" i="1"/>
  <c r="I853" i="1"/>
  <c r="D871" i="1" s="1"/>
  <c r="H854" i="1"/>
  <c r="F820" i="1"/>
  <c r="G819" i="1"/>
  <c r="B873" i="1" s="1"/>
  <c r="P748" i="1"/>
  <c r="O748" i="1"/>
  <c r="P749" i="1"/>
  <c r="O749" i="1"/>
  <c r="F81" i="12" l="1"/>
  <c r="I81" i="12"/>
  <c r="H81" i="12"/>
  <c r="G81" i="12"/>
  <c r="J81" i="12"/>
  <c r="J75" i="12"/>
  <c r="F75" i="12"/>
  <c r="I75" i="12"/>
  <c r="H75" i="12"/>
  <c r="G75" i="12"/>
  <c r="F82" i="12"/>
  <c r="G82" i="12"/>
  <c r="H82" i="12"/>
  <c r="I82" i="12"/>
  <c r="J82" i="12"/>
  <c r="P871" i="1"/>
  <c r="Q871" i="1"/>
  <c r="S871" i="1"/>
  <c r="R871" i="1"/>
  <c r="T871" i="1"/>
  <c r="G820" i="1"/>
  <c r="B874" i="1" s="1"/>
  <c r="F821" i="1"/>
  <c r="H855" i="1"/>
  <c r="I854" i="1"/>
  <c r="D872" i="1" s="1"/>
  <c r="P872" i="1" l="1"/>
  <c r="R872" i="1"/>
  <c r="S872" i="1"/>
  <c r="Q872" i="1"/>
  <c r="T872" i="1"/>
  <c r="H856" i="1"/>
  <c r="I855" i="1"/>
  <c r="D873" i="1" s="1"/>
  <c r="F822" i="1"/>
  <c r="G821" i="1"/>
  <c r="B875" i="1" s="1"/>
  <c r="I856" i="1" l="1"/>
  <c r="D874" i="1" s="1"/>
  <c r="H857" i="1"/>
  <c r="F823" i="1"/>
  <c r="G822" i="1"/>
  <c r="B876" i="1" s="1"/>
  <c r="Q873" i="1"/>
  <c r="T873" i="1"/>
  <c r="S873" i="1"/>
  <c r="P873" i="1"/>
  <c r="E873" i="1"/>
  <c r="R873" i="1"/>
  <c r="F824" i="1" l="1"/>
  <c r="G824" i="1" s="1"/>
  <c r="B878" i="1" s="1"/>
  <c r="G823" i="1"/>
  <c r="B877" i="1" s="1"/>
  <c r="H858" i="1"/>
  <c r="I857" i="1"/>
  <c r="D875" i="1" s="1"/>
  <c r="P874" i="1"/>
  <c r="R874" i="1"/>
  <c r="E874" i="1"/>
  <c r="S874" i="1"/>
  <c r="T874" i="1"/>
  <c r="Q874" i="1"/>
  <c r="P875" i="1" l="1"/>
  <c r="E875" i="1"/>
  <c r="Q875" i="1"/>
  <c r="T875" i="1"/>
  <c r="S875" i="1"/>
  <c r="R875" i="1"/>
  <c r="I858" i="1"/>
  <c r="D876" i="1" s="1"/>
  <c r="H859" i="1"/>
  <c r="H860" i="1" l="1"/>
  <c r="I860" i="1" s="1"/>
  <c r="D878" i="1" s="1"/>
  <c r="I859" i="1"/>
  <c r="D877" i="1" s="1"/>
  <c r="S876" i="1"/>
  <c r="T876" i="1"/>
  <c r="R876" i="1"/>
  <c r="Q876" i="1"/>
  <c r="P876" i="1"/>
  <c r="E876" i="1"/>
  <c r="S877" i="1" l="1"/>
  <c r="E877" i="1"/>
  <c r="P877" i="1"/>
  <c r="Q877" i="1"/>
  <c r="R877" i="1"/>
  <c r="T877" i="1"/>
  <c r="P878" i="1"/>
  <c r="Q878" i="1"/>
  <c r="S878" i="1"/>
  <c r="T878" i="1"/>
  <c r="R878" i="1"/>
  <c r="E87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K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An die Zulassungen der Schmid Schrauben angepasst.</t>
        </r>
      </text>
    </comment>
    <comment ref="L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kmod berücksichtigen.</t>
        </r>
      </text>
    </comment>
    <comment ref="D15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D35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G5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Aus Zulassung Z-9.1-435</t>
        </r>
      </text>
    </comment>
    <comment ref="J5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Bemerkung im Statik-Flyer anfügen, dass die CS-Schraube nicht ins Hirnholz eingedreht werden kann. Nur Einschraubwinkel von 90° sind zulässig.</t>
        </r>
      </text>
    </comment>
    <comment ref="K5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Unterschiedliche Teilsicherheitsbeiwerte und unterschiedliche  kmod sollten berücksichtigt werden</t>
        </r>
      </text>
    </comment>
    <comment ref="E5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E5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 Schraube ist nur 50 mm</t>
        </r>
      </text>
    </comment>
    <comment ref="B6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 aus der Schmid Zulassung Z-9.1-435</t>
        </r>
      </text>
    </comment>
    <comment ref="D7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F9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F101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kmod und Teilsicherheitsbeiwerte sind unterschiedlich, daher Min-Wert mit Bemessungswerten ermitteln
</t>
        </r>
      </text>
    </comment>
    <comment ref="D106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ohne clip lock</t>
        </r>
      </text>
    </comment>
    <comment ref="C117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12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125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65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6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C18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24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240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C265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nach Schmid Zulassung Z-9.1-656</t>
        </r>
      </text>
    </comment>
    <comment ref="E31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axiale Tragfähigkeit angesetzt.</t>
        </r>
      </text>
    </comment>
    <comment ref="F31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 wegen kmod und Teilsicherheitsbeiwerten.</t>
        </r>
      </text>
    </comment>
    <comment ref="E342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E346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fh wurde um 1,35+0,015*d abgemindert, da auch Winkel von 90° möglich sind.
Zusätzlich erwähnen, dass kein Eindrehen ins Hirnholz möglich ist.</t>
        </r>
      </text>
    </comment>
    <comment ref="F36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F3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38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anmerken, dass diese Lastrichtung nur mit einem "clip lock" möglich ist.</t>
        </r>
      </text>
    </comment>
    <comment ref="A420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C42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432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ist kürzer als lef</t>
        </r>
      </text>
    </comment>
    <comment ref="J432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70 mm, Rohdichtenbezug war falsch</t>
        </r>
      </text>
    </comment>
    <comment ref="E449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35 mm, Rohdichtenbezug war falsch</t>
        </r>
      </text>
    </comment>
    <comment ref="J449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nur 40 mm, Rohdichtenbezug war falsch</t>
        </r>
      </text>
    </comment>
    <comment ref="C46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entweder mit 1 oder mit 2 "clip locks".</t>
        </r>
      </text>
    </comment>
    <comment ref="E46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Fax,H maßgebend für 8 mm Schraube!</t>
        </r>
      </text>
    </comment>
    <comment ref="F46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  <comment ref="A49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clip lock möglich</t>
        </r>
      </text>
    </comment>
    <comment ref="B497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Werte nach Z-9.1-656</t>
        </r>
      </text>
    </comment>
    <comment ref="B499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falscher Bezug zur Rohdichte</t>
        </r>
      </text>
    </comment>
    <comment ref="E50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J506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falsch</t>
        </r>
      </text>
    </comment>
    <comment ref="E52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J52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ist falsch.</t>
        </r>
      </text>
    </comment>
    <comment ref="E543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Fax mit kleinster wirksamer Länge ist maßgebend.</t>
        </r>
      </text>
    </comment>
    <comment ref="F543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A56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F578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wegen kmod, Bemessungswerte miteinander vergleichen</t>
        </r>
      </text>
    </comment>
    <comment ref="I597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C599" authorId="0" shapeId="0" xr:uid="{00000000-0006-0000-0000-00003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eigentlich nicht in Ordnung, da eine Schraube kürzer ist. Jedoch akzeptabel, weil der Längenunterschied nicht maßgebend wird.</t>
        </r>
      </text>
    </comment>
    <comment ref="D599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Teilgewindeschraube, daher lef=84 mm.</t>
        </r>
      </text>
    </comment>
    <comment ref="J608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aufnehmen, dass keine Ausmitte berücksichtigt wird!!!</t>
        </r>
      </text>
    </comment>
    <comment ref="D610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lef für TG-Schraube mit 54 mm. Abminderung mit 1,2 nicht nötig, da Einschraubwinkel = 90°</t>
        </r>
      </text>
    </comment>
    <comment ref="B61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Gemäß ETA in 1,2,2,2,2,1 (Seite 11)</t>
        </r>
      </text>
    </comment>
    <comment ref="E619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 !</t>
        </r>
      </text>
    </comment>
    <comment ref="C633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635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641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660" authorId="0" shapeId="0" xr:uid="{00000000-0006-0000-0000-00003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660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660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K660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X660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60" authorId="0" shapeId="0" xr:uid="{00000000-0006-0000-0000-00004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60" authorId="0" shapeId="0" xr:uid="{00000000-0006-0000-0000-00004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60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679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698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698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69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X69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Y699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Z699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AA699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717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717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717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G792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F809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G811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a2 aus der Gleichung wurde bei der Berechnung nicht berücksichtigt</t>
        </r>
      </text>
    </comment>
    <comment ref="G829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hier können die mittleren Lasten belassen werden, da kaum Unterschied vorhanden ist.</t>
        </r>
      </text>
    </comment>
    <comment ref="C847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auch hier können die mittleren Lasten belassen werden, da kaum Unterschied zur Einzellast</t>
        </r>
      </text>
    </comment>
    <comment ref="H84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Im Flyer erwähnen, dass keine Ausmitte angesetzt wurde. Bei Ausmitte sind die Werte der Tragfähigkeit deutlich geringer.</t>
        </r>
      </text>
    </comment>
    <comment ref="I847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Gleichung wurde fehlerhaft eingegeben.</t>
        </r>
      </text>
    </comment>
    <comment ref="E865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</t>
        </r>
      </text>
    </comment>
    <comment ref="E886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914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  <author>Torsten Langejürgen</author>
  </authors>
  <commentList>
    <comment ref="F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E129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a1 muss auf Schraubenanzahl von 20 umgerechnet werden !</t>
        </r>
      </text>
    </comment>
    <comment ref="F129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Torsten Langejürgen:</t>
        </r>
        <r>
          <rPr>
            <sz val="9"/>
            <color indexed="81"/>
            <rFont val="Tahoma"/>
            <family val="2"/>
          </rPr>
          <t xml:space="preserve">
a2 Wert muss auf Schraubenanzahl 20 umgerechnet werden 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Blaß &amp; Eberhart</author>
  </authors>
  <commentList>
    <comment ref="D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Gilt nur, wenn die Zugkraft mittig zwischen den beiden äußeren Zugschrauben angeordnet ist. Damit müssten die Zeichnungen angepasst werden. Der Hinweis sollte in das Statik-Flyer aufgenommen werden.</t>
        </r>
      </text>
    </comment>
    <comment ref="C5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E5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59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7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Tatsächliche Gewindelänge der TG-Schraube ansetzen</t>
        </r>
      </text>
    </comment>
    <comment ref="J7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Gewindelänge der TG-Schraube ansetzen.</t>
        </r>
      </text>
    </comment>
    <comment ref="E123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23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E134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Falsche Zugtragfähigkeit angesetzt.</t>
        </r>
      </text>
    </comment>
    <comment ref="F134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Min-Werte mit Bemessungswerten ermitteln.</t>
        </r>
      </text>
    </comment>
    <comment ref="B173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berücksichtigen!</t>
        </r>
      </text>
    </comment>
    <comment ref="A184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</t>
        </r>
      </text>
    </comment>
    <comment ref="A198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nur mit "clip lock" möglich. Als Hinweis im Flyer aufnehmen.</t>
        </r>
      </text>
    </comment>
    <comment ref="C216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My aus der Schmid Zulassung Z-9.1-435. Hier war der Wert mit 4900 jedoch nicht gemäß der Zulassung.</t>
        </r>
      </text>
    </comment>
    <comment ref="B21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Bezug zur Rohdichte wurde korrigiert</t>
        </r>
      </text>
    </comment>
    <comment ref="E22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E235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die wirksame Länge beträgt 65 mm</t>
        </r>
      </text>
    </comment>
    <comment ref="G256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H256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256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Fv nur für die 8 mm Schraube maßgebend</t>
        </r>
      </text>
    </comment>
    <comment ref="N256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25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25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25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E288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E299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TG-Schraube mit lef = 35 mm</t>
        </r>
      </text>
    </comment>
    <comment ref="I320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20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20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N320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O320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P320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Q320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I331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</t>
        </r>
      </text>
    </comment>
    <comment ref="J331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was ist das für eine maximale Ausmitte? Andere Ausmitten sind doch auch möglich!</t>
        </r>
      </text>
    </comment>
    <comment ref="K331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wird nur mit der 8 mm Schraube berechnet. Zusätzlich wurde eine Komponente in der Gleichung vergessen.</t>
        </r>
      </text>
    </comment>
    <comment ref="E352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H352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I352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berücksichtigen</t>
        </r>
      </text>
    </comment>
    <comment ref="E424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Belastung auch parallel und rechtwinklig zur Faser möglich, daher die Lochleibungsfestigkeit mit 1,35+0,015*d abgemindert.</t>
        </r>
      </text>
    </comment>
    <comment ref="E452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Blaß &amp; Eberhart:</t>
        </r>
        <r>
          <rPr>
            <sz val="9"/>
            <color indexed="81"/>
            <rFont val="Tahoma"/>
            <family val="2"/>
          </rPr>
          <t xml:space="preserve">
Bemessungswerte miteinander vergleichen.</t>
        </r>
      </text>
    </comment>
  </commentList>
</comments>
</file>

<file path=xl/sharedStrings.xml><?xml version="1.0" encoding="utf-8"?>
<sst xmlns="http://schemas.openxmlformats.org/spreadsheetml/2006/main" count="4397" uniqueCount="935">
  <si>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</t>
    </r>
  </si>
  <si>
    <t>EC5</t>
  </si>
  <si>
    <t>Knapp Connector</t>
  </si>
  <si>
    <r>
      <t>F</t>
    </r>
    <r>
      <rPr>
        <vertAlign val="subscript"/>
        <sz val="11"/>
        <color indexed="8"/>
        <rFont val="Calibri"/>
        <family val="2"/>
      </rPr>
      <t>1,KCC,RK</t>
    </r>
  </si>
  <si>
    <r>
      <t>a</t>
    </r>
    <r>
      <rPr>
        <vertAlign val="subscript"/>
        <sz val="11"/>
        <color indexed="8"/>
        <rFont val="Calibri"/>
        <family val="2"/>
      </rPr>
      <t>c</t>
    </r>
  </si>
  <si>
    <r>
      <t>e</t>
    </r>
    <r>
      <rPr>
        <vertAlign val="subscript"/>
        <sz val="11"/>
        <color indexed="8"/>
        <rFont val="Calibri"/>
        <family val="2"/>
      </rPr>
      <t>1</t>
    </r>
  </si>
  <si>
    <r>
      <t>n</t>
    </r>
    <r>
      <rPr>
        <vertAlign val="subscript"/>
        <sz val="11"/>
        <color indexed="8"/>
        <rFont val="Calibri"/>
        <family val="2"/>
      </rPr>
      <t>ef</t>
    </r>
  </si>
  <si>
    <r>
      <t>l</t>
    </r>
    <r>
      <rPr>
        <vertAlign val="subscript"/>
        <sz val="11"/>
        <color indexed="8"/>
        <rFont val="Calibri"/>
        <family val="2"/>
      </rPr>
      <t>ef (H)</t>
    </r>
  </si>
  <si>
    <r>
      <t>l</t>
    </r>
    <r>
      <rPr>
        <vertAlign val="subscript"/>
        <sz val="11"/>
        <color indexed="8"/>
        <rFont val="Calibri"/>
        <family val="2"/>
      </rPr>
      <t>ef (J)</t>
    </r>
  </si>
  <si>
    <t>d</t>
  </si>
  <si>
    <r>
      <t>F</t>
    </r>
    <r>
      <rPr>
        <vertAlign val="subscript"/>
        <sz val="11"/>
        <color indexed="8"/>
        <rFont val="Calibri"/>
        <family val="2"/>
      </rPr>
      <t>ax,Rk (H)</t>
    </r>
  </si>
  <si>
    <r>
      <t>F</t>
    </r>
    <r>
      <rPr>
        <vertAlign val="subscript"/>
        <sz val="11"/>
        <color indexed="8"/>
        <rFont val="Calibri"/>
        <family val="2"/>
      </rPr>
      <t>ax,Rk (J)</t>
    </r>
  </si>
  <si>
    <r>
      <t>F</t>
    </r>
    <r>
      <rPr>
        <vertAlign val="subscript"/>
        <sz val="11"/>
        <color indexed="8"/>
        <rFont val="Calibri"/>
        <family val="2"/>
      </rPr>
      <t>t,Rk</t>
    </r>
  </si>
  <si>
    <r>
      <t>F</t>
    </r>
    <r>
      <rPr>
        <b/>
        <vertAlign val="subscript"/>
        <sz val="11"/>
        <color indexed="8"/>
        <rFont val="Calibri"/>
        <family val="2"/>
      </rPr>
      <t>1,Rk</t>
    </r>
  </si>
  <si>
    <t>Design value F1,Rd centric</t>
  </si>
  <si>
    <t>Wood</t>
  </si>
  <si>
    <t>Characteristic</t>
  </si>
  <si>
    <t>[kN]</t>
  </si>
  <si>
    <t>[mm]</t>
  </si>
  <si>
    <t>[pcs]</t>
  </si>
  <si>
    <t>material</t>
  </si>
  <si>
    <r>
      <t xml:space="preserve">density </t>
    </r>
    <r>
      <rPr>
        <sz val="11"/>
        <color indexed="8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</t>
    </r>
  </si>
  <si>
    <t>C24</t>
  </si>
  <si>
    <t>C30</t>
  </si>
  <si>
    <t>GL24c</t>
  </si>
  <si>
    <t>GL24h</t>
  </si>
  <si>
    <t>GL28h</t>
  </si>
  <si>
    <t>GL28c/GL30c</t>
  </si>
  <si>
    <t>D50</t>
  </si>
  <si>
    <t>RICON S 140/60 VK</t>
  </si>
  <si>
    <t>RICON S 170/60 VK</t>
  </si>
  <si>
    <t>RICON S 200/60 VK</t>
  </si>
  <si>
    <t>RICON S 230/60 VK</t>
  </si>
  <si>
    <t>RICON S 200/80 VK</t>
  </si>
  <si>
    <t>RICON S 230/80 VK</t>
  </si>
  <si>
    <t>RICON S 260/80 VK</t>
  </si>
  <si>
    <t>RICON S 290/80 VK</t>
  </si>
  <si>
    <t>Wood Material:</t>
  </si>
  <si>
    <t>Für alle Fälle 1 bis 6 identisch</t>
  </si>
  <si>
    <r>
      <t>charateristic density</t>
    </r>
    <r>
      <rPr>
        <sz val="11"/>
        <color indexed="8"/>
        <rFont val="Symbol"/>
        <family val="1"/>
        <charset val="2"/>
      </rPr>
      <t xml:space="preserve"> r</t>
    </r>
    <r>
      <rPr>
        <vertAlign val="subscript"/>
        <sz val="11"/>
        <color indexed="8"/>
        <rFont val="Calibri"/>
        <family val="2"/>
      </rPr>
      <t>k</t>
    </r>
    <r>
      <rPr>
        <sz val="11"/>
        <color theme="1"/>
        <rFont val="Calibri"/>
        <family val="2"/>
        <scheme val="minor"/>
      </rPr>
      <t xml:space="preserve"> =</t>
    </r>
  </si>
  <si>
    <t>kg/m³</t>
  </si>
  <si>
    <t>Walco V60, Fall 1, 2, 4, 5</t>
  </si>
  <si>
    <t>Walco V80, Fall 1, 2, 4, 5</t>
  </si>
  <si>
    <t>n</t>
  </si>
  <si>
    <r>
      <t>l</t>
    </r>
    <r>
      <rPr>
        <vertAlign val="subscript"/>
        <sz val="11"/>
        <color indexed="8"/>
        <rFont val="Calibri"/>
        <family val="2"/>
      </rPr>
      <t xml:space="preserve">ef </t>
    </r>
  </si>
  <si>
    <r>
      <t>F</t>
    </r>
    <r>
      <rPr>
        <vertAlign val="subscript"/>
        <sz val="11"/>
        <color indexed="8"/>
        <rFont val="Calibri"/>
        <family val="2"/>
      </rPr>
      <t xml:space="preserve">ax,Rk </t>
    </r>
  </si>
  <si>
    <r>
      <t>l</t>
    </r>
    <r>
      <rPr>
        <vertAlign val="subscript"/>
        <sz val="11"/>
        <color indexed="8"/>
        <rFont val="Calibri"/>
        <family val="2"/>
      </rPr>
      <t>ef (CS)</t>
    </r>
  </si>
  <si>
    <r>
      <t>F</t>
    </r>
    <r>
      <rPr>
        <vertAlign val="subscript"/>
        <sz val="11"/>
        <color indexed="8"/>
        <rFont val="Calibri"/>
        <family val="2"/>
      </rPr>
      <t xml:space="preserve">ax,CS,Rk </t>
    </r>
  </si>
  <si>
    <r>
      <t>R</t>
    </r>
    <r>
      <rPr>
        <b/>
        <vertAlign val="subscript"/>
        <sz val="11"/>
        <color indexed="8"/>
        <rFont val="Calibri"/>
        <family val="2"/>
      </rPr>
      <t>1,k</t>
    </r>
  </si>
  <si>
    <t>Abminder-ungsfaktor f</t>
  </si>
  <si>
    <t>Walco V60 (60 mm Holz)</t>
  </si>
  <si>
    <t>Walco V60 (45 mm Holz)</t>
  </si>
  <si>
    <t>Walco V80 (60 mm Holz)</t>
  </si>
  <si>
    <t>Walco V80 (45 mm Holz)</t>
  </si>
  <si>
    <t>Walco V80 (60 mm Holz VK)</t>
  </si>
  <si>
    <t>Walco V60, Fall 3, 6</t>
  </si>
  <si>
    <t>Walco V80, Fall 3, 6</t>
  </si>
  <si>
    <r>
      <t>Load direction F</t>
    </r>
    <r>
      <rPr>
        <b/>
        <vertAlign val="subscript"/>
        <sz val="18"/>
        <color indexed="8"/>
        <rFont val="Calibri"/>
        <family val="2"/>
      </rPr>
      <t>2</t>
    </r>
    <r>
      <rPr>
        <b/>
        <sz val="18"/>
        <color indexed="8"/>
        <rFont val="Calibri"/>
        <family val="2"/>
      </rPr>
      <t xml:space="preserve"> in the direction of insertion</t>
    </r>
  </si>
  <si>
    <t>GIGANT Connector:</t>
  </si>
  <si>
    <r>
      <t>F</t>
    </r>
    <r>
      <rPr>
        <vertAlign val="subscript"/>
        <sz val="11"/>
        <color indexed="8"/>
        <rFont val="Calibri"/>
        <family val="2"/>
      </rPr>
      <t>ax,J,RK</t>
    </r>
  </si>
  <si>
    <r>
      <t>F</t>
    </r>
    <r>
      <rPr>
        <vertAlign val="subscript"/>
        <sz val="11"/>
        <color indexed="8"/>
        <rFont val="Calibri"/>
        <family val="2"/>
      </rPr>
      <t>v,J,Rk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</si>
  <si>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v,J,Rk</t>
    </r>
  </si>
  <si>
    <r>
      <t>char. yield moment M</t>
    </r>
    <r>
      <rPr>
        <vertAlign val="subscript"/>
        <sz val="11"/>
        <color indexed="8"/>
        <rFont val="Calibri"/>
        <family val="2"/>
      </rPr>
      <t>y,Rk</t>
    </r>
    <r>
      <rPr>
        <sz val="11"/>
        <color theme="1"/>
        <rFont val="Calibri"/>
        <family val="2"/>
        <scheme val="minor"/>
      </rPr>
      <t xml:space="preserve"> =</t>
    </r>
  </si>
  <si>
    <t>Nmm</t>
  </si>
  <si>
    <t>outer thread diameter d =</t>
  </si>
  <si>
    <t>mm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</si>
  <si>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h,J,k </t>
    </r>
    <r>
      <rPr>
        <sz val="11"/>
        <color theme="1"/>
        <rFont val="Calibri"/>
        <family val="2"/>
        <scheme val="minor"/>
      </rPr>
      <t>=</t>
    </r>
  </si>
  <si>
    <t>N/mm²</t>
  </si>
  <si>
    <r>
      <t>Embedding strength f</t>
    </r>
    <r>
      <rPr>
        <vertAlign val="subscript"/>
        <sz val="11"/>
        <color indexed="8"/>
        <rFont val="Calibri"/>
        <family val="2"/>
      </rPr>
      <t xml:space="preserve">h,H,k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</si>
  <si>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indexed="8"/>
        <rFont val="Calibri"/>
        <family val="2"/>
      </rPr>
      <t>ax,H,RK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</si>
  <si>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 xml:space="preserve"> </t>
    </r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</si>
  <si>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v,H,Rk</t>
    </r>
  </si>
  <si>
    <t>EC 5</t>
  </si>
  <si>
    <r>
      <t>F</t>
    </r>
    <r>
      <rPr>
        <vertAlign val="subscript"/>
        <sz val="11"/>
        <color indexed="8"/>
        <rFont val="Calibri"/>
        <family val="2"/>
      </rPr>
      <t>2,KCC,RK</t>
    </r>
  </si>
  <si>
    <r>
      <t>k</t>
    </r>
    <r>
      <rPr>
        <vertAlign val="subscript"/>
        <sz val="11"/>
        <color indexed="8"/>
        <rFont val="Calibri"/>
        <family val="2"/>
      </rPr>
      <t>H,2</t>
    </r>
  </si>
  <si>
    <r>
      <t>F</t>
    </r>
    <r>
      <rPr>
        <vertAlign val="subscript"/>
        <sz val="11"/>
        <color indexed="8"/>
        <rFont val="Calibri"/>
        <family val="2"/>
      </rPr>
      <t>2,H,Rk</t>
    </r>
  </si>
  <si>
    <r>
      <t>F</t>
    </r>
    <r>
      <rPr>
        <b/>
        <vertAlign val="subscript"/>
        <sz val="11"/>
        <color indexed="8"/>
        <rFont val="Calibri"/>
        <family val="2"/>
      </rPr>
      <t>2,Rk</t>
    </r>
  </si>
  <si>
    <t>Design values F2,Rd</t>
  </si>
  <si>
    <t>[-]</t>
  </si>
  <si>
    <t>RICON Connector:</t>
  </si>
  <si>
    <r>
      <t>l</t>
    </r>
    <r>
      <rPr>
        <vertAlign val="subscript"/>
        <sz val="11"/>
        <rFont val="Calibri"/>
        <family val="2"/>
      </rPr>
      <t xml:space="preserve">ef </t>
    </r>
  </si>
  <si>
    <r>
      <t>F</t>
    </r>
    <r>
      <rPr>
        <vertAlign val="subscript"/>
        <sz val="11"/>
        <rFont val="Calibri"/>
        <family val="2"/>
      </rPr>
      <t>ax,H,RK</t>
    </r>
  </si>
  <si>
    <r>
      <t>F</t>
    </r>
    <r>
      <rPr>
        <vertAlign val="subscript"/>
        <sz val="11"/>
        <rFont val="Calibri"/>
        <family val="2"/>
      </rPr>
      <t>v,H,Rk</t>
    </r>
    <r>
      <rPr>
        <sz val="11"/>
        <rFont val="Calibri"/>
        <family val="2"/>
      </rPr>
      <t xml:space="preserve"> </t>
    </r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</si>
  <si>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v,H,Rk</t>
    </r>
  </si>
  <si>
    <t>RICON S Connector</t>
  </si>
  <si>
    <r>
      <t>F</t>
    </r>
    <r>
      <rPr>
        <b/>
        <vertAlign val="subscript"/>
        <sz val="11"/>
        <color indexed="8"/>
        <rFont val="Calibri"/>
        <family val="2"/>
      </rPr>
      <t>2,R,k</t>
    </r>
  </si>
  <si>
    <t>WALCO V Connector:</t>
  </si>
  <si>
    <r>
      <t>d</t>
    </r>
    <r>
      <rPr>
        <vertAlign val="subscript"/>
        <sz val="11"/>
        <color indexed="8"/>
        <rFont val="Calibri"/>
        <family val="2"/>
      </rPr>
      <t>CS</t>
    </r>
  </si>
  <si>
    <r>
      <t>l</t>
    </r>
    <r>
      <rPr>
        <vertAlign val="subscript"/>
        <sz val="11"/>
        <color indexed="8"/>
        <rFont val="Calibri"/>
        <family val="2"/>
      </rPr>
      <t xml:space="preserve">ef,(CS) </t>
    </r>
  </si>
  <si>
    <r>
      <t>f</t>
    </r>
    <r>
      <rPr>
        <vertAlign val="subscript"/>
        <sz val="11"/>
        <color indexed="8"/>
        <rFont val="Calibri"/>
        <family val="2"/>
      </rPr>
      <t>h,CS,k</t>
    </r>
  </si>
  <si>
    <r>
      <t>F</t>
    </r>
    <r>
      <rPr>
        <vertAlign val="subscript"/>
        <sz val="11"/>
        <color indexed="8"/>
        <rFont val="Calibri"/>
        <family val="2"/>
      </rPr>
      <t>v,CS,Rk</t>
    </r>
    <r>
      <rPr>
        <sz val="11"/>
        <color theme="1"/>
        <rFont val="Calibri"/>
        <family val="2"/>
        <scheme val="minor"/>
      </rPr>
      <t xml:space="preserve"> </t>
    </r>
  </si>
  <si>
    <t>My</t>
  </si>
  <si>
    <t>[N/mm²]</t>
  </si>
  <si>
    <t>[Nmm]</t>
  </si>
  <si>
    <t>Walco V60, Fall 1, 2</t>
  </si>
  <si>
    <t>Walco V80, Fall 1, 2</t>
  </si>
  <si>
    <t xml:space="preserve">WALCO V 60 (Vers 1-2) 60 </t>
  </si>
  <si>
    <t>(60 mm Holz)</t>
  </si>
  <si>
    <t>WALCO V 60 (Vers 1-2) 45</t>
  </si>
  <si>
    <t>(45 mm Holz)</t>
  </si>
  <si>
    <t>WALCO V 60 (Vers 3)</t>
  </si>
  <si>
    <t>WALCO V 60 (Vers 4-6)</t>
  </si>
  <si>
    <t>WALCO V 60 (Vers 1-2) 60 VK</t>
  </si>
  <si>
    <t>WALCO V 80 (Vers 1-2) 60</t>
  </si>
  <si>
    <t>WALCO V 80 (Vers 1-2) 61</t>
  </si>
  <si>
    <t>WALCO V 80 (Vers 1-2) 45</t>
  </si>
  <si>
    <t>WALCO V 80 (Vers 1-2) 60 VK</t>
  </si>
  <si>
    <t>Walco V60, Fall 3</t>
  </si>
  <si>
    <t>Walco V80, Fall 3</t>
  </si>
  <si>
    <t>WALCO V 80 (Vers 3)</t>
  </si>
  <si>
    <t>WALCO V 80 (Vers. 4-6)</t>
  </si>
  <si>
    <r>
      <t>M</t>
    </r>
    <r>
      <rPr>
        <vertAlign val="subscript"/>
        <sz val="11"/>
        <rFont val="Calibri"/>
        <family val="2"/>
      </rPr>
      <t>y,k</t>
    </r>
  </si>
  <si>
    <r>
      <t>f</t>
    </r>
    <r>
      <rPr>
        <vertAlign val="subscript"/>
        <sz val="11"/>
        <rFont val="Calibri"/>
        <family val="2"/>
      </rPr>
      <t>h,H,k</t>
    </r>
  </si>
  <si>
    <r>
      <t>F</t>
    </r>
    <r>
      <rPr>
        <vertAlign val="subscript"/>
        <sz val="11"/>
        <rFont val="Calibri"/>
        <family val="2"/>
      </rPr>
      <t>ax,RK</t>
    </r>
  </si>
  <si>
    <r>
      <t>F</t>
    </r>
    <r>
      <rPr>
        <vertAlign val="subscript"/>
        <sz val="11"/>
        <rFont val="Calibri"/>
        <family val="2"/>
      </rPr>
      <t>v,Rk</t>
    </r>
    <r>
      <rPr>
        <sz val="11"/>
        <rFont val="Calibri"/>
        <family val="2"/>
      </rPr>
      <t xml:space="preserve"> </t>
    </r>
  </si>
  <si>
    <t>WALCO V 60 (Vers 1-2;4-6)</t>
  </si>
  <si>
    <t>(60 + 45 mm Holz)</t>
  </si>
  <si>
    <t>Walco V60, Fall 4, 5</t>
  </si>
  <si>
    <t>Walco V80, Fall 4, 5</t>
  </si>
  <si>
    <t>WALCO V 80 (Vers. 1-2;4-6)</t>
  </si>
  <si>
    <t>WALCO V 80 (Vers. 3)</t>
  </si>
  <si>
    <r>
      <rPr>
        <sz val="11"/>
        <color indexed="8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F</t>
    </r>
    <r>
      <rPr>
        <vertAlign val="subscript"/>
        <sz val="11"/>
        <color indexed="8"/>
        <rFont val="Calibri"/>
        <family val="2"/>
      </rPr>
      <t>v,CS,Rk</t>
    </r>
  </si>
  <si>
    <r>
      <t>F</t>
    </r>
    <r>
      <rPr>
        <vertAlign val="subscript"/>
        <sz val="11"/>
        <color indexed="8"/>
        <rFont val="Calibri"/>
        <family val="2"/>
      </rPr>
      <t>2,V,Rk</t>
    </r>
  </si>
  <si>
    <t>Abminder-ungsfaktor f2</t>
  </si>
  <si>
    <t>Walco V60, Fall 6</t>
  </si>
  <si>
    <t>Walco V80, Fall 6</t>
  </si>
  <si>
    <t>WALCO V 80 (Vers 4-6)</t>
  </si>
  <si>
    <r>
      <t>Load direction F</t>
    </r>
    <r>
      <rPr>
        <b/>
        <vertAlign val="subscript"/>
        <sz val="18"/>
        <color indexed="8"/>
        <rFont val="Calibri"/>
        <family val="2"/>
      </rPr>
      <t xml:space="preserve">3 </t>
    </r>
    <r>
      <rPr>
        <b/>
        <sz val="18"/>
        <color indexed="8"/>
        <rFont val="Calibri"/>
        <family val="2"/>
      </rPr>
      <t>against the direction of insertion</t>
    </r>
  </si>
  <si>
    <r>
      <t>F</t>
    </r>
    <r>
      <rPr>
        <vertAlign val="subscript"/>
        <sz val="11"/>
        <color indexed="8"/>
        <rFont val="Calibri"/>
        <family val="2"/>
      </rPr>
      <t>3,KCC,RK</t>
    </r>
  </si>
  <si>
    <r>
      <t>k</t>
    </r>
    <r>
      <rPr>
        <vertAlign val="subscript"/>
        <sz val="11"/>
        <color indexed="8"/>
        <rFont val="Calibri"/>
        <family val="2"/>
      </rPr>
      <t xml:space="preserve">H,2 </t>
    </r>
    <r>
      <rPr>
        <sz val="11"/>
        <color indexed="8"/>
        <rFont val="Calibri"/>
        <family val="2"/>
      </rPr>
      <t>= k</t>
    </r>
    <r>
      <rPr>
        <vertAlign val="subscript"/>
        <sz val="11"/>
        <color indexed="8"/>
        <rFont val="Calibri"/>
        <family val="2"/>
      </rPr>
      <t>H,3</t>
    </r>
  </si>
  <si>
    <r>
      <t>F</t>
    </r>
    <r>
      <rPr>
        <vertAlign val="subscript"/>
        <sz val="11"/>
        <color indexed="8"/>
        <rFont val="Calibri"/>
        <family val="2"/>
      </rPr>
      <t>3,H,Rk</t>
    </r>
  </si>
  <si>
    <r>
      <t>F</t>
    </r>
    <r>
      <rPr>
        <b/>
        <vertAlign val="subscript"/>
        <sz val="11"/>
        <color indexed="8"/>
        <rFont val="Calibri"/>
        <family val="2"/>
      </rPr>
      <t>3,Rk</t>
    </r>
  </si>
  <si>
    <t>Design values F3,Rd (clip lock)</t>
  </si>
  <si>
    <t>Z.9.1.589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</si>
  <si>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v,J,Rk</t>
    </r>
  </si>
  <si>
    <r>
      <t>F</t>
    </r>
    <r>
      <rPr>
        <vertAlign val="subscript"/>
        <sz val="11"/>
        <rFont val="Calibri"/>
        <family val="2"/>
      </rPr>
      <t>3,KCC,RK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</si>
  <si>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 xml:space="preserve"> 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</si>
  <si>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3,H,Rk</t>
    </r>
  </si>
  <si>
    <r>
      <t>F</t>
    </r>
    <r>
      <rPr>
        <b/>
        <vertAlign val="subscript"/>
        <sz val="11"/>
        <rFont val="Calibri"/>
        <family val="2"/>
      </rPr>
      <t>3,Rk</t>
    </r>
  </si>
  <si>
    <r>
      <t>F</t>
    </r>
    <r>
      <rPr>
        <b/>
        <vertAlign val="subscript"/>
        <sz val="11"/>
        <rFont val="Calibri"/>
        <family val="2"/>
      </rPr>
      <t>3,k</t>
    </r>
  </si>
  <si>
    <t>Design values F3,Rd (1 stirrup)</t>
  </si>
  <si>
    <t>Design values F3,Rd (2 stirrups)</t>
  </si>
  <si>
    <r>
      <t>d</t>
    </r>
    <r>
      <rPr>
        <vertAlign val="subscript"/>
        <sz val="11"/>
        <rFont val="Calibri"/>
        <family val="2"/>
      </rPr>
      <t>CS</t>
    </r>
  </si>
  <si>
    <r>
      <t>l</t>
    </r>
    <r>
      <rPr>
        <vertAlign val="subscript"/>
        <sz val="11"/>
        <rFont val="Calibri"/>
        <family val="2"/>
      </rPr>
      <t xml:space="preserve">ef,(CS) </t>
    </r>
  </si>
  <si>
    <r>
      <t>f</t>
    </r>
    <r>
      <rPr>
        <vertAlign val="subscript"/>
        <sz val="11"/>
        <rFont val="Calibri"/>
        <family val="2"/>
      </rPr>
      <t>h,CS,k</t>
    </r>
  </si>
  <si>
    <r>
      <t>F</t>
    </r>
    <r>
      <rPr>
        <vertAlign val="subscript"/>
        <sz val="11"/>
        <rFont val="Calibri"/>
        <family val="2"/>
      </rPr>
      <t>v,CS,Rk</t>
    </r>
    <r>
      <rPr>
        <sz val="11"/>
        <rFont val="Calibri"/>
        <family val="2"/>
      </rPr>
      <t xml:space="preserve"> </t>
    </r>
  </si>
  <si>
    <t>WALCO V 60</t>
  </si>
  <si>
    <t>WALCO V 80</t>
  </si>
  <si>
    <t>Z.9.1.716</t>
  </si>
  <si>
    <r>
      <rPr>
        <sz val="11"/>
        <rFont val="Symbol"/>
        <family val="1"/>
        <charset val="2"/>
      </rPr>
      <t>S</t>
    </r>
    <r>
      <rPr>
        <sz val="11"/>
        <rFont val="Calibri"/>
        <family val="2"/>
      </rPr>
      <t xml:space="preserve"> F</t>
    </r>
    <r>
      <rPr>
        <vertAlign val="subscript"/>
        <sz val="11"/>
        <rFont val="Calibri"/>
        <family val="2"/>
      </rPr>
      <t>v,CS,Rk</t>
    </r>
  </si>
  <si>
    <r>
      <t>k</t>
    </r>
    <r>
      <rPr>
        <vertAlign val="subscript"/>
        <sz val="11"/>
        <rFont val="Calibri"/>
        <family val="2"/>
      </rPr>
      <t>H,2</t>
    </r>
    <r>
      <rPr>
        <sz val="11"/>
        <rFont val="Calibri"/>
        <family val="2"/>
      </rPr>
      <t>= k</t>
    </r>
    <r>
      <rPr>
        <vertAlign val="subscript"/>
        <sz val="11"/>
        <rFont val="Calibri"/>
        <family val="2"/>
      </rPr>
      <t>H,3</t>
    </r>
  </si>
  <si>
    <r>
      <t>F</t>
    </r>
    <r>
      <rPr>
        <vertAlign val="subscript"/>
        <sz val="11"/>
        <rFont val="Calibri"/>
        <family val="2"/>
      </rPr>
      <t>3,V,Rk</t>
    </r>
  </si>
  <si>
    <r>
      <t>F</t>
    </r>
    <r>
      <rPr>
        <b/>
        <vertAlign val="subscript"/>
        <sz val="11"/>
        <rFont val="Calibri"/>
        <family val="2"/>
      </rPr>
      <t>3,R,k</t>
    </r>
  </si>
  <si>
    <r>
      <t>Load direction F</t>
    </r>
    <r>
      <rPr>
        <b/>
        <vertAlign val="subscript"/>
        <sz val="18"/>
        <color indexed="8"/>
        <rFont val="Calibri"/>
        <family val="2"/>
      </rPr>
      <t>45</t>
    </r>
    <r>
      <rPr>
        <b/>
        <sz val="18"/>
        <color indexed="8"/>
        <rFont val="Calibri"/>
        <family val="2"/>
      </rPr>
      <t xml:space="preserve"> perpendicular to the direction of insertion</t>
    </r>
  </si>
  <si>
    <r>
      <t>n</t>
    </r>
    <r>
      <rPr>
        <vertAlign val="subscript"/>
        <sz val="11"/>
        <color indexed="8"/>
        <rFont val="Calibri"/>
        <family val="2"/>
      </rPr>
      <t>45</t>
    </r>
  </si>
  <si>
    <r>
      <t>a</t>
    </r>
    <r>
      <rPr>
        <vertAlign val="subscript"/>
        <sz val="11"/>
        <color indexed="8"/>
        <rFont val="Calibri"/>
        <family val="2"/>
      </rPr>
      <t>1</t>
    </r>
  </si>
  <si>
    <r>
      <t>a</t>
    </r>
    <r>
      <rPr>
        <vertAlign val="subscript"/>
        <sz val="11"/>
        <color indexed="8"/>
        <rFont val="Calibri"/>
        <family val="2"/>
      </rPr>
      <t>2</t>
    </r>
  </si>
  <si>
    <r>
      <t>e</t>
    </r>
    <r>
      <rPr>
        <vertAlign val="subscript"/>
        <sz val="11"/>
        <color indexed="8"/>
        <rFont val="Calibri"/>
        <family val="2"/>
      </rPr>
      <t>J,45</t>
    </r>
  </si>
  <si>
    <r>
      <t>F</t>
    </r>
    <r>
      <rPr>
        <vertAlign val="subscript"/>
        <sz val="11"/>
        <color indexed="8"/>
        <rFont val="Calibri"/>
        <family val="2"/>
      </rPr>
      <t>45,J,Rk</t>
    </r>
  </si>
  <si>
    <r>
      <t>a</t>
    </r>
    <r>
      <rPr>
        <vertAlign val="subscript"/>
        <sz val="11"/>
        <color indexed="8"/>
        <rFont val="Calibri"/>
        <family val="2"/>
      </rPr>
      <t xml:space="preserve">1 </t>
    </r>
  </si>
  <si>
    <r>
      <t>k</t>
    </r>
    <r>
      <rPr>
        <vertAlign val="subscript"/>
        <sz val="11"/>
        <color indexed="8"/>
        <rFont val="Calibri"/>
        <family val="2"/>
      </rPr>
      <t>H,45</t>
    </r>
  </si>
  <si>
    <r>
      <t>e</t>
    </r>
    <r>
      <rPr>
        <vertAlign val="subscript"/>
        <sz val="11"/>
        <color indexed="8"/>
        <rFont val="Calibri"/>
        <family val="2"/>
      </rPr>
      <t>H,45</t>
    </r>
  </si>
  <si>
    <r>
      <t>F</t>
    </r>
    <r>
      <rPr>
        <vertAlign val="subscript"/>
        <sz val="11"/>
        <color indexed="8"/>
        <rFont val="Calibri"/>
        <family val="2"/>
      </rPr>
      <t>45,H,Rk</t>
    </r>
  </si>
  <si>
    <r>
      <t xml:space="preserve"> F</t>
    </r>
    <r>
      <rPr>
        <vertAlign val="subscript"/>
        <sz val="11"/>
        <color indexed="8"/>
        <rFont val="Calibri"/>
        <family val="2"/>
      </rPr>
      <t>45,J,Rk</t>
    </r>
  </si>
  <si>
    <r>
      <t>F</t>
    </r>
    <r>
      <rPr>
        <vertAlign val="subscript"/>
        <sz val="11"/>
        <color indexed="8"/>
        <rFont val="Calibri"/>
        <family val="2"/>
      </rPr>
      <t>45,KCC,RK</t>
    </r>
  </si>
  <si>
    <r>
      <t>F</t>
    </r>
    <r>
      <rPr>
        <b/>
        <vertAlign val="subscript"/>
        <sz val="11"/>
        <color indexed="8"/>
        <rFont val="Calibri"/>
        <family val="2"/>
      </rPr>
      <t>45,Rk</t>
    </r>
  </si>
  <si>
    <t>Design values F45,Rd (centric)</t>
  </si>
  <si>
    <r>
      <t>char. Load for reinforcing plate F</t>
    </r>
    <r>
      <rPr>
        <vertAlign val="subscript"/>
        <sz val="11"/>
        <color indexed="8"/>
        <rFont val="Calibri"/>
        <family val="2"/>
      </rPr>
      <t>45,RC,Rk</t>
    </r>
    <r>
      <rPr>
        <sz val="11"/>
        <color theme="1"/>
        <rFont val="Calibri"/>
        <family val="2"/>
        <scheme val="minor"/>
      </rPr>
      <t xml:space="preserve"> =</t>
    </r>
  </si>
  <si>
    <t>kN</t>
  </si>
  <si>
    <r>
      <t>F</t>
    </r>
    <r>
      <rPr>
        <vertAlign val="subscript"/>
        <sz val="11"/>
        <color indexed="8"/>
        <rFont val="Calibri"/>
        <family val="2"/>
      </rPr>
      <t>v,J,mittel,Rk</t>
    </r>
  </si>
  <si>
    <t>Werte sind nicht erforderlich</t>
  </si>
  <si>
    <t>53/2+16+10+s</t>
  </si>
  <si>
    <t>36/2+16+10+s</t>
  </si>
  <si>
    <t>16/2+19+10+S</t>
  </si>
  <si>
    <t>52/2+19+10+S</t>
  </si>
  <si>
    <t>t=53 mm</t>
  </si>
  <si>
    <t>t=36 mm</t>
  </si>
  <si>
    <t>t=16 mm</t>
  </si>
  <si>
    <t>t=52 mm</t>
  </si>
  <si>
    <r>
      <t>a</t>
    </r>
    <r>
      <rPr>
        <vertAlign val="subscript"/>
        <sz val="11"/>
        <color indexed="8"/>
        <rFont val="Calibri"/>
        <family val="2"/>
      </rPr>
      <t>2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</si>
  <si>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45,J,Rk</t>
    </r>
    <r>
      <rPr>
        <sz val="11"/>
        <color theme="1"/>
        <rFont val="Calibri"/>
        <family val="2"/>
        <scheme val="minor"/>
      </rPr>
      <t xml:space="preserve"> </t>
    </r>
  </si>
  <si>
    <r>
      <t>e</t>
    </r>
    <r>
      <rPr>
        <vertAlign val="subscript"/>
        <sz val="11"/>
        <color indexed="8"/>
        <rFont val="Calibri"/>
        <family val="2"/>
      </rPr>
      <t>J,45,max</t>
    </r>
  </si>
  <si>
    <r>
      <t>F</t>
    </r>
    <r>
      <rPr>
        <vertAlign val="subscript"/>
        <sz val="11"/>
        <color indexed="8"/>
        <rFont val="Calibri"/>
        <family val="2"/>
      </rPr>
      <t>45,J,min,Rk</t>
    </r>
    <r>
      <rPr>
        <sz val="11"/>
        <color theme="1"/>
        <rFont val="Calibri"/>
        <family val="2"/>
        <scheme val="minor"/>
      </rPr>
      <t xml:space="preserve"> </t>
    </r>
  </si>
  <si>
    <t>s</t>
  </si>
  <si>
    <r>
      <t>e</t>
    </r>
    <r>
      <rPr>
        <vertAlign val="subscript"/>
        <sz val="11"/>
        <color indexed="8"/>
        <rFont val="Calibri"/>
        <family val="2"/>
      </rPr>
      <t>H,45,max</t>
    </r>
  </si>
  <si>
    <r>
      <t>F</t>
    </r>
    <r>
      <rPr>
        <vertAlign val="subscript"/>
        <sz val="11"/>
        <color indexed="8"/>
        <rFont val="Calibri"/>
        <family val="2"/>
      </rPr>
      <t>v,H,mittel,Rk</t>
    </r>
  </si>
  <si>
    <t>ESCO/RP-Tec</t>
  </si>
  <si>
    <t>Schüco</t>
  </si>
  <si>
    <r>
      <t>F</t>
    </r>
    <r>
      <rPr>
        <vertAlign val="subscript"/>
        <sz val="11"/>
        <color indexed="8"/>
        <rFont val="Calibri"/>
        <family val="2"/>
      </rPr>
      <t>ax,H,mittel,RK</t>
    </r>
  </si>
  <si>
    <r>
      <t>F</t>
    </r>
    <r>
      <rPr>
        <vertAlign val="subscript"/>
        <sz val="11"/>
        <color indexed="8"/>
        <rFont val="Calibri"/>
        <family val="2"/>
      </rPr>
      <t>45,H,Rk</t>
    </r>
    <r>
      <rPr>
        <sz val="11"/>
        <color theme="1"/>
        <rFont val="Calibri"/>
        <family val="2"/>
        <scheme val="minor"/>
      </rPr>
      <t xml:space="preserve"> </t>
    </r>
  </si>
  <si>
    <r>
      <t>F</t>
    </r>
    <r>
      <rPr>
        <vertAlign val="subscript"/>
        <sz val="11"/>
        <color indexed="8"/>
        <rFont val="Calibri"/>
        <family val="2"/>
      </rPr>
      <t>45,H,min,Rk</t>
    </r>
    <r>
      <rPr>
        <sz val="11"/>
        <color theme="1"/>
        <rFont val="Calibri"/>
        <family val="2"/>
        <scheme val="minor"/>
      </rPr>
      <t xml:space="preserve"> </t>
    </r>
  </si>
  <si>
    <t>without reinforcing plate and e=0 mm</t>
  </si>
  <si>
    <t>glass load without
reinforcing plate and emax</t>
  </si>
  <si>
    <t>glass load with
reinforcing plate and emax</t>
  </si>
  <si>
    <t>Design values F45,Rd (eccentric Glassloads)</t>
  </si>
  <si>
    <r>
      <t>F</t>
    </r>
    <r>
      <rPr>
        <b/>
        <vertAlign val="subscript"/>
        <sz val="11"/>
        <color indexed="8"/>
        <rFont val="Calibri"/>
        <family val="2"/>
      </rPr>
      <t>45,min,Rk</t>
    </r>
  </si>
  <si>
    <r>
      <t>F</t>
    </r>
    <r>
      <rPr>
        <b/>
        <vertAlign val="subscript"/>
        <sz val="11"/>
        <color indexed="8"/>
        <rFont val="Calibri"/>
        <family val="2"/>
      </rPr>
      <t>45,max,Rk</t>
    </r>
  </si>
  <si>
    <t>without reinf. Plate</t>
  </si>
  <si>
    <t>with reinf. Plate</t>
  </si>
  <si>
    <t>Total glass load [kg]</t>
  </si>
  <si>
    <t>without
reinf. Plate</t>
  </si>
  <si>
    <t>with
reinf. Plate</t>
  </si>
  <si>
    <t>Glasstärke t=</t>
  </si>
  <si>
    <t>eh =</t>
  </si>
  <si>
    <t>(16 mm Dichtung Esco-RP-Tec)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</si>
  <si>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= 65 mm</t>
    </r>
  </si>
  <si>
    <t>without reinforcing plate</t>
  </si>
  <si>
    <r>
      <t>F</t>
    </r>
    <r>
      <rPr>
        <vertAlign val="subscript"/>
        <sz val="11"/>
        <color indexed="8"/>
        <rFont val="Calibri"/>
        <family val="2"/>
      </rPr>
      <t>45,min,Rk</t>
    </r>
  </si>
  <si>
    <r>
      <t>K</t>
    </r>
    <r>
      <rPr>
        <vertAlign val="subscript"/>
        <sz val="11"/>
        <color indexed="8"/>
        <rFont val="Calibri"/>
        <family val="2"/>
      </rPr>
      <t>eccentric</t>
    </r>
  </si>
  <si>
    <t>e</t>
  </si>
  <si>
    <r>
      <t>k</t>
    </r>
    <r>
      <rPr>
        <vertAlign val="subscript"/>
        <sz val="11"/>
        <color indexed="8"/>
        <rFont val="Calibri"/>
        <family val="2"/>
      </rPr>
      <t>e</t>
    </r>
  </si>
  <si>
    <r>
      <t>F</t>
    </r>
    <r>
      <rPr>
        <vertAlign val="subscript"/>
        <sz val="11"/>
        <color indexed="8"/>
        <rFont val="Calibri"/>
        <family val="2"/>
      </rPr>
      <t>4,eccentric,Rk</t>
    </r>
  </si>
  <si>
    <t>without 
reinf. Plate</t>
  </si>
  <si>
    <t>with 
reinf. Plate</t>
  </si>
  <si>
    <t>RICON 60/40</t>
  </si>
  <si>
    <t>RICON 80/40</t>
  </si>
  <si>
    <t>RICON 100/40</t>
  </si>
  <si>
    <t>RICON 120/40</t>
  </si>
  <si>
    <t>RICON 140/40</t>
  </si>
  <si>
    <t>RICON 160/40</t>
  </si>
  <si>
    <t>Double RICON 80/40</t>
  </si>
  <si>
    <t>Double RICON 100/40</t>
  </si>
  <si>
    <t>Double RICON 120/40</t>
  </si>
  <si>
    <t>Double RICON 140/40</t>
  </si>
  <si>
    <t>Double RICON 160/40</t>
  </si>
  <si>
    <t>Schüco Glaslasten</t>
  </si>
  <si>
    <t>(19 mm Dichtung, Schüco)</t>
  </si>
  <si>
    <r>
      <t>F</t>
    </r>
    <r>
      <rPr>
        <vertAlign val="subscript"/>
        <sz val="11"/>
        <color indexed="8"/>
        <rFont val="Calibri"/>
        <family val="2"/>
      </rPr>
      <t>4,eccentric,Rd</t>
    </r>
    <r>
      <rPr>
        <sz val="11"/>
        <color theme="1"/>
        <rFont val="Calibri"/>
        <family val="2"/>
        <scheme val="minor"/>
      </rPr>
      <t xml:space="preserve"> for glass thickness t &gt; 53 mm</t>
    </r>
  </si>
  <si>
    <t>with reinforcing plate</t>
  </si>
  <si>
    <t>kmod</t>
  </si>
  <si>
    <r>
      <t>F</t>
    </r>
    <r>
      <rPr>
        <vertAlign val="subscript"/>
        <sz val="11"/>
        <color indexed="8"/>
        <rFont val="Calibri"/>
        <family val="2"/>
      </rPr>
      <t>v,mittel,J,Rk</t>
    </r>
  </si>
  <si>
    <r>
      <t>F</t>
    </r>
    <r>
      <rPr>
        <vertAlign val="subscript"/>
        <sz val="11"/>
        <color indexed="8"/>
        <rFont val="Calibri"/>
        <family val="2"/>
      </rPr>
      <t>v,mittel,H,Rk</t>
    </r>
  </si>
  <si>
    <r>
      <t>F</t>
    </r>
    <r>
      <rPr>
        <vertAlign val="subscript"/>
        <sz val="11"/>
        <color indexed="8"/>
        <rFont val="Calibri"/>
        <family val="2"/>
      </rPr>
      <t>ax</t>
    </r>
    <r>
      <rPr>
        <vertAlign val="subscript"/>
        <sz val="11"/>
        <color indexed="8"/>
        <rFont val="Calibri"/>
        <family val="2"/>
      </rPr>
      <t>,H,mittel,Rk</t>
    </r>
  </si>
  <si>
    <r>
      <t>k</t>
    </r>
    <r>
      <rPr>
        <vertAlign val="subscript"/>
        <sz val="11"/>
        <color indexed="8"/>
        <rFont val="Calibri"/>
        <family val="2"/>
      </rPr>
      <t>H,45</t>
    </r>
    <r>
      <rPr>
        <sz val="11"/>
        <color indexed="8"/>
        <rFont val="Calibri"/>
        <family val="2"/>
      </rPr>
      <t/>
    </r>
  </si>
  <si>
    <r>
      <t>F</t>
    </r>
    <r>
      <rPr>
        <vertAlign val="subscript"/>
        <sz val="11"/>
        <color indexed="8"/>
        <rFont val="Calibri"/>
        <family val="2"/>
      </rPr>
      <t>45</t>
    </r>
    <r>
      <rPr>
        <vertAlign val="subscript"/>
        <sz val="11"/>
        <color indexed="8"/>
        <rFont val="Calibri"/>
        <family val="2"/>
      </rPr>
      <t>,H,Rk</t>
    </r>
  </si>
  <si>
    <r>
      <t>F</t>
    </r>
    <r>
      <rPr>
        <b/>
        <vertAlign val="subscript"/>
        <sz val="11"/>
        <color indexed="8"/>
        <rFont val="Calibri"/>
        <family val="2"/>
      </rPr>
      <t>45,R,k</t>
    </r>
  </si>
  <si>
    <t>140/60 VK</t>
  </si>
  <si>
    <t>140/60 EK+GK</t>
  </si>
  <si>
    <t>170/60 VK</t>
  </si>
  <si>
    <t>170/60 EK+GK</t>
  </si>
  <si>
    <t>200/60 VK</t>
  </si>
  <si>
    <t>200/60 EK+GK</t>
  </si>
  <si>
    <t>WALCO V 60  Vers. 1-2 60</t>
  </si>
  <si>
    <t>für 60 mm Holz</t>
  </si>
  <si>
    <t>WALCO V 60  Vers. 1-2 45</t>
  </si>
  <si>
    <t>für 45 mm Holz</t>
  </si>
  <si>
    <t>WALCO V 60 Vers. 3,6</t>
  </si>
  <si>
    <t>WALCO V 60 Vers. 4-5</t>
  </si>
  <si>
    <t>WALCO V 80 Vers 1-3 60</t>
  </si>
  <si>
    <t>WALCO V 80 Vers 1-3 61</t>
  </si>
  <si>
    <t>WALCO V 80 Vers 1-3 45</t>
  </si>
  <si>
    <t>WALCO V 80 Vers 1-3 60 VK</t>
  </si>
  <si>
    <t>WALCO V 80 Vers 4-5</t>
  </si>
  <si>
    <t>WALCO V 80 Vers 6</t>
  </si>
  <si>
    <t>WALCO V 60  Vers. 1-2</t>
  </si>
  <si>
    <t>für 60+45 mm Holz</t>
  </si>
  <si>
    <t>230/60 VK</t>
  </si>
  <si>
    <t>230/60 EK+GK</t>
  </si>
  <si>
    <r>
      <t>F</t>
    </r>
    <r>
      <rPr>
        <vertAlign val="subscript"/>
        <sz val="11"/>
        <color indexed="8"/>
        <rFont val="Calibri"/>
        <family val="2"/>
      </rPr>
      <t>V,Rk</t>
    </r>
  </si>
  <si>
    <t>F45,Rd</t>
  </si>
  <si>
    <t>Abminder-ungsfaktor f45</t>
  </si>
  <si>
    <t>Walvo V80, Fall 1, 2</t>
  </si>
  <si>
    <t>kmod =0,9</t>
  </si>
  <si>
    <t>200/80 VK</t>
  </si>
  <si>
    <t>200/80 EK+GK</t>
  </si>
  <si>
    <t>Walvo V80, Fall 3</t>
  </si>
  <si>
    <t>WALCO V80 L Version 1</t>
  </si>
  <si>
    <t>Walvo V80, Fall 4, 5</t>
  </si>
  <si>
    <t>230/80 VK</t>
  </si>
  <si>
    <t>230/80 EK+GK</t>
  </si>
  <si>
    <t>Walvo V80, Fall 6</t>
  </si>
  <si>
    <t>260/80 VK</t>
  </si>
  <si>
    <t>260/80 EK+GK</t>
  </si>
  <si>
    <t>290/80 VK</t>
  </si>
  <si>
    <t>290/80 EK+GK</t>
  </si>
  <si>
    <t>RICON S VS Connector</t>
  </si>
  <si>
    <t>charateristic density rk =</t>
  </si>
  <si>
    <r>
      <t>F</t>
    </r>
    <r>
      <rPr>
        <vertAlign val="subscript"/>
        <sz val="11"/>
        <color indexed="8"/>
        <rFont val="Calibri"/>
        <family val="2"/>
      </rPr>
      <t>ax,J,RK1</t>
    </r>
  </si>
  <si>
    <r>
      <t>F</t>
    </r>
    <r>
      <rPr>
        <vertAlign val="subscript"/>
        <sz val="11"/>
        <color indexed="8"/>
        <rFont val="Calibri"/>
        <family val="2"/>
      </rPr>
      <t>v,J,Rk1</t>
    </r>
    <r>
      <rPr>
        <sz val="11"/>
        <color theme="1"/>
        <rFont val="Calibri"/>
        <family val="2"/>
        <scheme val="minor"/>
      </rPr>
      <t xml:space="preserve"> </t>
    </r>
  </si>
  <si>
    <t>RICON S 140/60 VS min</t>
  </si>
  <si>
    <t>RICON S 140/60 VS max</t>
  </si>
  <si>
    <t>RICON S 200/60 VS min</t>
  </si>
  <si>
    <t>RICON S 200/60 VS max</t>
  </si>
  <si>
    <t>RICON S 200/80 VS min</t>
  </si>
  <si>
    <t>RICON S 200/80 VS max</t>
  </si>
  <si>
    <t>RICON S 290/80 VS min</t>
  </si>
  <si>
    <t>RICON S 290/80 VS max</t>
  </si>
  <si>
    <r>
      <t>F</t>
    </r>
    <r>
      <rPr>
        <vertAlign val="subscript"/>
        <sz val="11"/>
        <color indexed="8"/>
        <rFont val="Calibri"/>
        <family val="2"/>
      </rPr>
      <t>ax,H,RK1</t>
    </r>
  </si>
  <si>
    <r>
      <t>F</t>
    </r>
    <r>
      <rPr>
        <vertAlign val="subscript"/>
        <sz val="11"/>
        <color indexed="8"/>
        <rFont val="Calibri"/>
        <family val="2"/>
      </rPr>
      <t>v,H,Rk</t>
    </r>
    <r>
      <rPr>
        <sz val="11"/>
        <color theme="1"/>
        <rFont val="Calibri"/>
        <family val="2"/>
        <scheme val="minor"/>
      </rPr>
      <t>1</t>
    </r>
  </si>
  <si>
    <r>
      <t>Centric and eccentric load F</t>
    </r>
    <r>
      <rPr>
        <b/>
        <vertAlign val="subscript"/>
        <sz val="18"/>
        <color indexed="8"/>
        <rFont val="Myriad Pro"/>
        <family val="2"/>
      </rPr>
      <t>45</t>
    </r>
    <r>
      <rPr>
        <b/>
        <sz val="18"/>
        <color indexed="8"/>
        <rFont val="Myriad Pro"/>
        <family val="2"/>
      </rPr>
      <t xml:space="preserve"> - perpendicular to the direction of insertion</t>
    </r>
  </si>
  <si>
    <t>Design value F45,Rd centric</t>
  </si>
  <si>
    <t>Screw length</t>
  </si>
  <si>
    <t>Header [mm]</t>
  </si>
  <si>
    <t>Joist [mm]</t>
  </si>
  <si>
    <t>RICON S 140/60 VS min
H: 10 SK 8x80; J: 10 SK 8x160</t>
  </si>
  <si>
    <t>RICON S 140/60 VS max
H: 10 SK 8x80; J: 10 SK 8x240</t>
  </si>
  <si>
    <t>RICON S 200/60 VS min
H: 16 SK 8x80; J: 16 SK 8x160</t>
  </si>
  <si>
    <t>RICON S 200/60 VS max
H: 16 SK 8x80; J: 16 SK 8x240</t>
  </si>
  <si>
    <t>GL30h</t>
  </si>
  <si>
    <t>RICON S 200/80 VS min
H: 16 SK 10x100; J: 16 SK10x200</t>
  </si>
  <si>
    <t>GL32c</t>
  </si>
  <si>
    <t>RICON S 200/80 VS max
H: 16 SK 10x100; J: 16 SK10x300</t>
  </si>
  <si>
    <t>GL32h</t>
  </si>
  <si>
    <t>RICON S 290/80 VS min
H: 25 SK 10x100; J: 25 SK10x200</t>
  </si>
  <si>
    <t>RICON S 290/80 VS max
H: 25 SK 10x100; J: 25 SK10x300</t>
  </si>
  <si>
    <t>RICON S 390/80 VS + ZP min
H: 28 SK 10x100; J: 28 SK 10x200</t>
  </si>
  <si>
    <t>RICON S 390/80 VS + ZP max
H: 28 SK 10x100; + 2 SK 10x400 
J: 28 SK 10x300 + 2 SK 10x450</t>
  </si>
  <si>
    <r>
      <t xml:space="preserve">Winkel 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  <scheme val="minor"/>
      </rPr>
      <t>=</t>
    </r>
  </si>
  <si>
    <t>kax =</t>
  </si>
  <si>
    <r>
      <t xml:space="preserve">charateristic density </t>
    </r>
    <r>
      <rPr>
        <sz val="11"/>
        <color theme="1"/>
        <rFont val="Symbol"/>
        <family val="1"/>
        <charset val="2"/>
      </rPr>
      <t>r</t>
    </r>
    <r>
      <rPr>
        <sz val="11"/>
        <color theme="1"/>
        <rFont val="Calibri"/>
        <family val="2"/>
        <scheme val="minor"/>
      </rPr>
      <t>k =</t>
    </r>
  </si>
  <si>
    <r>
      <t>= n^0,9 x F</t>
    </r>
    <r>
      <rPr>
        <vertAlign val="subscript"/>
        <sz val="11"/>
        <color indexed="8"/>
        <rFont val="Calibri"/>
        <family val="2"/>
      </rPr>
      <t>v,J,RK</t>
    </r>
  </si>
  <si>
    <t>RICON S 390/80 VS + ZP min</t>
  </si>
  <si>
    <t>RICON S 390/80 VS + ZP max</t>
  </si>
  <si>
    <r>
      <t>= n^0,9 x F</t>
    </r>
    <r>
      <rPr>
        <vertAlign val="subscript"/>
        <sz val="11"/>
        <color indexed="8"/>
        <rFont val="Calibri"/>
        <family val="2"/>
      </rPr>
      <t>H,J,RK</t>
    </r>
  </si>
  <si>
    <t>Design value F2,Rd [kN]</t>
  </si>
  <si>
    <t>RICON S 390/80 VS + ZP max
H: 28 SK 10x100; + 2 SK 10x400 
J: 28 SK 10x200 + 2 SK 10x450</t>
  </si>
  <si>
    <t>F2,IS,Rk =</t>
  </si>
  <si>
    <t>Screwing Joist</t>
  </si>
  <si>
    <t>Joist: 10 SK 8x160</t>
  </si>
  <si>
    <t>Joist: 10 SK 8x240</t>
  </si>
  <si>
    <t>Joist: 16 SK 8x160</t>
  </si>
  <si>
    <t>Joist: 16 SK 8x240</t>
  </si>
  <si>
    <t>Joist: 16 SK 10x200</t>
  </si>
  <si>
    <t>Joist: 16 SK 10x300</t>
  </si>
  <si>
    <t>Joist: 25 SK 10x200</t>
  </si>
  <si>
    <t>Joist: 25 SK 10x300</t>
  </si>
  <si>
    <t>Joist: 28 SK 10x200</t>
  </si>
  <si>
    <t>Joist: 28 SK 10x300
+2 SK10x450</t>
  </si>
  <si>
    <t>Screwing Header</t>
  </si>
  <si>
    <t>Joist: 10 SK 8x80</t>
  </si>
  <si>
    <t>Joist: 16 SK 8x80</t>
  </si>
  <si>
    <t>Joist: 16 SK 10x100</t>
  </si>
  <si>
    <t>Joist: 25 SK 10x100</t>
  </si>
  <si>
    <t>Joist: 28 SK 10x100</t>
  </si>
  <si>
    <t>Joist: 28 SK 10x100
+2 SK10x400</t>
  </si>
  <si>
    <r>
      <t>Load direction F</t>
    </r>
    <r>
      <rPr>
        <b/>
        <vertAlign val="subscript"/>
        <sz val="18"/>
        <color indexed="8"/>
        <rFont val="Calibri"/>
        <family val="2"/>
      </rPr>
      <t>1</t>
    </r>
    <r>
      <rPr>
        <b/>
        <sz val="18"/>
        <color indexed="8"/>
        <rFont val="Calibri"/>
        <family val="2"/>
      </rPr>
      <t xml:space="preserve"> perpendicular to the connector plate </t>
    </r>
  </si>
  <si>
    <r>
      <t>F</t>
    </r>
    <r>
      <rPr>
        <vertAlign val="subscript"/>
        <sz val="11"/>
        <color indexed="8"/>
        <rFont val="Calibri"/>
        <family val="2"/>
      </rPr>
      <t xml:space="preserve">t,Rk </t>
    </r>
  </si>
  <si>
    <t>Stainless steel</t>
  </si>
  <si>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  <scheme val="minor"/>
      </rPr>
      <t>M =</t>
    </r>
  </si>
  <si>
    <t>Walco V60/ WALCO 60 VK</t>
  </si>
  <si>
    <t>Walco V80/ WALCO 80 VK</t>
  </si>
  <si>
    <t>Walco V60/ WALCO 60 VS</t>
  </si>
  <si>
    <t>Walco V80/ WALCO 80 VS</t>
  </si>
  <si>
    <t>stainless steel</t>
  </si>
  <si>
    <r>
      <t>F</t>
    </r>
    <r>
      <rPr>
        <vertAlign val="subscript"/>
        <sz val="11"/>
        <rFont val="Calibri"/>
        <family val="2"/>
      </rPr>
      <t>3,KCC,Rk</t>
    </r>
    <r>
      <rPr>
        <sz val="11"/>
        <rFont val="Calibri"/>
        <family val="2"/>
      </rPr>
      <t xml:space="preserve"> </t>
    </r>
  </si>
  <si>
    <r>
      <t>F</t>
    </r>
    <r>
      <rPr>
        <vertAlign val="subscript"/>
        <sz val="11"/>
        <rFont val="Calibri"/>
        <family val="2"/>
      </rPr>
      <t>3,KCC,Rd</t>
    </r>
    <r>
      <rPr>
        <sz val="11"/>
        <rFont val="Calibri"/>
        <family val="2"/>
      </rPr>
      <t xml:space="preserve"> </t>
    </r>
  </si>
  <si>
    <t>1 Stirrup</t>
  </si>
  <si>
    <t>2 Stirrups</t>
  </si>
  <si>
    <t>RICON 40er A2 Version</t>
  </si>
  <si>
    <t>RICON 30er A2 Version</t>
  </si>
  <si>
    <t>RICON 20er A2 Version</t>
  </si>
  <si>
    <t>RICON 16er A2 Version</t>
  </si>
  <si>
    <r>
      <rPr>
        <sz val="11"/>
        <rFont val="Symbol"/>
        <family val="1"/>
        <charset val="2"/>
      </rPr>
      <t>g</t>
    </r>
    <r>
      <rPr>
        <vertAlign val="subscript"/>
        <sz val="11"/>
        <rFont val="Calibri"/>
        <family val="2"/>
        <scheme val="minor"/>
      </rPr>
      <t>M</t>
    </r>
    <r>
      <rPr>
        <sz val="11"/>
        <rFont val="Calibri"/>
        <family val="2"/>
        <scheme val="minor"/>
      </rPr>
      <t xml:space="preserve"> =</t>
    </r>
  </si>
  <si>
    <t>WALCO V60  / WALCO 60 VS</t>
  </si>
  <si>
    <t>WALCO V80  / WALCO 80 VS</t>
  </si>
  <si>
    <t>kax=</t>
  </si>
  <si>
    <t>RICON 60/40 carbon
H: 1xSK8x50, 2xSK5x50
J: 1xSK8x80; 2xSK5x80</t>
  </si>
  <si>
    <t>RICON 100/40 carbon
H: 2xSK8x50, 4xSK5x50
J: 2xSK8x80; 4xSK5x82</t>
  </si>
  <si>
    <t>RICON 140/40 carbon
H: 2xSK8x50, 8xSK5x50
J: 2xSK8x80; 8xSK5x80</t>
  </si>
  <si>
    <t>RICON 120/40 carbon
H: 2xSK8x50, 6xSK5x50
J: 2xSK8x80; 6xSK5x80</t>
  </si>
  <si>
    <t>RICON 80/40 carbon
H: 2xSK8x50, 2xSK5x50
J: 2xSK8x80; 2xSK5x80</t>
  </si>
  <si>
    <t>RICON 160/40 carbon
H: 2xSK8x50, 10xSK5x50
J: 2xSK8x80; 10xSK5x80</t>
  </si>
  <si>
    <t>RICON 140/40 SL carbon
H: 2xSK8x50, 8xSK5x50
J: 2xSK8x160; 8xSK5x80</t>
  </si>
  <si>
    <t>RICON 160/40 SL carbon
H: 2xSK8x50, 10xSK5x50
J: 2xSK8x160; 10xSK5x80</t>
  </si>
  <si>
    <t>Double RICON 80/40 carbon
H: 3x8x50; 4xSK5x50
J: 3xSK8x80; 4xSK5x80</t>
  </si>
  <si>
    <t>Double RICON 100/40 carbon
H: 3x8x50; 8xSK5x50
J: 3xSK8x80; 8xSK5x80</t>
  </si>
  <si>
    <t>Double RICON 120/40 carbon
H: 3x8x50; 12xSK5x50
J: 3xSK8x80; 12xSK5x80</t>
  </si>
  <si>
    <t>Double RICON 140/40 carbon
H: 3x8x50; 16xSK5x50
J: 3xSK8x80; 16xSK5x80</t>
  </si>
  <si>
    <t>Double RICON 160/40 carbon
H: 3x8x50; 20xSK5x50
J: 3xSK8x80; 20xSK5x80</t>
  </si>
  <si>
    <t>GIGANT 150/40
H: 4xSK10x80; 
J: 4xSK10x120</t>
  </si>
  <si>
    <t>GIGANT 120/40
H: 3xSK10x80 
J: 3xSK10x120</t>
  </si>
  <si>
    <t>GIGANT 180/40
H: 6xSK10x80 
J: 6xSK10x120</t>
  </si>
  <si>
    <t>GIGANT 120/40
H: 3xSK10x80
J: 3xSK8x120</t>
  </si>
  <si>
    <t>GIGANT 150/40 
without clip lock
H: 4xSK10x80
J: 4xSK10x120</t>
  </si>
  <si>
    <t>GIGANT 150/40 
with clip lock
H: 4xSK10x80
J: 4xSK10x120</t>
  </si>
  <si>
    <t>GIGANT 180/40 
without clip lock
H: 6xSK10x80
J: 6xSK10x120</t>
  </si>
  <si>
    <t>GIGANT 150/40 
with clip lock
H: 6xSK10x80
J: 5xSK10x120</t>
  </si>
  <si>
    <t>RICON S 140/60 EK min
H: 10 SK 8x80; J: 10 SK 8x160</t>
  </si>
  <si>
    <t>WALCO V Connector</t>
  </si>
  <si>
    <t>RICON S 140/60 EK max
H: 10 SK 8x80; J: 10 SK 8x240</t>
  </si>
  <si>
    <t>RICON S 200/60 EK min
H: 16 SK 8x80; J: 16 SK 8x160</t>
  </si>
  <si>
    <t>RICON S 200/60 EK max
H: 16 SK 8x80; J: 16 SK 8x240</t>
  </si>
  <si>
    <t>RICON S 290/80 EK 
H: 25 SK 10x100; J: 25 SK10x200</t>
  </si>
  <si>
    <t>RICON S 200/80 EK 
H: 16 SK 10x100; J: 16 SK10x200</t>
  </si>
  <si>
    <r>
      <t>= n^0,9 x F</t>
    </r>
    <r>
      <rPr>
        <vertAlign val="subscript"/>
        <sz val="11"/>
        <color theme="1"/>
        <rFont val="Calibri"/>
        <family val="2"/>
        <scheme val="minor"/>
      </rPr>
      <t>v,</t>
    </r>
    <r>
      <rPr>
        <vertAlign val="subscript"/>
        <sz val="11"/>
        <color indexed="8"/>
        <rFont val="Calibri"/>
        <family val="2"/>
      </rPr>
      <t>H,RK</t>
    </r>
  </si>
  <si>
    <t>RICON 60/40 A2
H: 1xSK 8x50, 2xSK5x50
J: 1xSK8x80; 2xSK5x80</t>
  </si>
  <si>
    <t>RICON 80/40 A2
H: 2xSK 8x50, 2xSK5x50
J: 2xSK8x80; 2xSK5x80</t>
  </si>
  <si>
    <t>RICON 100/40 A2
H: 2xSK 8x50, 4xSK5x50
J: 2xSK8x80; 4xSK5x80</t>
  </si>
  <si>
    <t>RICON 120/40 A2
H: 2xSK 8x50, 6xSK5x50
J: 2xSK8x80; 6xSK5x80</t>
  </si>
  <si>
    <t>RICON 140/40 A2
H: 2xSK 8x50, 8xSK5x50
J: 2xSK8x80; 8xSK5x80</t>
  </si>
  <si>
    <t>RICON 160/40 A2
H: 2xSK 8x50, 10xSK5x50
J: 2xSK8x80; 10xSK5x80</t>
  </si>
  <si>
    <t>Double RICON 80/40 A2
H: 3xSK 8x50; 4xSK5x50
J: 3xSK8x80; 4xSK5x80</t>
  </si>
  <si>
    <t>Double RICON 100/40 A2
H: 3xSK 8x50; 8xSK5x50
J: 3xSK8x80; 8xSK5x80</t>
  </si>
  <si>
    <t>Double RICON 120/40 A2
H: 3xSK 8x50; 12xSK5x50
J: 3xSK8x80; 12xSK5x80</t>
  </si>
  <si>
    <t>Double RICON 140/40 A2
H: 3xSK 8x50; 16xSK5x50
J: 3xSK8x80; 16xSK5x80</t>
  </si>
  <si>
    <t>Double RICON 160/40 A2
H: 3xSK 8x50; 20xSK5x50
J: 3xSK8x80; 20xSK5x80</t>
  </si>
  <si>
    <t>RICON 60/30 A2
H: 1xSK 8x50, 2xSK5x50
J: 1xSK8x80; 2xSK5x80</t>
  </si>
  <si>
    <t>RICON 80/30 A2
H: 2xSK 8x50, 2xSK5x50
J: 2xSK8x80; 2xSK5x80</t>
  </si>
  <si>
    <t>RICON 100/30 A2
H: 2xSK 8x50, 4xSK5x50
J: 2xSK8x80; 4xSK5x80</t>
  </si>
  <si>
    <t>RICON 120/30 A2
H: 2xSK 8x50, 6xSK5x50
J: 2xSK8x80; 6xSK5x80</t>
  </si>
  <si>
    <t>RICON 140/30 A2
H: 2xSK 8x50, 8xSK5x50
J: 2xSK8x80; 8xSK5x80</t>
  </si>
  <si>
    <t>RICON 160/30 A2
H: 2xSK 8x50, 10xSK5x50
J: 2xSK8x80; 10xSK5x80</t>
  </si>
  <si>
    <t>Double RICON 80/30 A2
H: 3xSK 8x50; 4xSK5x50
J: 3xSK8x80; 4xSK5x80</t>
  </si>
  <si>
    <t>Double RICON 100/30 A2
H: 3xSK 8x50; 8xSK5x50
J: 3xSK8x80; 8xSK5x80</t>
  </si>
  <si>
    <t>Double RICON 120/30 A2
H: 3xSK 8x50; 12xSK5x50
J: 3xSK8x80; 12xSK5x80</t>
  </si>
  <si>
    <t>Double RICON 140/30 A2
H: 3xSK 8x50; 16xSK5x50
J: 3xSK8x80; 16xSK5x80</t>
  </si>
  <si>
    <t>Double RICON 160/30 A2
H: 3xSK 8x50; 20xSK5x50
J: 3xSK8x80; 20xSK5x80</t>
  </si>
  <si>
    <t>RICON 70/20 A2
H: 3xSK5x50
J: 3xSK5x80</t>
  </si>
  <si>
    <t>RICON 66/16 A2
H: 3xSK5x50
J: 3xSK5x80</t>
  </si>
  <si>
    <r>
      <rPr>
        <sz val="11"/>
        <color theme="1"/>
        <rFont val="Symbol"/>
        <family val="1"/>
        <charset val="2"/>
      </rPr>
      <t>= g</t>
    </r>
    <r>
      <rPr>
        <sz val="11"/>
        <color theme="1"/>
        <rFont val="Calibri"/>
        <family val="2"/>
        <scheme val="minor"/>
      </rPr>
      <t xml:space="preserve">M </t>
    </r>
  </si>
  <si>
    <t>RICON :</t>
  </si>
  <si>
    <t>F2,KKC,RK</t>
  </si>
  <si>
    <t>F2,Rk</t>
  </si>
  <si>
    <t>Knapp Verbinder</t>
  </si>
  <si>
    <t>Char.  Werte [kN]</t>
  </si>
  <si>
    <t>GIGANT:</t>
  </si>
  <si>
    <t>RICON Edelstahl:</t>
  </si>
  <si>
    <t>Edelstahl</t>
  </si>
  <si>
    <t>Normalstahl</t>
  </si>
  <si>
    <t>RICON S EK</t>
  </si>
  <si>
    <t>RICON S VS</t>
  </si>
  <si>
    <t xml:space="preserve">Belastungswerte F2,Rd für GL24h [kN] </t>
  </si>
  <si>
    <t>RICON S 290/80 EK 
H: 20 SK 10x100; J: 20 SK10x200</t>
  </si>
  <si>
    <t>Belastungstabelle von KNAPP RICON, GIGANT und RICON S nach zukünftiger 
ETA 10-0189 (Gutachten Blaß vom 26.7.2018)</t>
  </si>
  <si>
    <t>RICON 60/40
H: 1xSK8x50, 2xSK5x50
J: 1xSK8x80; 2xSK5x80</t>
  </si>
  <si>
    <t>RICON 80/40 
H: 2xSK8x50, 2xSK5x50
J: 2xSK8x80; 2xSK5x80</t>
  </si>
  <si>
    <t>RICON 100/40 
H: 2xSK8x50, 4xSK5x50
J: 2xSK8x80; 4xSK5x82</t>
  </si>
  <si>
    <t>RICON 120/40 
H: 2xSK8x50, 6xSK5x50
J: 2xSK8x80; 6xSK5x80</t>
  </si>
  <si>
    <t>RICON 140/40 
H: 2xSK8x50, 8xSK5x50
J: 2xSK8x80; 8xSK5x80</t>
  </si>
  <si>
    <t>RICON 160/40 
H: 2xSK8x50, 10xSK5x50
J: 2xSK8x80; 10xSK5x80</t>
  </si>
  <si>
    <t>RICON 140/40 SL 
H: 2xSK8x80, 8xSK5x80
J: 2xSK8x160; 8xSK5x80</t>
  </si>
  <si>
    <t>RICON 160/40 SL 
H: 2xSK8x80, 10xSK5x80
J: 2xSK8x160; 10xSK5x80</t>
  </si>
  <si>
    <t>Double RICON 80/40 
H: 3x8x50; 4xSK5x50
J: 3xSK8x80; 4xSK5x80</t>
  </si>
  <si>
    <t>Double RICON 100/40 
H: 3x8x50; 8xSK5x50
J: 3xSK8x80; 8xSK5x80</t>
  </si>
  <si>
    <t>Double RICON 120/40 
H: 3x8x50; 12xSK5x50
J: 3xSK8x80; 12xSK5x80</t>
  </si>
  <si>
    <t>Double RICON 140/40 
H: 3x8x50; 16xSK5x50
J: 3xSK8x80; 16xSK5x80</t>
  </si>
  <si>
    <t>Double RICON 160/40 
H: 3x8x50; 20xSK5x50
J: 3xSK8x80; 20xSK5x80</t>
  </si>
  <si>
    <t>Ausmittige Glaslasten bis Glasstärken von 53 mm</t>
  </si>
  <si>
    <t>F4,Rk,ausmittig</t>
  </si>
  <si>
    <t>ohne VP</t>
  </si>
  <si>
    <t>mit VP</t>
  </si>
  <si>
    <t>ohne
VP</t>
  </si>
  <si>
    <t>mit
VP</t>
  </si>
  <si>
    <t>Total Glasgewicht [kg]</t>
  </si>
  <si>
    <t>Table for load-bearing capacity of KNAPP RICON, GIGANT and RICON S for future
ETA 10-0189 (export report of Blaß from 26.7.2018)</t>
  </si>
  <si>
    <r>
      <t xml:space="preserve">Service classes </t>
    </r>
    <r>
      <rPr>
        <sz val="14"/>
        <color rgb="FFFF0000"/>
        <rFont val="Calibri"/>
        <family val="2"/>
        <scheme val="minor"/>
      </rPr>
      <t>1+2</t>
    </r>
    <r>
      <rPr>
        <sz val="14"/>
        <color theme="1"/>
        <rFont val="Calibri"/>
        <family val="2"/>
        <scheme val="minor"/>
      </rPr>
      <t>: Indoor and outdoor roofed</t>
    </r>
  </si>
  <si>
    <t>Knapp connectors</t>
  </si>
  <si>
    <t>Standard steel</t>
  </si>
  <si>
    <t xml:space="preserve">Design values F2,Rd for GL24h [kN] </t>
  </si>
  <si>
    <t>RICON Stainless steel:</t>
  </si>
  <si>
    <t>Characteristic values [kN]</t>
  </si>
  <si>
    <r>
      <t xml:space="preserve">Service classes </t>
    </r>
    <r>
      <rPr>
        <sz val="14"/>
        <color rgb="FFFF0000"/>
        <rFont val="Calibri"/>
        <family val="2"/>
        <scheme val="minor"/>
      </rPr>
      <t>3</t>
    </r>
    <r>
      <rPr>
        <sz val="14"/>
        <color theme="1"/>
        <rFont val="Calibri"/>
        <family val="2"/>
        <scheme val="minor"/>
      </rPr>
      <t>: Outdoor</t>
    </r>
  </si>
  <si>
    <r>
      <t xml:space="preserve">Service classes </t>
    </r>
    <r>
      <rPr>
        <sz val="14"/>
        <color rgb="FFFF0000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: Indoor </t>
    </r>
  </si>
  <si>
    <t>Total glass load per latch [kg]</t>
  </si>
  <si>
    <t>without
RP</t>
  </si>
  <si>
    <t>wtíth
RP</t>
  </si>
  <si>
    <t>without RP</t>
  </si>
  <si>
    <t>with RP</t>
  </si>
  <si>
    <t>F4,Rk,eccentric</t>
  </si>
  <si>
    <t>Eccentric glass load up to 53 mm glass thickness</t>
  </si>
  <si>
    <t>RICON 60/40 A2
HT: 1xSK 8x50, 2xSK5x50
NT: 1xSK8x80; 2xSK5x80</t>
  </si>
  <si>
    <t>RICON 100/40 A2
HT: 2xSK 8x50, 4xSK5x50
NT: 2xSK8x80; 4xSK5x80</t>
  </si>
  <si>
    <t>RICON 120/40 A2
HT: 2xSK 8x50, 6xSK5x50
NT: 2xSK8x80; 6xSK5x80</t>
  </si>
  <si>
    <t>RICON 140/40 A2
HT: 2xSK 8x50, 8xSK5x50
NT: 2xSK8x80; 8xSK5x80</t>
  </si>
  <si>
    <t>Doppel RICON 100/40 A2
HT: 3xSK 8x50; 8xSK5x50
NT: 3xSK8x80; 8xSK5x80</t>
  </si>
  <si>
    <t>Doppel RICON 120/40 A2
HT: 3xSK 8x50; 12xSK5x50
NT: 3xSK8x80; 12xSK5x80</t>
  </si>
  <si>
    <t>Doppel RICON 140/40 A2
HT: 3xSK 8x50; 16xSK5x50
NT: 3xSK8x80; 16xSK5x80</t>
  </si>
  <si>
    <t>RICON 70/20 A2
HT: 3xSK5x50
NT: 3xSK5x80</t>
  </si>
  <si>
    <t>RICON 66/16 A2
HT: 3xSK5x50
NT: 3xSK5x80</t>
  </si>
  <si>
    <t>GIGANT 120/40
HT: 3xSK10x80
NT: 3xSK8x120</t>
  </si>
  <si>
    <t>GIGANT 150/40 
mit Sperrklappe
HT: 4xSK10x80
NT: 4xSK10x120</t>
  </si>
  <si>
    <t>GIGAJ:</t>
  </si>
  <si>
    <t>Belastungswerte in Einschubrichtung F2 für Brettschichtholz GL24h:</t>
  </si>
  <si>
    <t>Load-bearing values for insertion direction F2 for glulam GL24h:</t>
  </si>
  <si>
    <t>Load-bearing values perpendicular to the insertion direction F4 for glulam GL24h:</t>
  </si>
  <si>
    <t>Belastungswerte rechtwinklig zur Einschubrichtung F4 für Brettschichtholz GL24h:</t>
  </si>
  <si>
    <t>GIGANT 150/40 
mit Sperrklappe
H: 4xSK10x80
J: 4xSK10x120</t>
  </si>
  <si>
    <t>GIGANT 180/40 
mit Sperrklappe
H: 6xSK10x80
J: 6xSK10x120</t>
  </si>
  <si>
    <t>RICON:</t>
  </si>
  <si>
    <t>Knapp Verbinders</t>
  </si>
  <si>
    <t>RICON S EK:</t>
  </si>
  <si>
    <t>RICON S VS:</t>
  </si>
  <si>
    <t>50/180
50/200*</t>
  </si>
  <si>
    <t>50/220*</t>
  </si>
  <si>
    <t xml:space="preserve">50/260*
</t>
  </si>
  <si>
    <t xml:space="preserve">
50/300*
</t>
  </si>
  <si>
    <t>50/340*</t>
  </si>
  <si>
    <t>Min.
Nebenträgerabmessungen
[mm]</t>
  </si>
  <si>
    <t>100/160</t>
  </si>
  <si>
    <t>100/220</t>
  </si>
  <si>
    <t>100/260*
120/220*</t>
  </si>
  <si>
    <t>50/80
50/100*</t>
  </si>
  <si>
    <t>80/50</t>
  </si>
  <si>
    <t>100/50</t>
  </si>
  <si>
    <t>50/100
20/120*</t>
  </si>
  <si>
    <t>50/120
50/140*</t>
  </si>
  <si>
    <t>50/140
50/160*</t>
  </si>
  <si>
    <t>50/160
50/180*</t>
  </si>
  <si>
    <t>120/230</t>
  </si>
  <si>
    <t>120/320</t>
  </si>
  <si>
    <t>100/400*
120/340</t>
  </si>
  <si>
    <t>120/480*
160/360*</t>
  </si>
  <si>
    <t>120/560*
160/420*</t>
  </si>
  <si>
    <t>120/50</t>
  </si>
  <si>
    <t>140/50</t>
  </si>
  <si>
    <t>160/50</t>
  </si>
  <si>
    <t>180/50</t>
  </si>
  <si>
    <t>NutzungCSlasse 1+2: Innenbereich und Außen überdacht</t>
  </si>
  <si>
    <t>RICON 60/40
HT: 1xCS8x50, 2xCS5x50
NT: 1xCS8x80; 2xCS5x80</t>
  </si>
  <si>
    <t>RICON 60/40
H: 1xCS8x50, 2xCS5x50
J: 1xCS8x80; 2xCS5x80</t>
  </si>
  <si>
    <t>RICON 80/40 
HT: 2xCS8x50, 2xCS5x50
NT: 2xCS8x80; 2xCS5x80</t>
  </si>
  <si>
    <t>RICON 80/40 
H: 2xCS8x50, 2xCS5x50
J: 2xCS8x80; 2xCS5x80</t>
  </si>
  <si>
    <t>RICON 100/40 
HT: 2xCS8x50, 4xCS5x50
NT: 2xCS8x80; 4xCS5x82</t>
  </si>
  <si>
    <t>RICON 100/40 
H: 2xCS8x50, 4xCS5x50
J: 2xCS8x80; 4xCS5x82</t>
  </si>
  <si>
    <t>RICON 120/40 
HT: 2xCS8x50, 6xCS5x50
NT: 2xCS8x80; 6xCS5x80</t>
  </si>
  <si>
    <t>RICON 120/40 
H: 2xCS8x50, 6xCS5x50
J: 2xCS8x80; 6xCS5x80</t>
  </si>
  <si>
    <t>RICON 140/40 
HT: 2xCS8x50, 8xCS5x50
NT: 2xCS8x80; 8xCS5x80</t>
  </si>
  <si>
    <t>RICON 140/40 
H: 2xCS8x50, 8xCS5x50
J: 2xCS8x80; 8xCS5x80</t>
  </si>
  <si>
    <t>RICON 160/40 
HT: 2xCS8x50, 10xCS5x50
NT: 2xCS8x80; 10xCS5x80</t>
  </si>
  <si>
    <t>RICON 160/40 
H: 2xCS8x50, 10xCS5x50
J: 2xCS8x80; 10xCS5x80</t>
  </si>
  <si>
    <t>RICON 140/40 SL 
HT: 2xCS8x80, 8xCS5x80
NT: 2xCS8x160; 8xCS5x80</t>
  </si>
  <si>
    <t>RICON 140/40 SL 
H: 2xCS8x80, 8xCS5x80
J: 2xCS8x160; 8xCS5x80</t>
  </si>
  <si>
    <t>RICON 160/40 SL 
HT: 2xCS8x80, 10xCS5x80
NT: 2xCS8x160; 10xCS5x80</t>
  </si>
  <si>
    <t>RICON 160/40 SL 
H: 2xCS8x80, 10xCS5x80
J: 2xCS8x160; 10xCS5x80</t>
  </si>
  <si>
    <t>Doppel RICON 80/40 
HT: 3x8x50; 4xCS5x50
NT: 3xCS8x80; 4xCS5x80</t>
  </si>
  <si>
    <t>Double RICON 80/40 
H: 3x8x50; 4xCS5x50
J: 3xCS8x80; 4xCS5x80</t>
  </si>
  <si>
    <t>Doppel RICON 100/40 
HT: 3x8x50; 8xCS5x50
NT: 3xCS8x80; 8xCS5x80</t>
  </si>
  <si>
    <t>Double RICON 100/40 
H: 3x8x50; 8xCS5x50
J: 3xCS8x80; 8xCS5x80</t>
  </si>
  <si>
    <t>Doppel RICON 120/40 
HT: 3x8x50; 12xCS5x50
NT: 3xCS8x80; 12xCS5x80</t>
  </si>
  <si>
    <t>Double RICON 120/40 
H: 3x8x50; 12xCS5x50
J: 3xCS8x80; 12xCS5x80</t>
  </si>
  <si>
    <t>Doppel RICON 140/40 
HT: 3x8x50; 16xCS5x50
NT: 3xCS8x80; 16xCS5x80</t>
  </si>
  <si>
    <t>Double RICON 140/40 
H: 3x8x50; 16xCS5x50
J: 3xCS8x80; 16xCS5x80</t>
  </si>
  <si>
    <t>Doppel RICON 160/40 
HT: 3x8x50; 20xCS5x50
NT: 3xCS8x80; 20xCS5x80</t>
  </si>
  <si>
    <t>Double RICON 160/40 
H: 3x8x50; 20xCS5x50
J: 3xCS8x80; 20xCS5x80</t>
  </si>
  <si>
    <t>RICON 60/40 A2
HT: 1xCS 8x50, 2xCS5x50
NT: 1xCS8x80; 2xCS5x80</t>
  </si>
  <si>
    <t>RICON 60/40 A2
H: 1xCS 8x50, 2xCS5x50
J: 1xCS8x80; 2xCS5x80</t>
  </si>
  <si>
    <t>RICON 80/40 A2
HT: 2xCS 8x50, 2xCS5x50
NT: 2xCS8x80; 2xCS5x80</t>
  </si>
  <si>
    <t>RICON 80/40 A2
H: 2xCS 8x50, 2xCS5x50
J: 2xCS8x80; 2xCS5x80</t>
  </si>
  <si>
    <t>RICON 100/40 A2
HT: 2xCS 8x50, 4xCS5x50
NT: 2xCS8x80; 4xCS5x80</t>
  </si>
  <si>
    <t>RICON 100/40 A2
H: 2xCS 8x50, 4xCS5x50
J: 2xCS8x80; 4xCS5x80</t>
  </si>
  <si>
    <t>RICON 120/40 A2
HT: 2xCS 8x50, 6xCS5x50
NT: 2xCS8x80; 6xCS5x80</t>
  </si>
  <si>
    <t>RICON 120/40 A2
H: 2xCS 8x50, 6xCS5x50
J: 2xCS8x80; 6xCS5x80</t>
  </si>
  <si>
    <t>RICON 140/40 A2
HT: 2xCS 8x50, 8xCS5x50
NT: 2xCS8x80; 8xCS5x80</t>
  </si>
  <si>
    <t>RICON 140/40 A2
H: 2xCS 8x50, 8xCS5x50
J: 2xCS8x80; 8xCS5x80</t>
  </si>
  <si>
    <t>RICON 160/40 A2
HT: 2xCS 8x50, 10xCS5x50
NT: 2xCS8x80; 10xCS5x80</t>
  </si>
  <si>
    <t>RICON 160/40 A2
H: 2xCS 8x50, 10xCS5x50
J: 2xCS8x80; 10xCS5x80</t>
  </si>
  <si>
    <t>Doppel RICON 80/40 A2
HT: 3xCS 8x50; 4xCS5x50
NT: 3xCS8x80; 4xCS5x80</t>
  </si>
  <si>
    <t>Double RICON 80/40 A2
H: 3xCS 8x50; 4xCS5x50
J: 3xCS8x80; 4xCS5x80</t>
  </si>
  <si>
    <t>Doppel RICON 100/40 A2
HT: 3xCS 8x50; 8xCS5x50
NT: 3xCS8x80; 8xCS5x80</t>
  </si>
  <si>
    <t>Double RICON 100/40 A2
H: 3xCS 8x50; 8xCS5x50
J: 3xCS8x80; 8xCS5x80</t>
  </si>
  <si>
    <t>Doppel RICON 120/40 A2
HT: 3xCS 8x50; 12xCS5x50
NT: 3xCS8x80; 12xCS5x80</t>
  </si>
  <si>
    <t>Double RICON 120/40 A2
H: 3xCS 8x50; 12xCS5x50
J: 3xCS8x80; 12xCS5x80</t>
  </si>
  <si>
    <t>Doppel RICON 140/40 A2
HT: 3xCS 8x50; 16xCS5x50
NT: 3xCS8x80; 16xCS5x80</t>
  </si>
  <si>
    <t>Double RICON 140/40 A2
H: 3xCS 8x50; 16xCS5x50
J: 3xCS8x80; 16xCS5x80</t>
  </si>
  <si>
    <t>Doppel RICON 160/40 A2
HT: 3xCS 8x50; 20xCS5x50
NT: 3xCS8x80; 20xCS5x80</t>
  </si>
  <si>
    <t>Double RICON 160/40 A2
H: 3xCS 8x50; 20xCS5x50
J: 3xCS8x80; 20xCS5x80</t>
  </si>
  <si>
    <t>RICON 60/30 A2
HT: 1xCS 8x50, 2xCS5x50
NT: 1xCS8x80; 2xCS5x80</t>
  </si>
  <si>
    <t>RICON 60/30 A2
H: 1xCS 8x50, 2xCS5x50
J: 1xCS8x80; 2xCS5x80</t>
  </si>
  <si>
    <t>RICON 80/30 A2
HT: 2xCS 8x50, 2xCS5x50
NT: 2xCS8x80; 2xCS5x80</t>
  </si>
  <si>
    <t>RICON 80/30 A2
H: 2xCS 8x50, 2xCS5x50
J: 2xCS8x80; 2xCS5x80</t>
  </si>
  <si>
    <t>RICON 100/30 A2
HT: 2xCS 8x50, 4xCS5x50
NT: 2xCS8x80; 4xCS5x80</t>
  </si>
  <si>
    <t>RICON 100/30 A2
H: 2xCS 8x50, 4xCS5x50
J: 2xCS8x80; 4xCS5x80</t>
  </si>
  <si>
    <t>RICON 120/30 A2
HT: 2xCS 8x50, 6xCS5x50
NT: 2xCS8x80; 6xCS5x80</t>
  </si>
  <si>
    <t>RICON 120/30 A2
H: 2xCS 8x50, 6xCS5x50
J: 2xCS8x80; 6xCS5x80</t>
  </si>
  <si>
    <t>RICON 140/30 A2
HT: 2xCS 8x50, 8xCS5x50
NT: 2xCS8x80; 8xCS5x80</t>
  </si>
  <si>
    <t>RICON 140/30 A2
H: 2xCS 8x50, 8xCS5x50
J: 2xCS8x80; 8xCS5x80</t>
  </si>
  <si>
    <t>RICON 160/30 A2
HT: 2xCS 8x50, 10xCS5x50
NT: 2xCS8x80; 10xCS5x80</t>
  </si>
  <si>
    <t>RICON 160/30 A2
H: 2xCS 8x50, 10xCS5x50
J: 2xCS8x80; 10xCS5x80</t>
  </si>
  <si>
    <t>Doppel RICON 80/30 A2
HT: 3xCS 8x50; 4xCS5x50
NT: 3xCS8x80; 4xCS5x80</t>
  </si>
  <si>
    <t>Double RICON 80/30 A2
H: 3xCS 8x50; 4xCS5x50
J: 3xCS8x80; 4xCS5x80</t>
  </si>
  <si>
    <t>Doppel RICON 100/30 A2
HT: 3xCS 8x50; 8xCS5x50
NT: 3xCS8x80; 8xCS5x80</t>
  </si>
  <si>
    <t>Double RICON 100/30 A2
H: 3xCS 8x50; 8xCS5x50
J: 3xCS8x80; 8xCS5x80</t>
  </si>
  <si>
    <t>Doppel RICON 120/30 A2
HT: 3xCS 8x50; 12xCS5x50
NT: 3xCS8x80; 12xCS5x80</t>
  </si>
  <si>
    <t>Double RICON 120/30 A2
H: 3xCS 8x50; 12xCS5x50
J: 3xCS8x80; 12xCS5x80</t>
  </si>
  <si>
    <t>Doppel RICON 140/30 A2
HT: 3xCS 8x50; 16xCS5x50
NT: 3xCS8x80; 16xCS5x80</t>
  </si>
  <si>
    <t>Double RICON 140/30 A2
H: 3xCS 8x50; 16xCS5x50
J: 3xCS8x80; 16xCS5x80</t>
  </si>
  <si>
    <t>Doppel RICON 160/30 A2
HT: 3xCS 8x50; 20xCS5x50
NT: 3xCS8x80; 20xCS5x80</t>
  </si>
  <si>
    <t>Double RICON 160/30 A2
H: 3xCS 8x50; 20xCS5x50
J: 3xCS8x80; 20xCS5x80</t>
  </si>
  <si>
    <t>RICON 70/20 A2
HT: 3xCS5x50
NT: 3xCS5x80</t>
  </si>
  <si>
    <t>RICON 70/20 A2
H: 3xCS5x50
J: 3xCS5x80</t>
  </si>
  <si>
    <t>RICON 66/16 A2
HT: 3xCS5x50
NT: 3xCS5x80</t>
  </si>
  <si>
    <t>RICON 66/16 A2
H: 3xCS5x50
J: 3xCS5x80</t>
  </si>
  <si>
    <t>NutzungCSlasse 3: Außenbereich</t>
  </si>
  <si>
    <t>GIGANT 120/40
HT: 3xCS10x80
NT: 3xCS8x120</t>
  </si>
  <si>
    <t>GIGANT 120/40
H: 3xCS10x80
J: 3xCS8x120</t>
  </si>
  <si>
    <t>GIGANT 150/40 
without clip lock
HT: 4xCS10x80
NT: 4xCS10x120</t>
  </si>
  <si>
    <t>GIGANT 150/40 
without clip lock
H: 4xCS10x80
J: 4xCS10x120</t>
  </si>
  <si>
    <t>GIGANT 150/40 
mit Sperrklappe
HT: 4xCS10x80
NT: 4xCS10x120</t>
  </si>
  <si>
    <t>GIGANT 150/40 
with clip lock
H: 4xCS10x80
J: 4xCS10x120</t>
  </si>
  <si>
    <t>GIGANT 180/40 
without clip lock
HT: 6xCS10x80
NT: 6xCS10x120</t>
  </si>
  <si>
    <t>GIGANT 180/40 
without clip lock
H: 6xCS10x80
J: 6xCS10x120</t>
  </si>
  <si>
    <t>GIGANT 150/40 
mit Sperrklappe
HT: 6xCS10x80
NT: 5xCS10x120</t>
  </si>
  <si>
    <t>GIGANT 150/40 
with clip lock
H: 6xCS10x80
J: 5xCS10x120</t>
  </si>
  <si>
    <t>RICON S 140/60 EK min
HT: 10 CS 8x80; NT: 10 CS 8x160</t>
  </si>
  <si>
    <t>RICON S 140/60 EK max
HT: 10 CS 8x80; NT: 10 CS 8x240</t>
  </si>
  <si>
    <t>RICON S 200/60 EK min
HT: 16 CS 8x80; NT: 16 CS 8x160</t>
  </si>
  <si>
    <t>RICON S 200/60 EK max
HT: 16 CS 8x80; NT: 16 CS 8x240</t>
  </si>
  <si>
    <t>RICON S 200/80 EK 
HT: 16 CS 10x100; NT: 16 CS10x200</t>
  </si>
  <si>
    <t>RICON S 290/80 EK 
HT: 20 CS 10x100; NT: 20 CS10x200</t>
  </si>
  <si>
    <t>RICON S 140/60 VS min
HT: 10 CS 8x80; NT: 10 CS 8x160</t>
  </si>
  <si>
    <t>RICON S 140/60 VS max
HT: 10 CS 8x80; NT: 10 CS 8x240</t>
  </si>
  <si>
    <t>RICON S 200/60 VS min
HT: 16 CS 8x80; NT: 16 CS 8x160</t>
  </si>
  <si>
    <t>RICON S 200/60 VS max
HT: 16 CS 8x80; NT: 16 CS 8x240</t>
  </si>
  <si>
    <t>RICON S 200/80 VS min
HT: 16 CS 10x100; NT: 16 CS10x200</t>
  </si>
  <si>
    <t>RICON S 200/80 VS max
HT: 16 CS 10x100; NT: 16 CS10x300</t>
  </si>
  <si>
    <t>RICON S 290/80 VS min
HT: 25 CS 10x100; NT: 25 CS10x200</t>
  </si>
  <si>
    <t>RICON S 290/80 VS max
HT: 25 CS 10x100; NT: 25 CS10x300</t>
  </si>
  <si>
    <t>RICON S 390/80 VS + ZP max
HT: 28 CS 10x100; + 2 CS 10x400 
NT: 28 CS 10x200 + 2 CS 10x450</t>
  </si>
  <si>
    <t>RICON S 390/80 VS + ZP max
H: 28 CS 10x100; + 2 CS 10x400 
J: 28 CS 10x200 + 2 CS 10x450</t>
  </si>
  <si>
    <t>RICON S 390/80 VS + ZP max
HT: 28 CS 10x100; + 2 CS 10x400 
NT: 28 CS 10x300 + 2 CS 10x450</t>
  </si>
  <si>
    <t>RICON S 390/80 VS + ZP max
H: 28 CS 10x100; + 2 CS 10x400 
J: 28 CS 10x300 + 2 CS 10x450</t>
  </si>
  <si>
    <t xml:space="preserve">NutzungCSlasse 1: Innenbereich </t>
  </si>
  <si>
    <t>section [mm]</t>
  </si>
  <si>
    <t>Min. joint cross</t>
  </si>
  <si>
    <t>Min. joint cross
section [mm]</t>
  </si>
  <si>
    <t>30/86</t>
  </si>
  <si>
    <t>30/90</t>
  </si>
  <si>
    <t>60/150</t>
  </si>
  <si>
    <t>GIGANT 150/40 
ohne Sperrklappe
HT: 4xSK10x80
NT: 4xSK10x120</t>
  </si>
  <si>
    <t>GIGANT 180/40 
ohne Sperrklappe
HT: 6xSK10x80
NT: 6xSK10x120</t>
  </si>
  <si>
    <t>GIGANT 180/40 
mit Sperrklappe
HT: 6xSK10x80
NT: 5xSK10x120</t>
  </si>
  <si>
    <t>100/260
120/220</t>
  </si>
  <si>
    <t>100/220
120/340</t>
  </si>
  <si>
    <t>120/800
140/680
160/600</t>
  </si>
  <si>
    <t xml:space="preserve">120/720
140/640
160/520
</t>
  </si>
  <si>
    <t>50/180</t>
  </si>
  <si>
    <t>50/220</t>
  </si>
  <si>
    <t xml:space="preserve">50/260
</t>
  </si>
  <si>
    <t xml:space="preserve">
50/300
</t>
  </si>
  <si>
    <t>50/340</t>
  </si>
  <si>
    <t>60/200</t>
  </si>
  <si>
    <t>80/200</t>
  </si>
  <si>
    <t>60/220</t>
  </si>
  <si>
    <t>80/220</t>
  </si>
  <si>
    <t>RICON S 290/80 VS max
H: 25 CS 10x100;
J: 25 CS10x300</t>
  </si>
  <si>
    <t>RICON S 290/80 VS min
H: 25 CS 10x100;
J: 25 CS10x200</t>
  </si>
  <si>
    <t>RICON S 200/80 VS max
H: 16 CS 10x100;
J: 16 CS10x300</t>
  </si>
  <si>
    <t>RICON S 200/80 VS min
H: 16 CS 10x100;
J: 16 CS10x200</t>
  </si>
  <si>
    <t>RICON S 200/60 VS max
H: 16 CS 8x80;
J: 16 CS 8x240</t>
  </si>
  <si>
    <t>RICON S 200/60 VS min
H: 16 CS 8x80;
J: 16 CS 8x160</t>
  </si>
  <si>
    <t>RICON S 140/60 VS max
H: 10 CS 8x80;
J: 10 CS 8x240</t>
  </si>
  <si>
    <t>RICON S 140/60 VS min
H: 10 CS 8x80; 
J: 10 CS 8x160</t>
  </si>
  <si>
    <t>RICON S 140/60 EK min
H: 10 CS 8x80;
J: 10 CS 8x160</t>
  </si>
  <si>
    <t>RICON S 140/60 EK max
H: 10 CS 8x80;
J: 10 CS 8x240</t>
  </si>
  <si>
    <t>RICON S 200/60 EK min
H: 16 CS 8x80;
J: 16 CS 8x160</t>
  </si>
  <si>
    <t>RICON S 200/60 EK max
H: 16 CS 8x80;
J: 16 CS 8x240</t>
  </si>
  <si>
    <t>RICON S 200/80 EK 
H: 16 CS 10x100;
J: 16 CS10x200</t>
  </si>
  <si>
    <t>RICON S 290/80 EK 
H: 20 CS 10x100;
J: 20 CS10x200</t>
  </si>
  <si>
    <t>50/100
50/120*</t>
  </si>
  <si>
    <t>Belastungstabelle von KNAPP RICON nach zukünftiger ETA 10-0189 (Gutachten Blaß vom 26.7.2018)</t>
  </si>
  <si>
    <t>Holzart:</t>
  </si>
  <si>
    <t>Brettschichtholz kombiniert</t>
  </si>
  <si>
    <t>Brettschichtholz homogen</t>
  </si>
  <si>
    <t>GL28c</t>
  </si>
  <si>
    <t>GL30c</t>
  </si>
  <si>
    <t>Nadelholz KVH/ Vollholz</t>
  </si>
  <si>
    <t>RICON S Connector:</t>
  </si>
  <si>
    <t>Nutzungsklasse NKL:</t>
  </si>
  <si>
    <t>NKL</t>
  </si>
  <si>
    <t>Innenbereich</t>
  </si>
  <si>
    <t>Außenbereich überdacht</t>
  </si>
  <si>
    <t>Außenbreich</t>
  </si>
  <si>
    <t>Bereich</t>
  </si>
  <si>
    <t>LH D30</t>
  </si>
  <si>
    <t>Laubholz (z.B. Eiche)</t>
  </si>
  <si>
    <t>FST D70</t>
  </si>
  <si>
    <r>
      <t xml:space="preserve">Service classes </t>
    </r>
    <r>
      <rPr>
        <sz val="16"/>
        <color rgb="FFFF0000"/>
        <rFont val="Calibri"/>
        <family val="2"/>
        <scheme val="minor"/>
      </rPr>
      <t>1+2</t>
    </r>
    <r>
      <rPr>
        <sz val="16"/>
        <color theme="1"/>
        <rFont val="Calibri"/>
        <family val="2"/>
        <scheme val="minor"/>
      </rPr>
      <t>: Indoor and outdoor roofed</t>
    </r>
  </si>
  <si>
    <t>Belastungswerte</t>
  </si>
  <si>
    <t>Indoor</t>
  </si>
  <si>
    <t>Outdoor roofed</t>
  </si>
  <si>
    <t>Outdoor</t>
  </si>
  <si>
    <r>
      <t xml:space="preserve">Load-bearing values for insertion direction </t>
    </r>
    <r>
      <rPr>
        <b/>
        <sz val="16"/>
        <color rgb="FFFF0000"/>
        <rFont val="Calibri"/>
        <family val="2"/>
        <scheme val="minor"/>
      </rPr>
      <t xml:space="preserve">F2 </t>
    </r>
  </si>
  <si>
    <t>Service class:</t>
  </si>
  <si>
    <t>Load-bearing values</t>
  </si>
  <si>
    <r>
      <t xml:space="preserve">perpendicular to the insertion direction </t>
    </r>
    <r>
      <rPr>
        <b/>
        <sz val="16"/>
        <color rgb="FFFF0000"/>
        <rFont val="Calibri"/>
        <family val="2"/>
        <scheme val="minor"/>
      </rPr>
      <t xml:space="preserve">F4 </t>
    </r>
  </si>
  <si>
    <t>EN</t>
  </si>
  <si>
    <t>Solid timber</t>
  </si>
  <si>
    <r>
      <t xml:space="preserve">Belastungswerte in Einschubrichtung </t>
    </r>
    <r>
      <rPr>
        <b/>
        <sz val="16"/>
        <color rgb="FFFF0000"/>
        <rFont val="Calibri"/>
        <family val="2"/>
        <scheme val="minor"/>
      </rPr>
      <t xml:space="preserve">F2 </t>
    </r>
  </si>
  <si>
    <t>Belastungstabelle von KNAPP GIGANT nach zukünftiger ETA 10-0189 (Gutachten Blaß vom 26.7.2018)</t>
  </si>
  <si>
    <t>Belastungstabelle von KNAPP RICON S nach zukünftiger ETA 10-0189 (Gutachten Blaß vom 26.7.2018)</t>
  </si>
  <si>
    <r>
      <t>rechtwinklig zur Einschubrichtung</t>
    </r>
    <r>
      <rPr>
        <b/>
        <sz val="16"/>
        <color rgb="FFFF0000"/>
        <rFont val="Calibri"/>
        <family val="2"/>
        <scheme val="minor"/>
      </rPr>
      <t xml:space="preserve"> F4</t>
    </r>
  </si>
  <si>
    <t>Glued laminated timber - combined</t>
  </si>
  <si>
    <t>Glued laminated timber - homogeneous</t>
  </si>
  <si>
    <t>Solid wood</t>
  </si>
  <si>
    <t>Glued laminated timber - homogenous</t>
  </si>
  <si>
    <t>Harwood (e.g. oak)</t>
  </si>
  <si>
    <t>Laminated veneer lumber BauBuche GL75</t>
  </si>
  <si>
    <t>Furnierschichtholz Baubuche GL75</t>
  </si>
  <si>
    <r>
      <t>Load-bearing values for insertion direction</t>
    </r>
    <r>
      <rPr>
        <b/>
        <sz val="16"/>
        <color rgb="FFFF0000"/>
        <rFont val="Calibri"/>
        <family val="2"/>
        <scheme val="minor"/>
      </rPr>
      <t xml:space="preserve"> F2</t>
    </r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</si>
  <si>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</si>
  <si>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r>
      <t xml:space="preserve"> 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=1,3 </t>
    </r>
  </si>
  <si>
    <r>
      <rPr>
        <sz val="10"/>
        <color theme="1"/>
        <rFont val="Symbol"/>
        <family val="1"/>
        <charset val="2"/>
      </rPr>
      <t>g</t>
    </r>
    <r>
      <rPr>
        <vertAlign val="subscript"/>
        <sz val="10"/>
        <color theme="1"/>
        <rFont val="Calibri"/>
        <family val="2"/>
        <scheme val="minor"/>
      </rPr>
      <t>M</t>
    </r>
    <r>
      <rPr>
        <sz val="10"/>
        <color theme="1"/>
        <rFont val="Calibri"/>
        <family val="2"/>
        <scheme val="minor"/>
      </rPr>
      <t xml:space="preserve"> =1,3 </t>
    </r>
  </si>
  <si>
    <t>RICON 80/40 
HT: 2xSK8x50, 2xSK5x50
NT: 2xSK8x80, 2xSK5x80</t>
  </si>
  <si>
    <t>RICON 60/40
HT: 1xSK8x50, 2xSK5x50
NT: 1xSK8x80, 2xSK5x80</t>
  </si>
  <si>
    <t>RICON 120/40 
HT: 2xSK8x50, 6xSK5x50
NT: 2xSK8x80, 6xSK5x80</t>
  </si>
  <si>
    <t>RICON 100/40 
HT: 2xSK8x50, 4xSK5x50
NT: 2xSK8x80, 4xSK5x80</t>
  </si>
  <si>
    <t>RICON 140/40 
HT: 2xSK8x50, 8xSK5x50
NT: 2xSK8x80, 8xSK5x80</t>
  </si>
  <si>
    <t>RICON 160/40 
HT: 2xSK8x50, 10xSK5x50
NT: 2xSK8x80, 10xSK5x80</t>
  </si>
  <si>
    <r>
      <rPr>
        <b/>
        <sz val="11"/>
        <color rgb="FFFF0000"/>
        <rFont val="Calibri"/>
        <family val="2"/>
        <scheme val="minor"/>
      </rPr>
      <t xml:space="preserve">RICON 140/40 SL </t>
    </r>
    <r>
      <rPr>
        <sz val="11"/>
        <color rgb="FFFF0000"/>
        <rFont val="Calibri"/>
        <family val="2"/>
        <scheme val="minor"/>
      </rPr>
      <t xml:space="preserve">
HT: 2xSK8x50, 8xSK5x50
NT: </t>
    </r>
    <r>
      <rPr>
        <b/>
        <sz val="11"/>
        <color rgb="FFFF0000"/>
        <rFont val="Calibri"/>
        <family val="2"/>
        <scheme val="minor"/>
      </rPr>
      <t>2xSK8x160,</t>
    </r>
    <r>
      <rPr>
        <sz val="11"/>
        <color rgb="FFFF0000"/>
        <rFont val="Calibri"/>
        <family val="2"/>
        <scheme val="minor"/>
      </rPr>
      <t xml:space="preserve"> 8xSK5x80</t>
    </r>
  </si>
  <si>
    <r>
      <rPr>
        <b/>
        <sz val="11"/>
        <color rgb="FFFF0000"/>
        <rFont val="Calibri"/>
        <family val="2"/>
        <scheme val="minor"/>
      </rPr>
      <t xml:space="preserve">RICON 160/40 SL </t>
    </r>
    <r>
      <rPr>
        <sz val="11"/>
        <color rgb="FFFF0000"/>
        <rFont val="Calibri"/>
        <family val="2"/>
        <scheme val="minor"/>
      </rPr>
      <t xml:space="preserve">
HT: 2xSK8x50, 10xSK5x50
NT: </t>
    </r>
    <r>
      <rPr>
        <b/>
        <sz val="11"/>
        <color rgb="FFFF0000"/>
        <rFont val="Calibri"/>
        <family val="2"/>
        <scheme val="minor"/>
      </rPr>
      <t>2xSK8x160,</t>
    </r>
    <r>
      <rPr>
        <sz val="11"/>
        <color rgb="FFFF0000"/>
        <rFont val="Calibri"/>
        <family val="2"/>
        <scheme val="minor"/>
      </rPr>
      <t xml:space="preserve"> 10xSK5x80</t>
    </r>
  </si>
  <si>
    <t>Doppel RICON 80/40 
HT: 3x8x50, 4xSK5x50
NT: 3xSK8x80, 4xSK5x80</t>
  </si>
  <si>
    <t>Doppel RICON 100/40 
HT: 3x8x50, 8xSK5x50
NT: 3xSK8x80, 8xSK5x80</t>
  </si>
  <si>
    <t>Doppel RICON 120/40 
HT: 3x8x50, 12xSK5x50
NT: 3xSK8x80, 12xSK5x80</t>
  </si>
  <si>
    <t>Doppel RICON 140/40 
HT: 3x8x50, 16xSK5x50
NT: 3xSK8x80, 16xSK5x80</t>
  </si>
  <si>
    <t>Doppel RICON 160/40 
HT: 3x8x50, 20xSK5x50
NT: 3xSK8x80, 20xSK5x80</t>
  </si>
  <si>
    <r>
      <rPr>
        <b/>
        <sz val="11"/>
        <rFont val="Calibri"/>
        <family val="2"/>
        <scheme val="minor"/>
      </rPr>
      <t xml:space="preserve">RICON 140/40 SL </t>
    </r>
    <r>
      <rPr>
        <sz val="11"/>
        <rFont val="Calibri"/>
        <family val="2"/>
        <scheme val="minor"/>
      </rPr>
      <t xml:space="preserve">
HT: 2xSK8x50, 8xSK5x50
NT: </t>
    </r>
    <r>
      <rPr>
        <b/>
        <sz val="11"/>
        <rFont val="Calibri"/>
        <family val="2"/>
        <scheme val="minor"/>
      </rPr>
      <t>2xSK8x160,</t>
    </r>
    <r>
      <rPr>
        <sz val="11"/>
        <rFont val="Calibri"/>
        <family val="2"/>
        <scheme val="minor"/>
      </rPr>
      <t xml:space="preserve"> 8xSK5x80</t>
    </r>
  </si>
  <si>
    <r>
      <rPr>
        <b/>
        <sz val="11"/>
        <rFont val="Calibri"/>
        <family val="2"/>
        <scheme val="minor"/>
      </rPr>
      <t xml:space="preserve">RICON 160/40 SL </t>
    </r>
    <r>
      <rPr>
        <sz val="11"/>
        <rFont val="Calibri"/>
        <family val="2"/>
        <scheme val="minor"/>
      </rPr>
      <t xml:space="preserve">
HT: 2xSK8x50, 10xSK5x50
NT:</t>
    </r>
    <r>
      <rPr>
        <b/>
        <sz val="11"/>
        <rFont val="Calibri"/>
        <family val="2"/>
        <scheme val="minor"/>
      </rPr>
      <t xml:space="preserve"> 2xSK8x160,</t>
    </r>
    <r>
      <rPr>
        <sz val="11"/>
        <rFont val="Calibri"/>
        <family val="2"/>
        <scheme val="minor"/>
      </rPr>
      <t xml:space="preserve"> 10xSK5x80</t>
    </r>
  </si>
  <si>
    <t>Doppel RICON 160/40 
HT: 3xSK8x50, 20xSK5x50
NT: 3xSK8x80, 20xSK5x80</t>
  </si>
  <si>
    <t>Doppel RICON 140/40 
HT: 3xSK8x50, 16xSK5x50
NT: 3xSK8x80, 16xSK5x80</t>
  </si>
  <si>
    <t>Doppel RICON 120/40 
HT: 3xSK8x50, 12xSK5x50
NT: 3xSK8x80, 12xSK5x80</t>
  </si>
  <si>
    <t>Doppel RICON 100/40 
HT: 3xSK8x50, 8xSK5x50
NT: 3xSK8x80, 8xSK5x80</t>
  </si>
  <si>
    <t>Doppel RICON 80/40 
HT: 3xSK8x50, 4xSK5x50
NT: 3xSK8x80, 4xSK5x80</t>
  </si>
  <si>
    <t>RICON S 290/80 VS max
HT: 25 SK 10x100
NT: 25 SK 10x300</t>
  </si>
  <si>
    <t>Doppel RICON 160/30 A2
HT: 3xSK8x50, 20xSK5x50
NT: 3xSK8x80, 20xSK5x80</t>
  </si>
  <si>
    <t>Doppel RICON 120/30 A2
HT: 3xSK8x50, 12xSK5x50
NT: 3xSK8x80, 12xSK5x80</t>
  </si>
  <si>
    <t>Doppel RICON 140/30 A2
HT: 3xSK8x50, 16xSK5x50
NT: 3xSK8x80, 16xSK5x80</t>
  </si>
  <si>
    <t>Doppel RICON 100/30 A2
HT: 3xSK8x50, 8xSK5x50
NT: 3xSK8x80, 8xSK5x80</t>
  </si>
  <si>
    <t>Doppel RICON 80/30 A2
HT: 3xSK8x50, 4xSK5x50
NT: 3xSK8x80, 4xSK5x80</t>
  </si>
  <si>
    <t>RICON 160/30 A2
HT: 2xSK8x50, 10xSK5x50
NT: 2xSK8x80, 10xSK5x80</t>
  </si>
  <si>
    <t>RICON 140/30 A2
HT: 2xSK8x50, 8xSK5x50
NT: 2xSK8x80, 8xSK5x80</t>
  </si>
  <si>
    <t>RICON 120/30 A2
HT: 2xSK8x50, 6xSK5x50
NT: 2xSK8x80, 6xSK5x80</t>
  </si>
  <si>
    <t>RICON 100/30 A2
HT: 2xSK8x50, 4xSK5x50
NT: 2xSK8x80, 4xSK5x80</t>
  </si>
  <si>
    <t>RICON 80/30 A2
HT: 2xSK8x50, 2xSK5x50
NT: 2xSK8x80, 2xSK5x80</t>
  </si>
  <si>
    <t>RICON 60/30 A2
HT: 1xSK8x50, 2xSK5x50
NT: 1xSK8x80, 2xSK5x80</t>
  </si>
  <si>
    <t>Doppel RICON 160/40 A2
HT: 3xSK8x50, 20xSK5x50
NT: 3xSK8x80, 20xSK5x80</t>
  </si>
  <si>
    <t>Doppel RICON 80/40 A2
HT: 3xSK8x50, 4xSK5x50
NT: 3xSK8x80, 4xSK5x80</t>
  </si>
  <si>
    <t>RICON 80/40 A2
HT: 2xSK8x50, 2xSK5x50
NT: 2xSK8x80, 2xSK5x80</t>
  </si>
  <si>
    <t>RICON 160/40 A2
HT: 2xSK8x50, 10xSK5x50
NT: 2xSK8x80, 10xSK5x80</t>
  </si>
  <si>
    <t>Carbon steel</t>
  </si>
  <si>
    <r>
      <t>Belastungswerte in Einschubrichtung</t>
    </r>
    <r>
      <rPr>
        <b/>
        <sz val="18"/>
        <color rgb="FFFF0000"/>
        <rFont val="Calibri"/>
        <family val="2"/>
        <scheme val="minor"/>
      </rPr>
      <t xml:space="preserve"> F2</t>
    </r>
  </si>
  <si>
    <t>RICON S 140/60 EK min
HT: 10xSK8x80
NT: 10xSK8x160</t>
  </si>
  <si>
    <t>RICON S 140/60 EK max
HT: 10xSK8x80
NT: 10xSK8x240</t>
  </si>
  <si>
    <t>RICON S 200/60 EK min
HT: 16xSK8x80
NT: 16xSK8x160</t>
  </si>
  <si>
    <t>RICON S 200/60 EK max
HT: 16xSK8x80
NT: 16xSK8x240</t>
  </si>
  <si>
    <t>RICON S 200/80 EK 
HT: 16xSK10x100
NT: 16xSK10x200</t>
  </si>
  <si>
    <t>RICON S 290/80 EK 
HT: 20xSK10x100
NT: 20xSK10x200</t>
  </si>
  <si>
    <t>RICON S 140/60 VS min
HT: 10xSK8x80
NT: 10xSK8x160</t>
  </si>
  <si>
    <t>RICON S 140/60 VS max
HT: 10xSK8x80
NT: 10xSK8x240</t>
  </si>
  <si>
    <t>RICON S 200/60 VS min
HT: 16xSK8x80
NT: 16xSK8x160</t>
  </si>
  <si>
    <t>RICON S 200/60 VS max
HT: 16xSK8x80
NT: 16xSK8x240</t>
  </si>
  <si>
    <t>RICON S 200/80 VS min
HT: 16xSK10x100
NT: 16xSK10x200</t>
  </si>
  <si>
    <t>RICON S 200/80 VS max
HT: 16xSK10x100
NT: 16xSK10x300</t>
  </si>
  <si>
    <t>RICON S 290/80 VS min
HT: 25xSK10x100
NT: 25xSK10x200</t>
  </si>
  <si>
    <t>RICON S 390/80 VS + ZP max
HT: 28xSK10x100 + 2 SK10x400 
NT: 28xSK10x200 + 2xSK10x450</t>
  </si>
  <si>
    <t>RICON S 390/80 VS + ZP max
HT: 28xSK10x100 + 2xSK10x400 
NT: 28xSK10x300 + 2xSK10x450</t>
  </si>
  <si>
    <t>RICON® carbon steel:</t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</si>
  <si>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H: 2xCS8x50, 8xCS5x50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</si>
  <si>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H: 2xCS8x50, 10xCS5x50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</si>
  <si>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t>RICON® stainless steel:</t>
  </si>
  <si>
    <r>
      <rPr>
        <b/>
        <sz val="11"/>
        <rFont val="Calibri"/>
        <family val="2"/>
        <scheme val="minor"/>
      </rPr>
      <t xml:space="preserve">RICON® 140/40 SL </t>
    </r>
    <r>
      <rPr>
        <sz val="11"/>
        <rFont val="Calibri"/>
        <family val="2"/>
        <scheme val="minor"/>
      </rPr>
      <t xml:space="preserve">
H: 2xCS8x80, 8xCS5x80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8xCS5x80</t>
    </r>
  </si>
  <si>
    <r>
      <rPr>
        <b/>
        <sz val="11"/>
        <rFont val="Calibri"/>
        <family val="2"/>
        <scheme val="minor"/>
      </rPr>
      <t xml:space="preserve">RICON® 160/40 SL </t>
    </r>
    <r>
      <rPr>
        <sz val="11"/>
        <rFont val="Calibri"/>
        <family val="2"/>
        <scheme val="minor"/>
      </rPr>
      <t xml:space="preserve">
H: 2xCS8x80, 10xCS5x80
J: </t>
    </r>
    <r>
      <rPr>
        <b/>
        <sz val="11"/>
        <rFont val="Calibri"/>
        <family val="2"/>
        <scheme val="minor"/>
      </rPr>
      <t>2xCS8x160,</t>
    </r>
    <r>
      <rPr>
        <sz val="11"/>
        <rFont val="Calibri"/>
        <family val="2"/>
        <scheme val="minor"/>
      </rPr>
      <t xml:space="preserve"> 10xCS5x80</t>
    </r>
  </si>
  <si>
    <r>
      <t>F</t>
    </r>
    <r>
      <rPr>
        <vertAlign val="subscript"/>
        <sz val="11"/>
        <color theme="1"/>
        <rFont val="Calibri"/>
        <family val="2"/>
        <scheme val="minor"/>
      </rPr>
      <t>2,Rk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</si>
  <si>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4,Rk,eccentric</t>
    </r>
  </si>
  <si>
    <r>
      <rPr>
        <b/>
        <sz val="11"/>
        <rFont val="Calibri"/>
        <family val="2"/>
        <scheme val="minor"/>
      </rPr>
      <t>RICON® 120/40 SL</t>
    </r>
    <r>
      <rPr>
        <sz val="11"/>
        <rFont val="Calibri"/>
        <family val="2"/>
        <scheme val="minor"/>
      </rPr>
      <t xml:space="preserve">
H: 2xSK8x50, 6xSK5x50
J: </t>
    </r>
    <r>
      <rPr>
        <b/>
        <sz val="11"/>
        <rFont val="Calibri"/>
        <family val="2"/>
        <scheme val="minor"/>
      </rPr>
      <t>2xSK8x160</t>
    </r>
    <r>
      <rPr>
        <sz val="11"/>
        <rFont val="Calibri"/>
        <family val="2"/>
        <scheme val="minor"/>
      </rPr>
      <t>, 6xSK5x80</t>
    </r>
  </si>
  <si>
    <t>GIGANT 120/40
H: 3xSK10x80
J: 3xSK8x200</t>
  </si>
  <si>
    <t>GIGANT 150/40 
without clip lock
H: 4xSK10x80
J: 4xSK10x200</t>
  </si>
  <si>
    <t>GIGANT 180/40 
without clip lock
H: 6xSK10x80
J: 6xSK10x200</t>
  </si>
  <si>
    <t>RICON 120/40 SL carbon
H: 2xSK8x50, 6xSK5x50
J: 2xSK8x160; 6xSK5x80</t>
  </si>
  <si>
    <t>RICON S 140/60 VS standard</t>
  </si>
  <si>
    <t>RICON S 200/60 VS standard</t>
  </si>
  <si>
    <t>RICON S 200/80 VS standard</t>
  </si>
  <si>
    <t>RICON S 290/80 VS standard</t>
  </si>
  <si>
    <t>RICON S 390/80 VS + ZP standard</t>
  </si>
  <si>
    <t>RICON S 140/60 VS min
H: 7 SK 8x80; J: 7 SK 8x160</t>
  </si>
  <si>
    <t>RICON S 200/60 VS min
H: 8 SK 8x80; J: 8 SK 8x160</t>
  </si>
  <si>
    <t>RICON S 200/80 VS min
H: 8 SK 10x100; J: 8 SK10x200</t>
  </si>
  <si>
    <t>RICON S 290/80 VS min
H: 8 SK 10x100; J: 25 SK10x200</t>
  </si>
  <si>
    <t xml:space="preserve">RICON S 390/80 VS + ZP min
H: 28 SK 10x100; 
J: 28 SK 10x200 </t>
  </si>
  <si>
    <t>RICON S 140/60 VS standard
H: 10 SK 8x80; J: 10 SK 8x160</t>
  </si>
  <si>
    <t>RICON S 200/60 VS standard
H: 16 SK 8x80; J: 16 SK 8x160</t>
  </si>
  <si>
    <t>RICON S 200/80 VS standard
H: 16 SK 10x100; J: 16 SK10x200</t>
  </si>
  <si>
    <t>RICON S 290/80 VS standard
H: 25 SK 10x100; J: 25 SK10x200</t>
  </si>
  <si>
    <t>RICON S 390/80 VS + ZP standard
H: 28 SK 10x100; + 2 SK 10x400 
J: 28 SK 10x200 + 2 SK 10x450</t>
  </si>
  <si>
    <t>RICON® S VK: (RICON® S with screwed collar bolt)</t>
  </si>
  <si>
    <t xml:space="preserve">RICON S VK Connector </t>
  </si>
  <si>
    <t>RICON S 140/60 VK
H: 8 SK 8x80; J: 8 SK 8x160</t>
  </si>
  <si>
    <t>RICON S 140/60 VK
H: 8 SK 8x80; J: 8 SK 8x240</t>
  </si>
  <si>
    <t>RICON S 200/60 VK
H: 9 SK 8x80; J: 9 SK 8x160</t>
  </si>
  <si>
    <t>RICON S 200/60 VK
H: 9 SK 8x80; J: 9 SK 8x240</t>
  </si>
  <si>
    <t>RICON S 200/80 VK 
H: 9 SK 10x100; J: 9 SK10x200</t>
  </si>
  <si>
    <t>RICON S 200/80 VK 
H: 9 SK 10x100; J: 9 SK10x300</t>
  </si>
  <si>
    <t>RICON S 290/80 VK 
H: 9 SK 10x100; J: 9 SK10x200</t>
  </si>
  <si>
    <t>RICON® S EK: (RICON® S with retaining screw collar bolt)</t>
  </si>
  <si>
    <t>Total glass load per beam [kg]</t>
  </si>
  <si>
    <t>Table for load-bearing capacity of KNAPP® RICON® S according to ETA 10-0189 (Edition 10/2019)</t>
  </si>
  <si>
    <t>Table for load-bearing capacity of KNAPP® GIGANT according to ETA 10-0189 (Edition 10/2019)</t>
  </si>
  <si>
    <r>
      <rPr>
        <b/>
        <sz val="11"/>
        <rFont val="Calibri"/>
        <family val="2"/>
        <scheme val="minor"/>
      </rPr>
      <t>RICON® 120/40 SL</t>
    </r>
    <r>
      <rPr>
        <sz val="11"/>
        <rFont val="Calibri"/>
        <family val="2"/>
        <scheme val="minor"/>
      </rPr>
      <t xml:space="preserve">
H: 2xCS8x50, 6xCS5x50
J: </t>
    </r>
    <r>
      <rPr>
        <b/>
        <sz val="11"/>
        <rFont val="Calibri"/>
        <family val="2"/>
        <scheme val="minor"/>
      </rPr>
      <t>2xCS8x160</t>
    </r>
    <r>
      <rPr>
        <sz val="11"/>
        <rFont val="Calibri"/>
        <family val="2"/>
        <scheme val="minor"/>
      </rPr>
      <t>, 6xCS5x80</t>
    </r>
  </si>
  <si>
    <r>
      <rPr>
        <b/>
        <sz val="11"/>
        <rFont val="Calibri"/>
        <family val="2"/>
        <scheme val="minor"/>
      </rPr>
      <t>RICON® 100/40 SL</t>
    </r>
    <r>
      <rPr>
        <sz val="11"/>
        <rFont val="Calibri"/>
        <family val="2"/>
        <scheme val="minor"/>
      </rPr>
      <t xml:space="preserve">
H: 2xCS8x50, 4xCS5x50
J: </t>
    </r>
    <r>
      <rPr>
        <b/>
        <sz val="11"/>
        <rFont val="Calibri"/>
        <family val="2"/>
        <scheme val="minor"/>
      </rPr>
      <t>2xCS8x160</t>
    </r>
    <r>
      <rPr>
        <sz val="11"/>
        <rFont val="Calibri"/>
        <family val="2"/>
        <scheme val="minor"/>
      </rPr>
      <t>, 4xCS5x80</t>
    </r>
  </si>
  <si>
    <t>RICON 100/40 SL carbon
H: 2xSK8x50, 4xSK5x50
J: 2xSK8x160; 4xSK5x80</t>
  </si>
  <si>
    <r>
      <rPr>
        <b/>
        <sz val="11"/>
        <rFont val="Calibri"/>
        <family val="2"/>
        <scheme val="minor"/>
      </rPr>
      <t>RICON® 100/40 SL</t>
    </r>
    <r>
      <rPr>
        <sz val="11"/>
        <rFont val="Calibri"/>
        <family val="2"/>
        <scheme val="minor"/>
      </rPr>
      <t xml:space="preserve">
H: 2xSK8x50, 4xSK5x50
J: </t>
    </r>
    <r>
      <rPr>
        <b/>
        <sz val="11"/>
        <rFont val="Calibri"/>
        <family val="2"/>
        <scheme val="minor"/>
      </rPr>
      <t>2xSK8x160</t>
    </r>
    <r>
      <rPr>
        <sz val="11"/>
        <rFont val="Calibri"/>
        <family val="2"/>
        <scheme val="minor"/>
      </rPr>
      <t>, 4xSK5x80</t>
    </r>
  </si>
  <si>
    <t>RICON 100/25 A2
H: 2xSK 8x50, 2xSK5x50
J: 2xSK8x80; 2xSK5x80</t>
  </si>
  <si>
    <t>RICON 120/25 A2
H: 2xSK 8x50, 3xSK5x50
J: 2xSK8x80; 3xSK5x80</t>
  </si>
  <si>
    <t>RICON 140/25A2
H: 2xSK 8x50, 3xSK5x50
J: 2xSK8x80; 3xSK5x80</t>
  </si>
  <si>
    <t>RICON 160/25 A2
H: 2xSK 8x50, 4xSK5x50
J: 2xSK8x80; 4xSK5x80</t>
  </si>
  <si>
    <t>38/120</t>
  </si>
  <si>
    <t>38/140</t>
  </si>
  <si>
    <t>38/160</t>
  </si>
  <si>
    <t>38/180</t>
  </si>
  <si>
    <t>Version 4:</t>
  </si>
  <si>
    <t xml:space="preserve">RICON S EK/GK Connector </t>
  </si>
  <si>
    <t>RICON S 140/60 EK min
H: 7 SK 8x80; J: 7 SK 8x160</t>
  </si>
  <si>
    <t>RICON S 140/60 EK standard
H: 10 SK 8x80; J: 10 SK 8x160</t>
  </si>
  <si>
    <t>RICON S 200/60 EK min
H: 8 SK 8x80; J: 8 SK 8x160</t>
  </si>
  <si>
    <t>RICON S 200/60 EK standard
H: 16 SK 8x80; J: 16 SK 8x160</t>
  </si>
  <si>
    <t>RICON S 200/80 EK min
H: 8SK 10x100; J: 8 SK10x200</t>
  </si>
  <si>
    <t>RICON S 200/80 EK standard
H: 16 SK 10x100; J: 16 SK10x200</t>
  </si>
  <si>
    <t>= n^0,9 x Fv,J,RK</t>
  </si>
  <si>
    <t>RICON S 290/80 EK min
H: 8 SK 10x100; J: 8 SK10x200</t>
  </si>
  <si>
    <t>RICON S 140/60 EK min
H: 8 SK 8x80; J: 8 SK 8x160</t>
  </si>
  <si>
    <t>RICON S 200/80 EK min
H: 8 SK 10x100; J: 8 SK10x200</t>
  </si>
  <si>
    <t>RICON S 290/80 EK standard
H: 20 SK 10x100; J: 20 SK10x200</t>
  </si>
  <si>
    <r>
      <rPr>
        <b/>
        <sz val="11"/>
        <color theme="1"/>
        <rFont val="Calibri"/>
        <family val="2"/>
        <scheme val="minor"/>
      </rPr>
      <t>RICON® S 140/60 VK</t>
    </r>
    <r>
      <rPr>
        <sz val="11"/>
        <color theme="1"/>
        <rFont val="Calibri"/>
        <family val="2"/>
        <scheme val="minor"/>
      </rPr>
      <t xml:space="preserve"> M</t>
    </r>
    <r>
      <rPr>
        <b/>
        <sz val="11"/>
        <color theme="1"/>
        <rFont val="Calibri"/>
        <family val="2"/>
        <scheme val="minor"/>
      </rPr>
      <t>ax</t>
    </r>
    <r>
      <rPr>
        <sz val="11"/>
        <color theme="1"/>
        <rFont val="Calibri"/>
        <family val="2"/>
        <scheme val="minor"/>
      </rPr>
      <t xml:space="preserve">
H: 8x CS 8x80
J: </t>
    </r>
    <r>
      <rPr>
        <b/>
        <sz val="11"/>
        <color theme="1"/>
        <rFont val="Calibri"/>
        <family val="2"/>
        <scheme val="minor"/>
      </rPr>
      <t>8x CS 8x240</t>
    </r>
  </si>
  <si>
    <r>
      <rPr>
        <b/>
        <sz val="11"/>
        <color theme="1"/>
        <rFont val="Calibri"/>
        <family val="2"/>
        <scheme val="minor"/>
      </rPr>
      <t>RICON S 200/60 VK Max</t>
    </r>
    <r>
      <rPr>
        <sz val="11"/>
        <color theme="1"/>
        <rFont val="Calibri"/>
        <family val="2"/>
        <scheme val="minor"/>
      </rPr>
      <t xml:space="preserve">
H: 9x CS 8x80
J: </t>
    </r>
    <r>
      <rPr>
        <b/>
        <sz val="11"/>
        <color theme="1"/>
        <rFont val="Calibri"/>
        <family val="2"/>
        <scheme val="minor"/>
      </rPr>
      <t>9x CS 8x240</t>
    </r>
  </si>
  <si>
    <r>
      <rPr>
        <b/>
        <sz val="11"/>
        <color theme="1"/>
        <rFont val="Calibri"/>
        <family val="2"/>
        <scheme val="minor"/>
      </rPr>
      <t>RICON® S 200/80 VK Max</t>
    </r>
    <r>
      <rPr>
        <sz val="11"/>
        <color theme="1"/>
        <rFont val="Calibri"/>
        <family val="2"/>
        <scheme val="minor"/>
      </rPr>
      <t xml:space="preserve">
H: 9x CS 10x100
J:</t>
    </r>
    <r>
      <rPr>
        <b/>
        <sz val="11"/>
        <color theme="1"/>
        <rFont val="Calibri"/>
        <family val="2"/>
        <scheme val="minor"/>
      </rPr>
      <t xml:space="preserve"> 9x CS 10x300</t>
    </r>
  </si>
  <si>
    <r>
      <rPr>
        <b/>
        <sz val="11"/>
        <color theme="1"/>
        <rFont val="Calibri"/>
        <family val="2"/>
        <scheme val="minor"/>
      </rPr>
      <t>RICON® S 290/80 VK Max</t>
    </r>
    <r>
      <rPr>
        <sz val="11"/>
        <color theme="1"/>
        <rFont val="Calibri"/>
        <family val="2"/>
        <scheme val="minor"/>
      </rPr>
      <t xml:space="preserve">
H: 9x CS 10x100
J: </t>
    </r>
    <r>
      <rPr>
        <b/>
        <sz val="11"/>
        <color theme="1"/>
        <rFont val="Calibri"/>
        <family val="2"/>
        <scheme val="minor"/>
      </rPr>
      <t>9x CS 10x300</t>
    </r>
  </si>
  <si>
    <t>RICON® S GK: (RICON® S with spring retaining screw collar bolt)</t>
  </si>
  <si>
    <r>
      <t>F</t>
    </r>
    <r>
      <rPr>
        <vertAlign val="subscript"/>
        <sz val="11"/>
        <color theme="1"/>
        <rFont val="Calibri"/>
        <family val="2"/>
        <scheme val="minor"/>
      </rPr>
      <t>2,KCC,RK</t>
    </r>
  </si>
  <si>
    <r>
      <t>F</t>
    </r>
    <r>
      <rPr>
        <vertAlign val="subscript"/>
        <sz val="11"/>
        <color theme="1"/>
        <rFont val="Calibri"/>
        <family val="2"/>
        <scheme val="minor"/>
      </rPr>
      <t>2,KCC,Rd</t>
    </r>
    <r>
      <rPr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=1,0</t>
    </r>
  </si>
  <si>
    <r>
      <rPr>
        <b/>
        <sz val="11"/>
        <rFont val="Calibri"/>
        <family val="2"/>
        <scheme val="minor"/>
      </rPr>
      <t>RICON® 60/40</t>
    </r>
    <r>
      <rPr>
        <sz val="11"/>
        <rFont val="Calibri"/>
        <family val="2"/>
        <scheme val="minor"/>
      </rPr>
      <t xml:space="preserve">
H: 1xCS8x50, 2xCS5x50
J: 1xCS8x80, 2xCS5x80</t>
    </r>
  </si>
  <si>
    <r>
      <rPr>
        <b/>
        <sz val="11"/>
        <rFont val="Calibri"/>
        <family val="2"/>
        <scheme val="minor"/>
      </rPr>
      <t xml:space="preserve">RICON® 80/40 </t>
    </r>
    <r>
      <rPr>
        <sz val="11"/>
        <rFont val="Calibri"/>
        <family val="2"/>
        <scheme val="minor"/>
      </rPr>
      <t xml:space="preserve">
H: 2xCS8x50, 2xCS5x50
J: 2xCS8x80, 2xCS5x80</t>
    </r>
  </si>
  <si>
    <r>
      <rPr>
        <b/>
        <sz val="11"/>
        <rFont val="Calibri"/>
        <family val="2"/>
        <scheme val="minor"/>
      </rPr>
      <t xml:space="preserve">RICON® 100/40 </t>
    </r>
    <r>
      <rPr>
        <sz val="11"/>
        <rFont val="Calibri"/>
        <family val="2"/>
        <scheme val="minor"/>
      </rPr>
      <t xml:space="preserve">
H: 2xCS8x50, 4xCS5x50
J: 2xCS8x80, 4xCS5x82</t>
    </r>
  </si>
  <si>
    <r>
      <rPr>
        <b/>
        <sz val="11"/>
        <rFont val="Calibri"/>
        <family val="2"/>
        <scheme val="minor"/>
      </rPr>
      <t xml:space="preserve">RICON® 120/40 </t>
    </r>
    <r>
      <rPr>
        <sz val="11"/>
        <rFont val="Calibri"/>
        <family val="2"/>
        <scheme val="minor"/>
      </rPr>
      <t xml:space="preserve">
H: 2xCS8x50, 6xCS5x50
J: 2xCS8x80, 6xCS5x80</t>
    </r>
  </si>
  <si>
    <r>
      <rPr>
        <b/>
        <sz val="11"/>
        <rFont val="Calibri"/>
        <family val="2"/>
        <scheme val="minor"/>
      </rPr>
      <t xml:space="preserve">RICON® 140/40 </t>
    </r>
    <r>
      <rPr>
        <sz val="11"/>
        <rFont val="Calibri"/>
        <family val="2"/>
        <scheme val="minor"/>
      </rPr>
      <t xml:space="preserve">
H: 2xCS8x50, 8xCS5x50
J: 2xCS8x80, 8xCS5x80</t>
    </r>
  </si>
  <si>
    <r>
      <rPr>
        <b/>
        <sz val="11"/>
        <rFont val="Calibri"/>
        <family val="2"/>
        <scheme val="minor"/>
      </rPr>
      <t xml:space="preserve">RICON® 160/40 </t>
    </r>
    <r>
      <rPr>
        <sz val="11"/>
        <rFont val="Calibri"/>
        <family val="2"/>
        <scheme val="minor"/>
      </rPr>
      <t xml:space="preserve">
H: 2xCS8x50, 10xCS5x50
J: 2xCS8x80, 10xCS5x80</t>
    </r>
  </si>
  <si>
    <r>
      <rPr>
        <b/>
        <sz val="11"/>
        <rFont val="Calibri"/>
        <family val="2"/>
        <scheme val="minor"/>
      </rPr>
      <t>Double RICON® 80/40 *</t>
    </r>
    <r>
      <rPr>
        <sz val="11"/>
        <rFont val="Calibri"/>
        <family val="2"/>
        <scheme val="minor"/>
      </rPr>
      <t xml:space="preserve">
H: 3xCS8x50, 4xCS5x50
J: 3xCS8x80, 4xCS5x80</t>
    </r>
  </si>
  <si>
    <r>
      <rPr>
        <b/>
        <sz val="11"/>
        <rFont val="Calibri"/>
        <family val="2"/>
        <scheme val="minor"/>
      </rPr>
      <t xml:space="preserve">Double RICON® 100/40 * </t>
    </r>
    <r>
      <rPr>
        <sz val="11"/>
        <rFont val="Calibri"/>
        <family val="2"/>
        <scheme val="minor"/>
      </rPr>
      <t xml:space="preserve">
H: 3xCS8x50, 8xCS5x50
J: 3xCS8x80, 8xCS5x80</t>
    </r>
  </si>
  <si>
    <r>
      <rPr>
        <b/>
        <sz val="11"/>
        <rFont val="Calibri"/>
        <family val="2"/>
        <scheme val="minor"/>
      </rPr>
      <t>Double RICON® 120/40 *</t>
    </r>
    <r>
      <rPr>
        <sz val="11"/>
        <rFont val="Calibri"/>
        <family val="2"/>
        <scheme val="minor"/>
      </rPr>
      <t xml:space="preserve">
H: 3xCS8x50, 12xCS5x50
J: 3xCS8x80, 12xCS5x80</t>
    </r>
  </si>
  <si>
    <r>
      <rPr>
        <b/>
        <sz val="11"/>
        <rFont val="Calibri"/>
        <family val="2"/>
        <scheme val="minor"/>
      </rPr>
      <t>Double RICON® 140/40 *</t>
    </r>
    <r>
      <rPr>
        <sz val="11"/>
        <rFont val="Calibri"/>
        <family val="2"/>
        <scheme val="minor"/>
      </rPr>
      <t xml:space="preserve">
H: 3xCS8x50, 16xCS5x50
J: 3xCS8x80, 16xCS5x80</t>
    </r>
  </si>
  <si>
    <r>
      <rPr>
        <b/>
        <sz val="11"/>
        <rFont val="Calibri"/>
        <family val="2"/>
        <scheme val="minor"/>
      </rPr>
      <t>Double RICON® 160/40 *</t>
    </r>
    <r>
      <rPr>
        <sz val="11"/>
        <rFont val="Calibri"/>
        <family val="2"/>
        <scheme val="minor"/>
      </rPr>
      <t xml:space="preserve">
H: 3xCS8x50, 20xCS5x50
J: 3xCS8x80, 20xCS5x80</t>
    </r>
  </si>
  <si>
    <t>* Double RICON®</t>
  </si>
  <si>
    <r>
      <rPr>
        <b/>
        <sz val="11"/>
        <rFont val="Calibri"/>
        <family val="2"/>
        <scheme val="minor"/>
      </rPr>
      <t xml:space="preserve">RICON® 100/25 A2  </t>
    </r>
    <r>
      <rPr>
        <b/>
        <sz val="11"/>
        <color rgb="FFFF0000"/>
        <rFont val="Calibri"/>
        <family val="2"/>
        <scheme val="minor"/>
      </rPr>
      <t>NEW</t>
    </r>
    <r>
      <rPr>
        <sz val="11"/>
        <rFont val="Calibri"/>
        <family val="2"/>
        <scheme val="minor"/>
      </rPr>
      <t xml:space="preserve">
H: 2xSK 8x50, 2xSK5x50
J: 2xSK8x80; 2xSK5x80</t>
    </r>
  </si>
  <si>
    <r>
      <rPr>
        <b/>
        <sz val="11"/>
        <rFont val="Calibri"/>
        <family val="2"/>
        <scheme val="minor"/>
      </rPr>
      <t>RICON® 80/40 A2</t>
    </r>
    <r>
      <rPr>
        <sz val="10"/>
        <rFont val="Calibri"/>
        <family val="2"/>
        <scheme val="minor"/>
      </rPr>
      <t xml:space="preserve">
H: 2xCS8x50, 2xCS5x50
J: 2xCS8x80, 2xCS5x80</t>
    </r>
  </si>
  <si>
    <r>
      <rPr>
        <b/>
        <sz val="11"/>
        <rFont val="Calibri"/>
        <family val="2"/>
        <scheme val="minor"/>
      </rPr>
      <t>RICON® 160/40 A2</t>
    </r>
    <r>
      <rPr>
        <sz val="10"/>
        <rFont val="Calibri"/>
        <family val="2"/>
        <scheme val="minor"/>
      </rPr>
      <t xml:space="preserve">
H: 2xCS8x50, 10xCS5x50
J: 2xCS8x80, 10xCS5x80</t>
    </r>
  </si>
  <si>
    <r>
      <rPr>
        <b/>
        <sz val="11"/>
        <rFont val="Calibri"/>
        <family val="2"/>
        <scheme val="minor"/>
      </rPr>
      <t>Double RICON® 80/40 A2 *</t>
    </r>
    <r>
      <rPr>
        <sz val="10"/>
        <rFont val="Calibri"/>
        <family val="2"/>
        <scheme val="minor"/>
      </rPr>
      <t xml:space="preserve">
H: 3xCS8x50, 4xCS5x50
J: 3xCS8x80, 4xCS5x80</t>
    </r>
  </si>
  <si>
    <r>
      <rPr>
        <b/>
        <sz val="11"/>
        <rFont val="Calibri"/>
        <family val="2"/>
        <scheme val="minor"/>
      </rPr>
      <t>Double RICON® 160/40 A2 *</t>
    </r>
    <r>
      <rPr>
        <sz val="10"/>
        <rFont val="Calibri"/>
        <family val="2"/>
        <scheme val="minor"/>
      </rPr>
      <t xml:space="preserve">
H: 3xCS8x50, 20xCS5x50
J: 3xCS8x80, 20xCS5x80</t>
    </r>
  </si>
  <si>
    <r>
      <rPr>
        <b/>
        <sz val="11"/>
        <rFont val="Calibri"/>
        <family val="2"/>
        <scheme val="minor"/>
      </rPr>
      <t>RICON® 60/30 A2</t>
    </r>
    <r>
      <rPr>
        <sz val="10"/>
        <rFont val="Calibri"/>
        <family val="2"/>
        <scheme val="minor"/>
      </rPr>
      <t xml:space="preserve">
H: 1xCS8x50, 2xCS5x50
J: 1xCS8x80, 2xCS5x80</t>
    </r>
  </si>
  <si>
    <r>
      <rPr>
        <b/>
        <sz val="11"/>
        <rFont val="Calibri"/>
        <family val="2"/>
        <scheme val="minor"/>
      </rPr>
      <t>RICON® 80/30 A2</t>
    </r>
    <r>
      <rPr>
        <sz val="10"/>
        <rFont val="Calibri"/>
        <family val="2"/>
        <scheme val="minor"/>
      </rPr>
      <t xml:space="preserve">
H: 2xCS8x50, 2xCS5x50
J: 2xCS8x80, 2xCS5x80</t>
    </r>
  </si>
  <si>
    <r>
      <rPr>
        <b/>
        <sz val="11"/>
        <rFont val="Calibri"/>
        <family val="2"/>
        <scheme val="minor"/>
      </rPr>
      <t>RICON® 100/30 A2</t>
    </r>
    <r>
      <rPr>
        <sz val="10"/>
        <rFont val="Calibri"/>
        <family val="2"/>
        <scheme val="minor"/>
      </rPr>
      <t xml:space="preserve">
H: 2xCS8x50, 4xCS5x50
J: 2xCS8x80, 4xCS5x80</t>
    </r>
  </si>
  <si>
    <r>
      <rPr>
        <b/>
        <sz val="11"/>
        <rFont val="Calibri"/>
        <family val="2"/>
        <scheme val="minor"/>
      </rPr>
      <t>RICON® 120/30 A2</t>
    </r>
    <r>
      <rPr>
        <sz val="10"/>
        <rFont val="Calibri"/>
        <family val="2"/>
        <scheme val="minor"/>
      </rPr>
      <t xml:space="preserve">
H: 2xCS8x50, 6xCS5x50
J: 2xCS8x80, 6xCS5x80</t>
    </r>
  </si>
  <si>
    <r>
      <rPr>
        <b/>
        <sz val="11"/>
        <rFont val="Calibri"/>
        <family val="2"/>
        <scheme val="minor"/>
      </rPr>
      <t>RICON® 140/30 A2</t>
    </r>
    <r>
      <rPr>
        <sz val="10"/>
        <rFont val="Calibri"/>
        <family val="2"/>
        <scheme val="minor"/>
      </rPr>
      <t xml:space="preserve">
H: 2xCS8x50, 8xCS5x50
J: 2xCS8x80, 8xCS5x80</t>
    </r>
  </si>
  <si>
    <r>
      <rPr>
        <b/>
        <sz val="11"/>
        <rFont val="Calibri"/>
        <family val="2"/>
        <scheme val="minor"/>
      </rPr>
      <t>RICON® 160/30 A2</t>
    </r>
    <r>
      <rPr>
        <sz val="10"/>
        <rFont val="Calibri"/>
        <family val="2"/>
        <scheme val="minor"/>
      </rPr>
      <t xml:space="preserve">
H: 2xCS8x50, 10xCS5x50
J: 2xCS8x80, 10xCS5x80</t>
    </r>
  </si>
  <si>
    <r>
      <rPr>
        <b/>
        <sz val="11"/>
        <rFont val="Calibri"/>
        <family val="2"/>
        <scheme val="minor"/>
      </rPr>
      <t>Double RICON® 80/30 A2 *</t>
    </r>
    <r>
      <rPr>
        <sz val="10"/>
        <rFont val="Calibri"/>
        <family val="2"/>
        <scheme val="minor"/>
      </rPr>
      <t xml:space="preserve">
H: 3xCS8x50, 4xCS5x50
J: 3xCS8x80, 4xCS5x80</t>
    </r>
  </si>
  <si>
    <r>
      <rPr>
        <b/>
        <sz val="11"/>
        <rFont val="Calibri"/>
        <family val="2"/>
        <scheme val="minor"/>
      </rPr>
      <t>Double RICON® 100/30 A2 *</t>
    </r>
    <r>
      <rPr>
        <sz val="10"/>
        <rFont val="Calibri"/>
        <family val="2"/>
        <scheme val="minor"/>
      </rPr>
      <t xml:space="preserve">
H: 3xCS8x50, 8xCS5x50
J: 3xCS8x80, 8xCS5x80</t>
    </r>
  </si>
  <si>
    <r>
      <rPr>
        <b/>
        <sz val="11"/>
        <rFont val="Calibri"/>
        <family val="2"/>
        <scheme val="minor"/>
      </rPr>
      <t>Double RICON® 120/30 A2 *</t>
    </r>
    <r>
      <rPr>
        <sz val="10"/>
        <rFont val="Calibri"/>
        <family val="2"/>
        <scheme val="minor"/>
      </rPr>
      <t xml:space="preserve">
H: 3xCS8x50, 12xCS5x50
J: 3xCS8x80, 12xCS5x80</t>
    </r>
  </si>
  <si>
    <r>
      <rPr>
        <b/>
        <sz val="11"/>
        <rFont val="Calibri"/>
        <family val="2"/>
        <scheme val="minor"/>
      </rPr>
      <t>Double RICON® 140/30 A2 *</t>
    </r>
    <r>
      <rPr>
        <sz val="10"/>
        <rFont val="Calibri"/>
        <family val="2"/>
        <scheme val="minor"/>
      </rPr>
      <t xml:space="preserve">
H: 3xCS8x50, 16xCS5x50
J: 3xCS8x80, 16xCS5x80</t>
    </r>
  </si>
  <si>
    <r>
      <rPr>
        <b/>
        <sz val="11"/>
        <rFont val="Calibri"/>
        <family val="2"/>
        <scheme val="minor"/>
      </rPr>
      <t>Double RICON® 160/30 A2 *</t>
    </r>
    <r>
      <rPr>
        <sz val="10"/>
        <rFont val="Calibri"/>
        <family val="2"/>
        <scheme val="minor"/>
      </rPr>
      <t xml:space="preserve">
H: 3xCS8x50, 20xCS5x50
J: 3xCS8x80, 20xCS5x80</t>
    </r>
  </si>
  <si>
    <r>
      <rPr>
        <b/>
        <sz val="11"/>
        <rFont val="Calibri"/>
        <family val="2"/>
        <scheme val="minor"/>
      </rPr>
      <t xml:space="preserve">RICON® 120/25 A2  </t>
    </r>
    <r>
      <rPr>
        <b/>
        <sz val="11"/>
        <color rgb="FFFF0000"/>
        <rFont val="Calibri"/>
        <family val="2"/>
        <scheme val="minor"/>
      </rPr>
      <t>NEW</t>
    </r>
    <r>
      <rPr>
        <sz val="11"/>
        <rFont val="Calibri"/>
        <family val="2"/>
        <scheme val="minor"/>
      </rPr>
      <t xml:space="preserve">
H: 2xSK 8x50, 3xSK5x50
J: 2xSK8x80; 3xSK5x80</t>
    </r>
  </si>
  <si>
    <r>
      <rPr>
        <b/>
        <sz val="11"/>
        <rFont val="Calibri"/>
        <family val="2"/>
        <scheme val="minor"/>
      </rPr>
      <t xml:space="preserve">RICON® 140/25A2  </t>
    </r>
    <r>
      <rPr>
        <b/>
        <sz val="11"/>
        <color rgb="FFFF0000"/>
        <rFont val="Calibri"/>
        <family val="2"/>
        <scheme val="minor"/>
      </rPr>
      <t>NEW</t>
    </r>
    <r>
      <rPr>
        <sz val="11"/>
        <rFont val="Calibri"/>
        <family val="2"/>
        <scheme val="minor"/>
      </rPr>
      <t xml:space="preserve">
H: 2xSK 8x50, 3xSK5x50
J: 2xSK8x80; 3xSK5x80</t>
    </r>
  </si>
  <si>
    <r>
      <rPr>
        <b/>
        <sz val="11"/>
        <rFont val="Calibri"/>
        <family val="2"/>
        <scheme val="minor"/>
      </rPr>
      <t xml:space="preserve">RICON® 160/25 A2  </t>
    </r>
    <r>
      <rPr>
        <b/>
        <sz val="11"/>
        <color rgb="FFFF0000"/>
        <rFont val="Calibri"/>
        <family val="2"/>
        <scheme val="minor"/>
      </rPr>
      <t>NEW</t>
    </r>
    <r>
      <rPr>
        <sz val="11"/>
        <rFont val="Calibri"/>
        <family val="2"/>
        <scheme val="minor"/>
      </rPr>
      <t xml:space="preserve">
H: 2xSK 8x50, 4xSK5x50
J: 2xSK8x80; 4xSK5x80</t>
    </r>
  </si>
  <si>
    <r>
      <rPr>
        <b/>
        <sz val="11"/>
        <rFont val="Calibri"/>
        <family val="2"/>
        <scheme val="minor"/>
      </rPr>
      <t>RICON® 70/20 A2</t>
    </r>
    <r>
      <rPr>
        <sz val="10"/>
        <rFont val="Calibri"/>
        <family val="2"/>
        <scheme val="minor"/>
      </rPr>
      <t xml:space="preserve">
H: 3xCS5x50
J: 3xCS5x80</t>
    </r>
  </si>
  <si>
    <r>
      <rPr>
        <b/>
        <sz val="11"/>
        <rFont val="Calibri"/>
        <family val="2"/>
        <scheme val="minor"/>
      </rPr>
      <t>RICON® 66/16 A2</t>
    </r>
    <r>
      <rPr>
        <sz val="10"/>
        <rFont val="Calibri"/>
        <family val="2"/>
        <scheme val="minor"/>
      </rPr>
      <t xml:space="preserve">
H: 3xCS5x50
J: 3xCS5x80</t>
    </r>
  </si>
  <si>
    <r>
      <rPr>
        <b/>
        <sz val="11"/>
        <rFont val="Calibri"/>
        <family val="2"/>
        <scheme val="minor"/>
      </rPr>
      <t>Double RICON® 100/40 *</t>
    </r>
    <r>
      <rPr>
        <sz val="11"/>
        <rFont val="Calibri"/>
        <family val="2"/>
        <scheme val="minor"/>
      </rPr>
      <t xml:space="preserve">
H: 3xCS8x50, 8xCS5x50
J: 3xCS8x80, 8xCS5x80</t>
    </r>
  </si>
  <si>
    <r>
      <rPr>
        <b/>
        <sz val="11"/>
        <rFont val="Calibri"/>
        <family val="2"/>
        <scheme val="minor"/>
      </rPr>
      <t>Double RICON® 160/40 *</t>
    </r>
    <r>
      <rPr>
        <sz val="11"/>
        <rFont val="Calibri"/>
        <family val="2"/>
        <scheme val="minor"/>
      </rPr>
      <t xml:space="preserve">
H: 3xCS8x50; 20xCS5x50
J: 3xCS8x80; 20xCS5x80</t>
    </r>
  </si>
  <si>
    <t>RICON 25er A2 Version</t>
  </si>
  <si>
    <t>(Es liegt dazu keine offizielle Prüfung und Gutachten vor, aber es wurde das gleiche Material und Dicke wie beim RICON 30er A2 Serie verwendet!)</t>
  </si>
  <si>
    <r>
      <rPr>
        <b/>
        <sz val="11"/>
        <rFont val="Calibri"/>
        <family val="2"/>
        <scheme val="minor"/>
      </rPr>
      <t>GIGANT 120/40 ST</t>
    </r>
    <r>
      <rPr>
        <sz val="11"/>
        <rFont val="Calibri"/>
        <family val="2"/>
        <scheme val="minor"/>
      </rPr>
      <t xml:space="preserve">
H: 3xCS10x80
J: 3xCS10x120</t>
    </r>
  </si>
  <si>
    <r>
      <rPr>
        <b/>
        <sz val="11"/>
        <rFont val="Calibri"/>
        <family val="2"/>
        <scheme val="minor"/>
      </rPr>
      <t>GIGANT 150/40 ST</t>
    </r>
    <r>
      <rPr>
        <sz val="11"/>
        <rFont val="Calibri"/>
        <family val="2"/>
        <scheme val="minor"/>
      </rPr>
      <t xml:space="preserve">
without clip lock
H: 4xCS10x80
J: 4xCS10x120</t>
    </r>
  </si>
  <si>
    <r>
      <rPr>
        <b/>
        <sz val="11"/>
        <rFont val="Calibri"/>
        <family val="2"/>
        <scheme val="minor"/>
      </rPr>
      <t>GIGANT 150/40 Max</t>
    </r>
    <r>
      <rPr>
        <sz val="11"/>
        <rFont val="Calibri"/>
        <family val="2"/>
        <scheme val="minor"/>
      </rPr>
      <t xml:space="preserve">
without clip lock
H: 4xCS10x80
J: </t>
    </r>
    <r>
      <rPr>
        <b/>
        <sz val="11"/>
        <rFont val="Calibri"/>
        <family val="2"/>
        <scheme val="minor"/>
      </rPr>
      <t>4xCS10x200</t>
    </r>
  </si>
  <si>
    <r>
      <rPr>
        <b/>
        <sz val="11"/>
        <rFont val="Calibri"/>
        <family val="2"/>
        <scheme val="minor"/>
      </rPr>
      <t>GIGANT 150/40 ST</t>
    </r>
    <r>
      <rPr>
        <sz val="11"/>
        <rFont val="Calibri"/>
        <family val="2"/>
        <scheme val="minor"/>
      </rPr>
      <t xml:space="preserve">
with clip lock
H: 4xCS10x80
J: 4xCS10x120</t>
    </r>
  </si>
  <si>
    <r>
      <rPr>
        <b/>
        <sz val="11"/>
        <rFont val="Calibri"/>
        <family val="2"/>
        <scheme val="minor"/>
      </rPr>
      <t>GIGANT 180/40 ST</t>
    </r>
    <r>
      <rPr>
        <sz val="11"/>
        <rFont val="Calibri"/>
        <family val="2"/>
        <scheme val="minor"/>
      </rPr>
      <t xml:space="preserve">
without clip lock
H: 6xCS10x80
J: 6xCS10x120</t>
    </r>
  </si>
  <si>
    <r>
      <rPr>
        <b/>
        <sz val="11"/>
        <rFont val="Calibri"/>
        <family val="2"/>
        <scheme val="minor"/>
      </rPr>
      <t>GIGANT 180/40 Max</t>
    </r>
    <r>
      <rPr>
        <sz val="11"/>
        <rFont val="Calibri"/>
        <family val="2"/>
        <scheme val="minor"/>
      </rPr>
      <t xml:space="preserve">
without clip lock
H: 6xCS10x80
J: </t>
    </r>
    <r>
      <rPr>
        <b/>
        <sz val="11"/>
        <rFont val="Calibri"/>
        <family val="2"/>
        <scheme val="minor"/>
      </rPr>
      <t>6xCS10x200</t>
    </r>
  </si>
  <si>
    <r>
      <rPr>
        <b/>
        <sz val="11"/>
        <rFont val="Calibri"/>
        <family val="2"/>
        <scheme val="minor"/>
      </rPr>
      <t>GIGANT 180/40 ST</t>
    </r>
    <r>
      <rPr>
        <sz val="11"/>
        <rFont val="Calibri"/>
        <family val="2"/>
        <scheme val="minor"/>
      </rPr>
      <t xml:space="preserve">
with clip lock
H: 6xCS10x80
J: 5xCS10x120</t>
    </r>
  </si>
  <si>
    <r>
      <rPr>
        <b/>
        <sz val="11"/>
        <color theme="1"/>
        <rFont val="Calibri"/>
        <family val="2"/>
        <scheme val="minor"/>
      </rPr>
      <t>RICON® S 140/60 EK/GK Min</t>
    </r>
    <r>
      <rPr>
        <sz val="11"/>
        <color theme="1"/>
        <rFont val="Calibri"/>
        <family val="2"/>
        <scheme val="minor"/>
      </rPr>
      <t xml:space="preserve">
H: 7xCS8x80
J: 7xCS8x160</t>
    </r>
  </si>
  <si>
    <r>
      <rPr>
        <b/>
        <sz val="11"/>
        <color theme="1"/>
        <rFont val="Calibri"/>
        <family val="2"/>
        <scheme val="minor"/>
      </rPr>
      <t>RICON® S 140/60 EK/GK ST</t>
    </r>
    <r>
      <rPr>
        <sz val="11"/>
        <color theme="1"/>
        <rFont val="Calibri"/>
        <family val="2"/>
        <scheme val="minor"/>
      </rPr>
      <t xml:space="preserve">
H: 10xCS8x80
J: 10xCS8x160</t>
    </r>
  </si>
  <si>
    <r>
      <rPr>
        <b/>
        <sz val="11"/>
        <color theme="1"/>
        <rFont val="Calibri"/>
        <family val="2"/>
        <scheme val="minor"/>
      </rPr>
      <t>RICON® S 140/60 EK Max</t>
    </r>
    <r>
      <rPr>
        <sz val="11"/>
        <color theme="1"/>
        <rFont val="Calibri"/>
        <family val="2"/>
        <scheme val="minor"/>
      </rPr>
      <t xml:space="preserve">
H: 10xCS8x80
J: 10xCS8x240</t>
    </r>
  </si>
  <si>
    <r>
      <rPr>
        <b/>
        <sz val="11"/>
        <color theme="1"/>
        <rFont val="Calibri"/>
        <family val="2"/>
        <scheme val="minor"/>
      </rPr>
      <t>RICON® S 200/60 EK/GK Min</t>
    </r>
    <r>
      <rPr>
        <sz val="11"/>
        <color theme="1"/>
        <rFont val="Calibri"/>
        <family val="2"/>
        <scheme val="minor"/>
      </rPr>
      <t xml:space="preserve">
H: 8xCS8x80
J: 8xCS8x160</t>
    </r>
  </si>
  <si>
    <r>
      <rPr>
        <b/>
        <sz val="11"/>
        <color theme="1"/>
        <rFont val="Calibri"/>
        <family val="2"/>
        <scheme val="minor"/>
      </rPr>
      <t>RICON® S 200/60 EK/GK ST</t>
    </r>
    <r>
      <rPr>
        <sz val="11"/>
        <color theme="1"/>
        <rFont val="Calibri"/>
        <family val="2"/>
        <scheme val="minor"/>
      </rPr>
      <t xml:space="preserve">
H: 16xCS8x80
J: 16xCS8x160</t>
    </r>
  </si>
  <si>
    <r>
      <rPr>
        <b/>
        <sz val="11"/>
        <color theme="1"/>
        <rFont val="Calibri"/>
        <family val="2"/>
        <scheme val="minor"/>
      </rPr>
      <t>RICON®S 200/60 EK/GK Max</t>
    </r>
    <r>
      <rPr>
        <sz val="11"/>
        <color theme="1"/>
        <rFont val="Calibri"/>
        <family val="2"/>
        <scheme val="minor"/>
      </rPr>
      <t xml:space="preserve">
H: 16xCS8x80
J: 16xCS8x240</t>
    </r>
  </si>
  <si>
    <r>
      <rPr>
        <b/>
        <sz val="11"/>
        <color theme="1"/>
        <rFont val="Calibri"/>
        <family val="2"/>
        <scheme val="minor"/>
      </rPr>
      <t>RICON® S 200/80 EK/GK Min</t>
    </r>
    <r>
      <rPr>
        <sz val="11"/>
        <color theme="1"/>
        <rFont val="Calibri"/>
        <family val="2"/>
        <scheme val="minor"/>
      </rPr>
      <t xml:space="preserve">
H: 8xCS10x100
J: 8xCS10x200</t>
    </r>
  </si>
  <si>
    <r>
      <rPr>
        <b/>
        <sz val="11"/>
        <color theme="1"/>
        <rFont val="Calibri"/>
        <family val="2"/>
        <scheme val="minor"/>
      </rPr>
      <t>RICON® S 200/80 EK/GK ST</t>
    </r>
    <r>
      <rPr>
        <sz val="11"/>
        <color theme="1"/>
        <rFont val="Calibri"/>
        <family val="2"/>
        <scheme val="minor"/>
      </rPr>
      <t xml:space="preserve">
H: 16xCS10x100
J: 16xCS10x200</t>
    </r>
  </si>
  <si>
    <r>
      <rPr>
        <b/>
        <sz val="11"/>
        <color theme="1"/>
        <rFont val="Calibri"/>
        <family val="2"/>
        <scheme val="minor"/>
      </rPr>
      <t>RICON® S 290/80 EK/GK Min</t>
    </r>
    <r>
      <rPr>
        <sz val="11"/>
        <color theme="1"/>
        <rFont val="Calibri"/>
        <family val="2"/>
        <scheme val="minor"/>
      </rPr>
      <t xml:space="preserve">
H: 8xCS10x100
J: 8xCS10x200</t>
    </r>
  </si>
  <si>
    <r>
      <rPr>
        <b/>
        <sz val="11"/>
        <color theme="1"/>
        <rFont val="Calibri"/>
        <family val="2"/>
        <scheme val="minor"/>
      </rPr>
      <t>RICON® S 290/80 EK/GK ST</t>
    </r>
    <r>
      <rPr>
        <sz val="11"/>
        <color theme="1"/>
        <rFont val="Calibri"/>
        <family val="2"/>
        <scheme val="minor"/>
      </rPr>
      <t xml:space="preserve">
H: 20xCS10x100
J: 20xCS10x200</t>
    </r>
  </si>
  <si>
    <r>
      <rPr>
        <b/>
        <sz val="11"/>
        <color theme="1"/>
        <rFont val="Calibri"/>
        <family val="2"/>
        <scheme val="minor"/>
      </rPr>
      <t>RICON® S 140/60 VK ST</t>
    </r>
    <r>
      <rPr>
        <sz val="11"/>
        <color theme="1"/>
        <rFont val="Calibri"/>
        <family val="2"/>
        <scheme val="minor"/>
      </rPr>
      <t xml:space="preserve">
H: 8x CS 8x80
J: 8x CS 8x160</t>
    </r>
  </si>
  <si>
    <r>
      <rPr>
        <b/>
        <sz val="11"/>
        <color theme="1"/>
        <rFont val="Calibri"/>
        <family val="2"/>
        <scheme val="minor"/>
      </rPr>
      <t>RICON® S 200/60 VK ST</t>
    </r>
    <r>
      <rPr>
        <sz val="11"/>
        <color theme="1"/>
        <rFont val="Calibri"/>
        <family val="2"/>
        <scheme val="minor"/>
      </rPr>
      <t xml:space="preserve">
H: 9x CS 8x80
J: 9x CS 8x160</t>
    </r>
  </si>
  <si>
    <r>
      <rPr>
        <b/>
        <sz val="11"/>
        <color theme="1"/>
        <rFont val="Calibri"/>
        <family val="2"/>
        <scheme val="minor"/>
      </rPr>
      <t>RICON® S 200/80 VK ST</t>
    </r>
    <r>
      <rPr>
        <sz val="11"/>
        <color theme="1"/>
        <rFont val="Calibri"/>
        <family val="2"/>
        <scheme val="minor"/>
      </rPr>
      <t xml:space="preserve">
H: 9x CS 10x100
J: 9x CS 10x200</t>
    </r>
  </si>
  <si>
    <r>
      <rPr>
        <b/>
        <sz val="11"/>
        <color theme="1"/>
        <rFont val="Calibri"/>
        <family val="2"/>
        <scheme val="minor"/>
      </rPr>
      <t>RICON® S 290/80 VK ST</t>
    </r>
    <r>
      <rPr>
        <sz val="11"/>
        <color theme="1"/>
        <rFont val="Calibri"/>
        <family val="2"/>
        <scheme val="minor"/>
      </rPr>
      <t xml:space="preserve">
H: 9x CS 10x100
J: 9x CS 10x200</t>
    </r>
  </si>
  <si>
    <r>
      <rPr>
        <b/>
        <sz val="11"/>
        <color theme="1"/>
        <rFont val="Calibri"/>
        <family val="2"/>
        <scheme val="minor"/>
      </rPr>
      <t>RICON® S 140/60 VS Min</t>
    </r>
    <r>
      <rPr>
        <sz val="11"/>
        <color theme="1"/>
        <rFont val="Calibri"/>
        <family val="2"/>
        <scheme val="minor"/>
      </rPr>
      <t xml:space="preserve">
H: 7xCS8x80
J: 7xCS8x160</t>
    </r>
  </si>
  <si>
    <r>
      <rPr>
        <b/>
        <sz val="11"/>
        <color theme="1"/>
        <rFont val="Calibri"/>
        <family val="2"/>
        <scheme val="minor"/>
      </rPr>
      <t>RICON® S 140/60 VS ST</t>
    </r>
    <r>
      <rPr>
        <sz val="11"/>
        <color theme="1"/>
        <rFont val="Calibri"/>
        <family val="2"/>
        <scheme val="minor"/>
      </rPr>
      <t xml:space="preserve">
H: 10xCS8x80
J: 10xCS8x160</t>
    </r>
  </si>
  <si>
    <r>
      <rPr>
        <b/>
        <sz val="11"/>
        <color theme="1"/>
        <rFont val="Calibri"/>
        <family val="2"/>
        <scheme val="minor"/>
      </rPr>
      <t>RICON® S 140/60 VS Max</t>
    </r>
    <r>
      <rPr>
        <sz val="11"/>
        <color theme="1"/>
        <rFont val="Calibri"/>
        <family val="2"/>
        <scheme val="minor"/>
      </rPr>
      <t xml:space="preserve">
H: 10xCS8x80
J: 10xCS8x240</t>
    </r>
  </si>
  <si>
    <r>
      <rPr>
        <b/>
        <sz val="11"/>
        <color theme="1"/>
        <rFont val="Calibri"/>
        <family val="2"/>
        <scheme val="minor"/>
      </rPr>
      <t>RICON® S 200/60 VS Min</t>
    </r>
    <r>
      <rPr>
        <sz val="11"/>
        <color theme="1"/>
        <rFont val="Calibri"/>
        <family val="2"/>
        <scheme val="minor"/>
      </rPr>
      <t xml:space="preserve">
H: 8xCS8x80
J: 8xCS8x160</t>
    </r>
  </si>
  <si>
    <r>
      <rPr>
        <b/>
        <sz val="11"/>
        <color theme="1"/>
        <rFont val="Calibri"/>
        <family val="2"/>
        <scheme val="minor"/>
      </rPr>
      <t>RICON® S 200/60 VS ST</t>
    </r>
    <r>
      <rPr>
        <sz val="11"/>
        <color theme="1"/>
        <rFont val="Calibri"/>
        <family val="2"/>
        <scheme val="minor"/>
      </rPr>
      <t xml:space="preserve">
H: 16xCS8x80
J: 16xCS8x160</t>
    </r>
  </si>
  <si>
    <r>
      <rPr>
        <b/>
        <sz val="11"/>
        <color theme="1"/>
        <rFont val="Calibri"/>
        <family val="2"/>
        <scheme val="minor"/>
      </rPr>
      <t>RICON® S 200/60 VS Max</t>
    </r>
    <r>
      <rPr>
        <sz val="11"/>
        <color theme="1"/>
        <rFont val="Calibri"/>
        <family val="2"/>
        <scheme val="minor"/>
      </rPr>
      <t xml:space="preserve">
H: 16xCS8x80
J: 16xCS8x240</t>
    </r>
  </si>
  <si>
    <r>
      <rPr>
        <b/>
        <sz val="11"/>
        <color theme="1"/>
        <rFont val="Calibri"/>
        <family val="2"/>
        <scheme val="minor"/>
      </rPr>
      <t>RICON® S 200/80 VS Min</t>
    </r>
    <r>
      <rPr>
        <sz val="11"/>
        <color theme="1"/>
        <rFont val="Calibri"/>
        <family val="2"/>
        <scheme val="minor"/>
      </rPr>
      <t xml:space="preserve">
H: 8xCS10x100
J: 8xCS10x200</t>
    </r>
  </si>
  <si>
    <r>
      <rPr>
        <b/>
        <sz val="11"/>
        <color theme="1"/>
        <rFont val="Calibri"/>
        <family val="2"/>
        <scheme val="minor"/>
      </rPr>
      <t>RICON® S 200/80 VS ST</t>
    </r>
    <r>
      <rPr>
        <sz val="11"/>
        <color theme="1"/>
        <rFont val="Calibri"/>
        <family val="2"/>
        <scheme val="minor"/>
      </rPr>
      <t xml:space="preserve">
H: 16xCS10x100
J: 16xCS10x200</t>
    </r>
  </si>
  <si>
    <r>
      <rPr>
        <b/>
        <sz val="11"/>
        <color theme="1"/>
        <rFont val="Calibri"/>
        <family val="2"/>
        <scheme val="minor"/>
      </rPr>
      <t>RICON® S 200/80 VS Max</t>
    </r>
    <r>
      <rPr>
        <sz val="11"/>
        <color theme="1"/>
        <rFont val="Calibri"/>
        <family val="2"/>
        <scheme val="minor"/>
      </rPr>
      <t xml:space="preserve">
H: 16xCS10x100
J: 16xCS10x300</t>
    </r>
  </si>
  <si>
    <r>
      <rPr>
        <b/>
        <sz val="11"/>
        <color theme="1"/>
        <rFont val="Calibri"/>
        <family val="2"/>
        <scheme val="minor"/>
      </rPr>
      <t>RICON® S 290/80 VS Min</t>
    </r>
    <r>
      <rPr>
        <sz val="11"/>
        <color theme="1"/>
        <rFont val="Calibri"/>
        <family val="2"/>
        <scheme val="minor"/>
      </rPr>
      <t xml:space="preserve">
H: 8xCS10x100
J: 8xCS10x200</t>
    </r>
  </si>
  <si>
    <r>
      <rPr>
        <b/>
        <sz val="11"/>
        <color theme="1"/>
        <rFont val="Calibri"/>
        <family val="2"/>
        <scheme val="minor"/>
      </rPr>
      <t>RICON® S 290/80 VS ST</t>
    </r>
    <r>
      <rPr>
        <sz val="11"/>
        <color theme="1"/>
        <rFont val="Calibri"/>
        <family val="2"/>
        <scheme val="minor"/>
      </rPr>
      <t xml:space="preserve">
H: 25xCS10x100
J: 25xCS10x200</t>
    </r>
  </si>
  <si>
    <r>
      <rPr>
        <b/>
        <sz val="11"/>
        <color theme="1"/>
        <rFont val="Calibri"/>
        <family val="2"/>
        <scheme val="minor"/>
      </rPr>
      <t>RICON® S 290/80 VS Max</t>
    </r>
    <r>
      <rPr>
        <sz val="11"/>
        <color theme="1"/>
        <rFont val="Calibri"/>
        <family val="2"/>
        <scheme val="minor"/>
      </rPr>
      <t xml:space="preserve">
H: 25xCS10x100
J: 25xCS10x300</t>
    </r>
  </si>
  <si>
    <r>
      <rPr>
        <b/>
        <sz val="11"/>
        <color theme="1"/>
        <rFont val="Calibri"/>
        <family val="2"/>
        <scheme val="minor"/>
      </rPr>
      <t>RICON® S 390/80 VS + ZP Min</t>
    </r>
    <r>
      <rPr>
        <sz val="11"/>
        <color theme="1"/>
        <rFont val="Calibri"/>
        <family val="2"/>
        <scheme val="minor"/>
      </rPr>
      <t xml:space="preserve">
H: 28xCS10x100 
J: 28xCS10x200</t>
    </r>
  </si>
  <si>
    <r>
      <rPr>
        <b/>
        <sz val="11"/>
        <color theme="1"/>
        <rFont val="Calibri"/>
        <family val="2"/>
        <scheme val="minor"/>
      </rPr>
      <t>RICON® S 390/80 VS + ZP ST</t>
    </r>
    <r>
      <rPr>
        <sz val="11"/>
        <color theme="1"/>
        <rFont val="Calibri"/>
        <family val="2"/>
        <scheme val="minor"/>
      </rPr>
      <t xml:space="preserve">
H: 28xCS10x100 + 2xCS10x400 
J: 28xCS10x200 + 2xCS10x450</t>
    </r>
  </si>
  <si>
    <r>
      <rPr>
        <b/>
        <sz val="11"/>
        <color theme="1"/>
        <rFont val="Calibri"/>
        <family val="2"/>
        <scheme val="minor"/>
      </rPr>
      <t>RICON® S 390/80 VS + ZP Max</t>
    </r>
    <r>
      <rPr>
        <sz val="11"/>
        <color theme="1"/>
        <rFont val="Calibri"/>
        <family val="2"/>
        <scheme val="minor"/>
      </rPr>
      <t xml:space="preserve">
H: 28xCS10x100 + 2xCS10x400 
J: 28xCS10x300 + 2xCS10x450</t>
    </r>
  </si>
  <si>
    <t>RICON® S VS: (RICON® S with welded collar bolt)</t>
  </si>
  <si>
    <t>Strength class:</t>
  </si>
  <si>
    <r>
      <rPr>
        <b/>
        <sz val="11"/>
        <color theme="1"/>
        <rFont val="Calibri"/>
        <family val="2"/>
        <scheme val="minor"/>
      </rPr>
      <t>Figure 1:</t>
    </r>
    <r>
      <rPr>
        <sz val="11"/>
        <color theme="1"/>
        <rFont val="Calibri"/>
        <family val="2"/>
        <scheme val="minor"/>
      </rPr>
      <t xml:space="preserve"> RICON® Single connection</t>
    </r>
  </si>
  <si>
    <r>
      <rPr>
        <b/>
        <sz val="11"/>
        <color theme="1"/>
        <rFont val="Calibri"/>
        <family val="2"/>
        <scheme val="minor"/>
      </rPr>
      <t>Figure 2:</t>
    </r>
    <r>
      <rPr>
        <sz val="11"/>
        <color theme="1"/>
        <rFont val="Calibri"/>
        <family val="2"/>
        <scheme val="minor"/>
      </rPr>
      <t xml:space="preserve"> RICON® Double connection</t>
    </r>
  </si>
  <si>
    <r>
      <rPr>
        <b/>
        <sz val="11"/>
        <color theme="1"/>
        <rFont val="Calibri"/>
        <family val="2"/>
        <scheme val="minor"/>
      </rPr>
      <t xml:space="preserve">Figure 3: </t>
    </r>
    <r>
      <rPr>
        <sz val="11"/>
        <color theme="1"/>
        <rFont val="Calibri"/>
        <family val="2"/>
        <scheme val="minor"/>
      </rPr>
      <t xml:space="preserve">RICON® DA connection </t>
    </r>
  </si>
  <si>
    <t xml:space="preserve">Table for load-bearing capacity of KNAPP® RICON® carbon steel according to ETA 10-0189 (Edition 10/2019) </t>
  </si>
  <si>
    <t>Table for load-bearing capacity of KNAPP® RICON® stainless steel according to ETA 10-0189 (Edition 10/2019) 
and expert report from 25.01.2021 for RICON® 25 A2 stainless steel</t>
  </si>
  <si>
    <t>2 connectors arranged one below, on behind the other (figure 2)</t>
  </si>
  <si>
    <r>
      <t xml:space="preserve">Figure 1: </t>
    </r>
    <r>
      <rPr>
        <sz val="12"/>
        <color theme="1"/>
        <rFont val="Calibri"/>
        <family val="2"/>
        <scheme val="minor"/>
      </rPr>
      <t>RICON® post-beam-connection</t>
    </r>
  </si>
  <si>
    <r>
      <t xml:space="preserve">Figure 2: </t>
    </r>
    <r>
      <rPr>
        <sz val="12"/>
        <color theme="1"/>
        <rFont val="Calibri"/>
        <family val="2"/>
        <scheme val="minor"/>
      </rPr>
      <t>Double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RICON® post-beam-connection</t>
    </r>
  </si>
  <si>
    <r>
      <rPr>
        <b/>
        <sz val="11"/>
        <color theme="1"/>
        <rFont val="Calibri"/>
        <family val="2"/>
        <scheme val="minor"/>
      </rPr>
      <t xml:space="preserve">Figure 3: </t>
    </r>
    <r>
      <rPr>
        <sz val="11"/>
        <color theme="1"/>
        <rFont val="Calibri"/>
        <family val="2"/>
        <scheme val="minor"/>
      </rPr>
      <t>Post-beam-connection with reinforcing plate (RP)</t>
    </r>
  </si>
  <si>
    <r>
      <t>Calculation of F</t>
    </r>
    <r>
      <rPr>
        <vertAlign val="subscript"/>
        <sz val="11"/>
        <color theme="1"/>
        <rFont val="Calibri"/>
        <family val="2"/>
        <scheme val="minor"/>
      </rPr>
      <t>4,Rd</t>
    </r>
    <r>
      <rPr>
        <sz val="11"/>
        <color theme="1"/>
        <rFont val="Calibri"/>
        <family val="2"/>
        <scheme val="minor"/>
      </rPr>
      <t xml:space="preserve"> for eccentric load for glass thickness t </t>
    </r>
    <r>
      <rPr>
        <sz val="11"/>
        <color theme="1"/>
        <rFont val="Calibri"/>
        <family val="2"/>
      </rPr>
      <t>≤ 53 mm</t>
    </r>
  </si>
  <si>
    <t>Eccentric glass loads up to 53 mm glass thickness</t>
  </si>
  <si>
    <r>
      <t>Figure 1:</t>
    </r>
    <r>
      <rPr>
        <sz val="11"/>
        <rFont val="Calibri"/>
        <family val="2"/>
        <scheme val="minor"/>
      </rPr>
      <t xml:space="preserve"> GIGANT single connection</t>
    </r>
  </si>
  <si>
    <r>
      <rPr>
        <b/>
        <sz val="12"/>
        <color theme="1"/>
        <rFont val="Calibri"/>
        <family val="2"/>
        <scheme val="minor"/>
      </rPr>
      <t>Figure 1:</t>
    </r>
    <r>
      <rPr>
        <sz val="12"/>
        <color theme="1"/>
        <rFont val="Calibri"/>
        <family val="2"/>
        <scheme val="minor"/>
      </rPr>
      <t xml:space="preserve"> RICON® S60 EK single connection</t>
    </r>
  </si>
  <si>
    <r>
      <t>Figure 1:</t>
    </r>
    <r>
      <rPr>
        <sz val="12"/>
        <rFont val="Calibri"/>
        <family val="2"/>
        <scheme val="minor"/>
      </rPr>
      <t xml:space="preserve"> RICON® S60 VK single connection</t>
    </r>
  </si>
  <si>
    <r>
      <rPr>
        <b/>
        <sz val="12"/>
        <color theme="1"/>
        <rFont val="Calibri"/>
        <family val="2"/>
        <scheme val="minor"/>
      </rPr>
      <t>Figure 2:</t>
    </r>
    <r>
      <rPr>
        <sz val="12"/>
        <color theme="1"/>
        <rFont val="Calibri"/>
        <family val="2"/>
        <scheme val="minor"/>
      </rPr>
      <t xml:space="preserve"> RICON® S80 VK single connection</t>
    </r>
  </si>
  <si>
    <r>
      <t>Figure 1:</t>
    </r>
    <r>
      <rPr>
        <sz val="12"/>
        <rFont val="Calibri"/>
        <family val="2"/>
        <scheme val="minor"/>
      </rPr>
      <t xml:space="preserve"> RICON® S60 VS single connection</t>
    </r>
  </si>
  <si>
    <r>
      <t>Figure 2:</t>
    </r>
    <r>
      <rPr>
        <sz val="12"/>
        <rFont val="Calibri"/>
        <family val="2"/>
        <scheme val="minor"/>
      </rPr>
      <t xml:space="preserve"> RICON® S 390x80 VS+ZP single connection</t>
    </r>
  </si>
  <si>
    <t>with
RP</t>
  </si>
  <si>
    <t>50/80
50/100**</t>
  </si>
  <si>
    <t>50/100
50/120**</t>
  </si>
  <si>
    <t>50/120
50/140**</t>
  </si>
  <si>
    <t>50/140
50/160**</t>
  </si>
  <si>
    <t>50/160
50/180**</t>
  </si>
  <si>
    <t>50/180
50/200**</t>
  </si>
  <si>
    <t xml:space="preserve">50/260**
</t>
  </si>
  <si>
    <t>50/220**</t>
  </si>
  <si>
    <t xml:space="preserve">
50/300**
</t>
  </si>
  <si>
    <t>50/340**</t>
  </si>
  <si>
    <r>
      <t>If the ratio a / 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&lt; 0.7  =&gt; the transverse tensile stresses in the secondary beam must be determined, or the secondary beam must be reinforced with self-tapping fully threaded screws</t>
    </r>
  </si>
  <si>
    <r>
      <t>**  Specified minimum cross-sections for which the ratio a / 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&gt; 0.7 can be maintained 
=&gt; The </t>
    </r>
    <r>
      <rPr>
        <sz val="11"/>
        <color rgb="FF000000"/>
        <rFont val="Calibri"/>
        <family val="2"/>
        <scheme val="minor"/>
      </rPr>
      <t xml:space="preserve">shear reinforcement </t>
    </r>
    <r>
      <rPr>
        <sz val="11"/>
        <color theme="1"/>
        <rFont val="Calibri"/>
        <family val="2"/>
        <scheme val="minor"/>
      </rPr>
      <t>in the secondary beam (joist) is OK</t>
    </r>
  </si>
  <si>
    <t>50/100
20/120**</t>
  </si>
  <si>
    <t>100/260
120/220*</t>
  </si>
  <si>
    <t>100/400
120/340*</t>
  </si>
  <si>
    <t>120/480
160/360*</t>
  </si>
  <si>
    <t>120/560
160/420*</t>
  </si>
  <si>
    <t>120/720
140/640*
160/520*</t>
  </si>
  <si>
    <t>120/800
140/680*
160/600*</t>
  </si>
  <si>
    <t>e.g. RICON S 140x60 VS Max:</t>
  </si>
  <si>
    <t>Minimum cross-section: 100x260 A= 260cm², shear stress: = 1.5 * 40.2 / 260 = 0.23 kN/cm²</t>
  </si>
  <si>
    <r>
      <t>* Alternative dimension of the cross-section in relation to the same shear force with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from table.</t>
    </r>
  </si>
  <si>
    <t>Alternative cross-section: 120x220* A= 264 cm², shear stress: = 1.5 * 40.2 / 264 = 0.23 kN/cm²</t>
  </si>
  <si>
    <r>
      <t>The shear force of the joist is the same for both cross-sections. This shear force is adjusted to the F</t>
    </r>
    <r>
      <rPr>
        <vertAlign val="subscript"/>
        <sz val="11"/>
        <color theme="1"/>
        <rFont val="Calibri"/>
        <family val="2"/>
        <scheme val="minor"/>
      </rPr>
      <t>2,Rk</t>
    </r>
    <r>
      <rPr>
        <sz val="11"/>
        <color theme="1"/>
        <rFont val="Calibri"/>
        <family val="2"/>
        <scheme val="minor"/>
      </rPr>
      <t xml:space="preserve"> = 40.2 kN (GL24h) load.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</si>
</sst>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-* #,##0.00\ _€_-;\-* #,##0.00\ _€_-;_-* &quot;-&quot;??\ _€_-;_-@_-"/>
    <numFmt numFmtId="165" formatCode="&quot;kmod=&quot;0.0"/>
    <numFmt numFmtId="166" formatCode="0.0"/>
    <numFmt numFmtId="167" formatCode="0.000"/>
    <numFmt numFmtId="168" formatCode="0.00000"/>
    <numFmt numFmtId="169" formatCode="_-* #,##0.0_-;\-* #,##0.0_-;_-* &quot;-&quot;??_-;_-@_-"/>
    <numFmt numFmtId="170" formatCode="_-* #,##0.0_-;\-* #,##0.0_-;_-* &quot;-&quot;?_-;_-@_-"/>
    <numFmt numFmtId="171" formatCode="&quot;kmod =&quot;0.00"/>
    <numFmt numFmtId="172" formatCode="&quot;kmod=&quot;0.00"/>
    <numFmt numFmtId="173" formatCode="_-* #,##0.000_-;\-* #,##0.000_-;_-* &quot;-&quot;??_-;_-@_-"/>
    <numFmt numFmtId="174" formatCode="_-* #,##0.000\ _€_-;\-* #,##0.000\ _€_-;_-* &quot;-&quot;???\ _€_-;_-@_-"/>
    <numFmt numFmtId="175" formatCode="_-* #,##0.00\ _€_-;\-* #,##0.00\ _€_-;_-* &quot;-&quot;???\ _€_-;_-@_-"/>
    <numFmt numFmtId="176" formatCode="_-* #,##0_-;\-* #,##0_-;_-* &quot;-&quot;??_-;_-@_-"/>
    <numFmt numFmtId="177" formatCode="&quot;kmod = &quot;0.0"/>
    <numFmt numFmtId="178" formatCode="_-* #,##0.0\ _€_-;\-* #,##0.0\ _€_-;_-* &quot;-&quot;??\ _€_-;_-@_-"/>
    <numFmt numFmtId="179" formatCode="&quot;kmod = &quot;0.0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indexed="8"/>
      <name val="Calibri"/>
      <family val="2"/>
    </font>
    <font>
      <b/>
      <vertAlign val="subscript"/>
      <sz val="18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sz val="11"/>
      <color indexed="8"/>
      <name val="Calibri"/>
      <family val="2"/>
    </font>
    <font>
      <b/>
      <vertAlign val="subscript"/>
      <sz val="11"/>
      <color indexed="8"/>
      <name val="Calibri"/>
      <family val="2"/>
    </font>
    <font>
      <sz val="11"/>
      <color indexed="8"/>
      <name val="Symbol"/>
      <family val="1"/>
      <charset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color indexed="8"/>
      <name val="Calibri"/>
      <family val="2"/>
    </font>
    <font>
      <vertAlign val="subscript"/>
      <sz val="11"/>
      <name val="Calibri"/>
      <family val="2"/>
    </font>
    <font>
      <sz val="11"/>
      <name val="Symbol"/>
      <family val="1"/>
      <charset val="2"/>
    </font>
    <font>
      <b/>
      <vertAlign val="subscript"/>
      <sz val="11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indexed="8"/>
      <name val="Myriad Pro"/>
      <family val="2"/>
    </font>
    <font>
      <sz val="11"/>
      <color theme="1"/>
      <name val="Myriad Pro"/>
      <family val="2"/>
    </font>
    <font>
      <sz val="11"/>
      <color theme="0"/>
      <name val="Myriad Pro"/>
      <family val="2"/>
    </font>
    <font>
      <sz val="11"/>
      <name val="Myriad Web"/>
      <family val="2"/>
    </font>
    <font>
      <sz val="11"/>
      <name val="Myriad Pro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8"/>
      <color indexed="8"/>
      <name val="Myriad Pro"/>
      <family val="2"/>
    </font>
    <font>
      <sz val="11"/>
      <color theme="1"/>
      <name val="Symbol"/>
      <family val="1"/>
      <charset val="2"/>
    </font>
    <font>
      <vertAlign val="subscript"/>
      <sz val="1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Symbol"/>
      <family val="1"/>
      <charset val="2"/>
    </font>
    <font>
      <vertAlign val="subscript"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0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6" fillId="0" borderId="6" xfId="0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6" fontId="6" fillId="0" borderId="2" xfId="2" applyNumberFormat="1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7" xfId="0" applyFill="1" applyBorder="1"/>
    <xf numFmtId="0" fontId="0" fillId="2" borderId="7" xfId="0" applyFill="1" applyBorder="1" applyAlignment="1">
      <alignment horizontal="center"/>
    </xf>
    <xf numFmtId="166" fontId="11" fillId="0" borderId="7" xfId="2" applyNumberFormat="1" applyFont="1" applyBorder="1" applyAlignment="1">
      <alignment horizontal="center"/>
    </xf>
    <xf numFmtId="2" fontId="6" fillId="0" borderId="7" xfId="2" applyNumberFormat="1" applyFont="1" applyBorder="1" applyAlignment="1">
      <alignment horizontal="center"/>
    </xf>
    <xf numFmtId="166" fontId="6" fillId="0" borderId="7" xfId="2" applyNumberFormat="1" applyFont="1" applyBorder="1" applyAlignment="1">
      <alignment horizontal="center"/>
    </xf>
    <xf numFmtId="164" fontId="0" fillId="0" borderId="0" xfId="1" applyFont="1"/>
    <xf numFmtId="2" fontId="0" fillId="0" borderId="0" xfId="0" applyNumberForma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0" fillId="2" borderId="0" xfId="0" applyFill="1"/>
    <xf numFmtId="0" fontId="0" fillId="0" borderId="0" xfId="0" applyAlignment="1">
      <alignment horizontal="right"/>
    </xf>
    <xf numFmtId="0" fontId="0" fillId="0" borderId="0" xfId="0" applyFill="1"/>
    <xf numFmtId="0" fontId="0" fillId="3" borderId="10" xfId="0" applyFill="1" applyBorder="1"/>
    <xf numFmtId="0" fontId="0" fillId="3" borderId="12" xfId="0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3" borderId="13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0" borderId="7" xfId="0" applyFont="1" applyFill="1" applyBorder="1"/>
    <xf numFmtId="166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43" fontId="1" fillId="0" borderId="0" xfId="2" applyFont="1"/>
    <xf numFmtId="0" fontId="9" fillId="0" borderId="15" xfId="0" applyFont="1" applyFill="1" applyBorder="1"/>
    <xf numFmtId="166" fontId="9" fillId="0" borderId="15" xfId="0" applyNumberFormat="1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43" fontId="9" fillId="0" borderId="16" xfId="2" applyFont="1" applyFill="1" applyBorder="1" applyAlignment="1">
      <alignment horizontal="center"/>
    </xf>
    <xf numFmtId="0" fontId="0" fillId="0" borderId="7" xfId="0" applyBorder="1"/>
    <xf numFmtId="0" fontId="9" fillId="0" borderId="6" xfId="0" applyFont="1" applyFill="1" applyBorder="1"/>
    <xf numFmtId="166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2" fontId="12" fillId="0" borderId="6" xfId="0" applyNumberFormat="1" applyFont="1" applyFill="1" applyBorder="1" applyAlignment="1">
      <alignment horizontal="center"/>
    </xf>
    <xf numFmtId="43" fontId="9" fillId="0" borderId="14" xfId="2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3" borderId="13" xfId="0" applyFill="1" applyBorder="1"/>
    <xf numFmtId="0" fontId="9" fillId="0" borderId="0" xfId="0" applyFont="1"/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13" fillId="0" borderId="0" xfId="0" applyFont="1" applyAlignment="1">
      <alignment horizontal="left"/>
    </xf>
    <xf numFmtId="0" fontId="0" fillId="3" borderId="17" xfId="0" applyFill="1" applyBorder="1"/>
    <xf numFmtId="2" fontId="0" fillId="3" borderId="8" xfId="0" applyNumberFormat="1" applyFill="1" applyBorder="1" applyAlignment="1">
      <alignment horizontal="center"/>
    </xf>
    <xf numFmtId="0" fontId="0" fillId="3" borderId="8" xfId="0" applyFill="1" applyBorder="1"/>
    <xf numFmtId="2" fontId="0" fillId="3" borderId="18" xfId="0" applyNumberFormat="1" applyFill="1" applyBorder="1" applyAlignment="1">
      <alignment horizontal="center"/>
    </xf>
    <xf numFmtId="168" fontId="0" fillId="0" borderId="0" xfId="0" applyNumberFormat="1"/>
    <xf numFmtId="0" fontId="0" fillId="0" borderId="14" xfId="0" applyBorder="1" applyAlignment="1">
      <alignment horizontal="center"/>
    </xf>
    <xf numFmtId="1" fontId="9" fillId="0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 vertical="center"/>
    </xf>
    <xf numFmtId="166" fontId="11" fillId="0" borderId="7" xfId="2" applyNumberFormat="1" applyFont="1" applyFill="1" applyBorder="1" applyAlignment="1">
      <alignment horizontal="center"/>
    </xf>
    <xf numFmtId="1" fontId="9" fillId="0" borderId="7" xfId="0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69" fontId="11" fillId="0" borderId="0" xfId="2" applyNumberFormat="1" applyFont="1"/>
    <xf numFmtId="170" fontId="9" fillId="0" borderId="0" xfId="0" applyNumberFormat="1" applyFont="1"/>
    <xf numFmtId="170" fontId="0" fillId="0" borderId="0" xfId="0" applyNumberFormat="1"/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2" fontId="11" fillId="0" borderId="7" xfId="2" applyNumberFormat="1" applyFont="1" applyFill="1" applyBorder="1" applyAlignment="1">
      <alignment horizontal="center" vertical="center"/>
    </xf>
    <xf numFmtId="2" fontId="12" fillId="0" borderId="7" xfId="2" applyNumberFormat="1" applyFont="1" applyFill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 vertical="center"/>
    </xf>
    <xf numFmtId="166" fontId="12" fillId="0" borderId="2" xfId="2" applyNumberFormat="1" applyFont="1" applyFill="1" applyBorder="1" applyAlignment="1">
      <alignment horizontal="center" vertical="center"/>
    </xf>
    <xf numFmtId="0" fontId="9" fillId="0" borderId="0" xfId="0" applyFont="1" applyFill="1"/>
    <xf numFmtId="0" fontId="0" fillId="0" borderId="19" xfId="0" applyBorder="1"/>
    <xf numFmtId="0" fontId="9" fillId="4" borderId="1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2" fontId="12" fillId="0" borderId="7" xfId="2" applyNumberFormat="1" applyFont="1" applyBorder="1" applyAlignment="1">
      <alignment horizontal="center"/>
    </xf>
    <xf numFmtId="166" fontId="12" fillId="0" borderId="2" xfId="2" applyNumberFormat="1" applyFont="1" applyBorder="1" applyAlignment="1">
      <alignment horizontal="center"/>
    </xf>
    <xf numFmtId="166" fontId="12" fillId="0" borderId="0" xfId="2" applyNumberFormat="1" applyFont="1" applyBorder="1" applyAlignment="1">
      <alignment horizontal="center"/>
    </xf>
    <xf numFmtId="166" fontId="10" fillId="0" borderId="19" xfId="2" applyNumberFormat="1" applyFont="1" applyBorder="1" applyAlignment="1">
      <alignment horizontal="center"/>
    </xf>
    <xf numFmtId="166" fontId="10" fillId="0" borderId="0" xfId="2" applyNumberFormat="1" applyFont="1" applyBorder="1" applyAlignment="1">
      <alignment horizontal="center"/>
    </xf>
    <xf numFmtId="169" fontId="11" fillId="0" borderId="0" xfId="2" applyNumberFormat="1" applyFont="1" applyFill="1"/>
    <xf numFmtId="170" fontId="9" fillId="0" borderId="0" xfId="0" applyNumberFormat="1" applyFont="1" applyFill="1"/>
    <xf numFmtId="166" fontId="0" fillId="0" borderId="0" xfId="0" applyNumberFormat="1"/>
    <xf numFmtId="171" fontId="0" fillId="0" borderId="6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11" fillId="0" borderId="7" xfId="2" applyNumberFormat="1" applyFont="1" applyFill="1" applyBorder="1" applyAlignment="1">
      <alignment horizontal="center"/>
    </xf>
    <xf numFmtId="166" fontId="12" fillId="0" borderId="7" xfId="2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1" fillId="0" borderId="0" xfId="2" applyNumberFormat="1" applyFont="1" applyAlignment="1">
      <alignment horizontal="center"/>
    </xf>
    <xf numFmtId="0" fontId="0" fillId="3" borderId="12" xfId="0" applyFill="1" applyBorder="1" applyAlignment="1">
      <alignment horizontal="center"/>
    </xf>
    <xf numFmtId="0" fontId="9" fillId="0" borderId="19" xfId="0" applyFont="1" applyFill="1" applyBorder="1"/>
    <xf numFmtId="0" fontId="9" fillId="0" borderId="1" xfId="0" applyFont="1" applyFill="1" applyBorder="1"/>
    <xf numFmtId="0" fontId="9" fillId="0" borderId="1" xfId="0" applyFont="1" applyFill="1" applyBorder="1" applyAlignment="1">
      <alignment horizontal="center"/>
    </xf>
    <xf numFmtId="43" fontId="11" fillId="0" borderId="7" xfId="2" applyFont="1" applyBorder="1" applyAlignment="1">
      <alignment horizontal="center"/>
    </xf>
    <xf numFmtId="166" fontId="6" fillId="0" borderId="0" xfId="2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43" fontId="1" fillId="0" borderId="0" xfId="2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170" fontId="0" fillId="0" borderId="0" xfId="0" applyNumberFormat="1" applyBorder="1"/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166" fontId="11" fillId="0" borderId="0" xfId="2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right"/>
    </xf>
    <xf numFmtId="43" fontId="11" fillId="0" borderId="7" xfId="2" applyFont="1" applyFill="1" applyBorder="1" applyAlignment="1">
      <alignment horizontal="center"/>
    </xf>
    <xf numFmtId="2" fontId="12" fillId="0" borderId="7" xfId="2" applyNumberFormat="1" applyFont="1" applyFill="1" applyBorder="1" applyAlignment="1">
      <alignment horizontal="center"/>
    </xf>
    <xf numFmtId="2" fontId="10" fillId="0" borderId="0" xfId="2" applyNumberFormat="1" applyFont="1" applyBorder="1" applyAlignment="1">
      <alignment horizontal="center"/>
    </xf>
    <xf numFmtId="1" fontId="9" fillId="5" borderId="7" xfId="0" applyNumberFormat="1" applyFont="1" applyFill="1" applyBorder="1" applyAlignment="1">
      <alignment horizontal="center" vertical="center"/>
    </xf>
    <xf numFmtId="166" fontId="11" fillId="0" borderId="7" xfId="2" applyNumberFormat="1" applyFont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 vertical="center"/>
    </xf>
    <xf numFmtId="166" fontId="12" fillId="0" borderId="7" xfId="2" applyNumberFormat="1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 applyAlignment="1">
      <alignment horizontal="center" vertical="center"/>
    </xf>
    <xf numFmtId="0" fontId="0" fillId="0" borderId="2" xfId="0" applyBorder="1"/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2" fontId="12" fillId="0" borderId="3" xfId="2" applyNumberFormat="1" applyFont="1" applyFill="1" applyBorder="1" applyAlignment="1">
      <alignment horizontal="center" vertical="center"/>
    </xf>
    <xf numFmtId="166" fontId="6" fillId="0" borderId="2" xfId="2" applyNumberFormat="1" applyFont="1" applyBorder="1" applyAlignment="1">
      <alignment horizontal="center" vertical="center"/>
    </xf>
    <xf numFmtId="0" fontId="0" fillId="0" borderId="0" xfId="0" applyAlignment="1">
      <alignment horizontal="right" wrapText="1"/>
    </xf>
    <xf numFmtId="166" fontId="10" fillId="0" borderId="1" xfId="2" applyNumberFormat="1" applyFont="1" applyBorder="1" applyAlignment="1">
      <alignment horizontal="center"/>
    </xf>
    <xf numFmtId="166" fontId="10" fillId="0" borderId="6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/>
    </xf>
    <xf numFmtId="166" fontId="10" fillId="0" borderId="7" xfId="2" applyNumberFormat="1" applyFont="1" applyBorder="1" applyAlignment="1">
      <alignment horizontal="center"/>
    </xf>
    <xf numFmtId="166" fontId="11" fillId="5" borderId="7" xfId="2" applyNumberFormat="1" applyFont="1" applyFill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horizontal="center" wrapText="1"/>
    </xf>
    <xf numFmtId="1" fontId="1" fillId="0" borderId="7" xfId="2" applyNumberFormat="1" applyFont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10" fillId="0" borderId="0" xfId="2" applyNumberFormat="1" applyFont="1" applyBorder="1" applyAlignment="1">
      <alignment horizontal="left"/>
    </xf>
    <xf numFmtId="0" fontId="0" fillId="4" borderId="0" xfId="0" applyFill="1"/>
    <xf numFmtId="0" fontId="10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72" fontId="0" fillId="0" borderId="7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73" fontId="1" fillId="0" borderId="7" xfId="2" applyNumberFormat="1" applyFont="1" applyBorder="1"/>
    <xf numFmtId="174" fontId="0" fillId="0" borderId="7" xfId="0" applyNumberFormat="1" applyBorder="1"/>
    <xf numFmtId="175" fontId="0" fillId="0" borderId="7" xfId="0" applyNumberFormat="1" applyBorder="1"/>
    <xf numFmtId="166" fontId="0" fillId="0" borderId="0" xfId="0" applyNumberFormat="1" applyBorder="1" applyAlignment="1">
      <alignment horizontal="center"/>
    </xf>
    <xf numFmtId="173" fontId="1" fillId="0" borderId="0" xfId="2" applyNumberFormat="1" applyFont="1" applyBorder="1"/>
    <xf numFmtId="174" fontId="0" fillId="0" borderId="0" xfId="0" applyNumberFormat="1" applyBorder="1"/>
    <xf numFmtId="175" fontId="0" fillId="0" borderId="0" xfId="0" applyNumberFormat="1" applyBorder="1"/>
    <xf numFmtId="176" fontId="1" fillId="0" borderId="0" xfId="2" applyNumberFormat="1" applyFont="1" applyBorder="1" applyAlignment="1">
      <alignment horizontal="center"/>
    </xf>
    <xf numFmtId="0" fontId="19" fillId="0" borderId="0" xfId="0" applyFont="1" applyFill="1" applyBorder="1"/>
    <xf numFmtId="0" fontId="0" fillId="0" borderId="7" xfId="0" applyBorder="1" applyAlignment="1">
      <alignment horizontal="center"/>
    </xf>
    <xf numFmtId="176" fontId="1" fillId="0" borderId="7" xfId="2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1" xfId="0" applyBorder="1" applyAlignment="1">
      <alignment horizontal="center"/>
    </xf>
    <xf numFmtId="1" fontId="11" fillId="0" borderId="7" xfId="2" applyNumberFormat="1" applyFont="1" applyFill="1" applyBorder="1" applyAlignment="1">
      <alignment horizontal="center"/>
    </xf>
    <xf numFmtId="166" fontId="9" fillId="0" borderId="3" xfId="0" applyNumberFormat="1" applyFon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43" fontId="1" fillId="0" borderId="0" xfId="2" applyNumberFormat="1" applyFont="1"/>
    <xf numFmtId="0" fontId="2" fillId="0" borderId="0" xfId="0" applyFont="1"/>
    <xf numFmtId="0" fontId="0" fillId="0" borderId="0" xfId="0" applyFill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Alignment="1">
      <alignment horizontal="center"/>
    </xf>
    <xf numFmtId="166" fontId="12" fillId="0" borderId="7" xfId="2" applyNumberFormat="1" applyFont="1" applyBorder="1" applyAlignment="1">
      <alignment horizontal="center"/>
    </xf>
    <xf numFmtId="2" fontId="0" fillId="0" borderId="7" xfId="0" applyNumberFormat="1" applyFill="1" applyBorder="1" applyAlignment="1">
      <alignment horizontal="center" vertical="center"/>
    </xf>
    <xf numFmtId="1" fontId="9" fillId="0" borderId="0" xfId="2" applyNumberFormat="1" applyFont="1" applyFill="1" applyAlignment="1">
      <alignment horizontal="center"/>
    </xf>
    <xf numFmtId="167" fontId="11" fillId="0" borderId="7" xfId="2" applyNumberFormat="1" applyFont="1" applyFill="1" applyBorder="1" applyAlignment="1">
      <alignment horizontal="center"/>
    </xf>
    <xf numFmtId="0" fontId="0" fillId="3" borderId="26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9" xfId="0" applyFill="1" applyBorder="1" applyAlignment="1"/>
    <xf numFmtId="0" fontId="0" fillId="0" borderId="27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0" borderId="5" xfId="0" applyBorder="1" applyAlignment="1">
      <alignment horizontal="center"/>
    </xf>
    <xf numFmtId="2" fontId="12" fillId="2" borderId="7" xfId="2" applyNumberFormat="1" applyFont="1" applyFill="1" applyBorder="1" applyAlignment="1">
      <alignment horizontal="center"/>
    </xf>
    <xf numFmtId="43" fontId="12" fillId="0" borderId="7" xfId="2" applyFont="1" applyBorder="1" applyAlignment="1">
      <alignment horizontal="center"/>
    </xf>
    <xf numFmtId="43" fontId="1" fillId="3" borderId="12" xfId="2" applyFont="1" applyFill="1" applyBorder="1" applyAlignment="1">
      <alignment horizontal="center"/>
    </xf>
    <xf numFmtId="43" fontId="1" fillId="3" borderId="0" xfId="2" applyFont="1" applyFill="1" applyBorder="1" applyAlignment="1">
      <alignment horizontal="center"/>
    </xf>
    <xf numFmtId="43" fontId="1" fillId="3" borderId="13" xfId="2" applyFon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0" fontId="0" fillId="0" borderId="15" xfId="0" applyBorder="1"/>
    <xf numFmtId="166" fontId="11" fillId="0" borderId="15" xfId="2" applyNumberFormat="1" applyFont="1" applyBorder="1" applyAlignment="1">
      <alignment horizontal="center"/>
    </xf>
    <xf numFmtId="2" fontId="12" fillId="2" borderId="15" xfId="2" applyNumberFormat="1" applyFont="1" applyFill="1" applyBorder="1" applyAlignment="1">
      <alignment horizontal="center"/>
    </xf>
    <xf numFmtId="43" fontId="12" fillId="0" borderId="15" xfId="2" applyFont="1" applyBorder="1" applyAlignment="1">
      <alignment horizontal="center"/>
    </xf>
    <xf numFmtId="166" fontId="11" fillId="0" borderId="6" xfId="2" applyNumberFormat="1" applyFont="1" applyBorder="1" applyAlignment="1">
      <alignment horizontal="center"/>
    </xf>
    <xf numFmtId="2" fontId="12" fillId="2" borderId="6" xfId="2" applyNumberFormat="1" applyFont="1" applyFill="1" applyBorder="1" applyAlignment="1">
      <alignment horizontal="center"/>
    </xf>
    <xf numFmtId="43" fontId="12" fillId="0" borderId="6" xfId="2" applyFont="1" applyBorder="1" applyAlignment="1">
      <alignment horizontal="center"/>
    </xf>
    <xf numFmtId="2" fontId="12" fillId="0" borderId="6" xfId="2" applyNumberFormat="1" applyFont="1" applyBorder="1" applyAlignment="1">
      <alignment horizontal="center"/>
    </xf>
    <xf numFmtId="0" fontId="0" fillId="3" borderId="12" xfId="0" applyFill="1" applyBorder="1" applyAlignment="1"/>
    <xf numFmtId="0" fontId="0" fillId="3" borderId="0" xfId="0" applyFill="1" applyBorder="1" applyAlignment="1"/>
    <xf numFmtId="0" fontId="0" fillId="3" borderId="13" xfId="0" applyFill="1" applyBorder="1" applyAlignment="1"/>
    <xf numFmtId="0" fontId="0" fillId="0" borderId="7" xfId="0" applyFill="1" applyBorder="1"/>
    <xf numFmtId="0" fontId="0" fillId="0" borderId="0" xfId="0" applyFill="1" applyAlignment="1">
      <alignment horizontal="center" vertical="center"/>
    </xf>
    <xf numFmtId="43" fontId="1" fillId="3" borderId="17" xfId="2" applyFont="1" applyFill="1" applyBorder="1" applyAlignment="1">
      <alignment horizontal="center"/>
    </xf>
    <xf numFmtId="43" fontId="1" fillId="3" borderId="8" xfId="2" applyFont="1" applyFill="1" applyBorder="1" applyAlignment="1">
      <alignment horizontal="center"/>
    </xf>
    <xf numFmtId="43" fontId="1" fillId="3" borderId="18" xfId="2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6" fontId="9" fillId="0" borderId="28" xfId="0" applyNumberFormat="1" applyFont="1" applyFill="1" applyBorder="1" applyAlignment="1">
      <alignment horizontal="center"/>
    </xf>
    <xf numFmtId="1" fontId="9" fillId="0" borderId="28" xfId="0" applyNumberFormat="1" applyFont="1" applyFill="1" applyBorder="1" applyAlignment="1">
      <alignment horizontal="center"/>
    </xf>
    <xf numFmtId="166" fontId="11" fillId="0" borderId="28" xfId="3" applyNumberFormat="1" applyFont="1" applyFill="1" applyBorder="1" applyAlignment="1">
      <alignment horizontal="center"/>
    </xf>
    <xf numFmtId="1" fontId="9" fillId="0" borderId="6" xfId="0" applyNumberFormat="1" applyFont="1" applyFill="1" applyBorder="1" applyAlignment="1">
      <alignment horizontal="center"/>
    </xf>
    <xf numFmtId="166" fontId="10" fillId="0" borderId="0" xfId="3" applyNumberFormat="1" applyFont="1" applyBorder="1" applyAlignment="1">
      <alignment horizontal="center"/>
    </xf>
    <xf numFmtId="0" fontId="0" fillId="7" borderId="7" xfId="0" applyFill="1" applyBorder="1"/>
    <xf numFmtId="1" fontId="9" fillId="7" borderId="7" xfId="0" applyNumberFormat="1" applyFont="1" applyFill="1" applyBorder="1" applyAlignment="1">
      <alignment horizontal="center"/>
    </xf>
    <xf numFmtId="166" fontId="9" fillId="7" borderId="7" xfId="0" applyNumberFormat="1" applyFont="1" applyFill="1" applyBorder="1" applyAlignment="1">
      <alignment horizontal="center"/>
    </xf>
    <xf numFmtId="166" fontId="11" fillId="7" borderId="7" xfId="3" applyNumberFormat="1" applyFont="1" applyFill="1" applyBorder="1" applyAlignment="1">
      <alignment horizontal="center"/>
    </xf>
    <xf numFmtId="0" fontId="0" fillId="0" borderId="28" xfId="0" applyFill="1" applyBorder="1"/>
    <xf numFmtId="0" fontId="0" fillId="0" borderId="0" xfId="0" quotePrefix="1"/>
    <xf numFmtId="0" fontId="0" fillId="7" borderId="6" xfId="0" applyFill="1" applyBorder="1"/>
    <xf numFmtId="1" fontId="9" fillId="7" borderId="6" xfId="0" applyNumberFormat="1" applyFont="1" applyFill="1" applyBorder="1" applyAlignment="1">
      <alignment horizontal="center"/>
    </xf>
    <xf numFmtId="166" fontId="9" fillId="7" borderId="6" xfId="0" applyNumberFormat="1" applyFont="1" applyFill="1" applyBorder="1" applyAlignment="1">
      <alignment horizontal="center"/>
    </xf>
    <xf numFmtId="166" fontId="11" fillId="7" borderId="6" xfId="3" applyNumberFormat="1" applyFont="1" applyFill="1" applyBorder="1" applyAlignment="1">
      <alignment horizontal="center"/>
    </xf>
    <xf numFmtId="166" fontId="11" fillId="0" borderId="7" xfId="3" applyNumberFormat="1" applyFont="1" applyFill="1" applyBorder="1" applyAlignment="1">
      <alignment horizontal="center"/>
    </xf>
    <xf numFmtId="0" fontId="22" fillId="0" borderId="0" xfId="0" applyFont="1" applyFill="1" applyBorder="1"/>
    <xf numFmtId="0" fontId="23" fillId="0" borderId="0" xfId="0" applyFont="1" applyFill="1" applyBorder="1"/>
    <xf numFmtId="0" fontId="22" fillId="0" borderId="0" xfId="0" applyFont="1" applyFill="1" applyBorder="1" applyAlignment="1"/>
    <xf numFmtId="0" fontId="0" fillId="0" borderId="0" xfId="0" applyFill="1" applyBorder="1"/>
    <xf numFmtId="0" fontId="24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177" fontId="2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 wrapText="1"/>
    </xf>
    <xf numFmtId="1" fontId="25" fillId="0" borderId="0" xfId="3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horizontal="center"/>
    </xf>
    <xf numFmtId="0" fontId="0" fillId="7" borderId="29" xfId="0" applyFill="1" applyBorder="1"/>
    <xf numFmtId="1" fontId="9" fillId="7" borderId="29" xfId="0" applyNumberFormat="1" applyFont="1" applyFill="1" applyBorder="1" applyAlignment="1">
      <alignment horizontal="center"/>
    </xf>
    <xf numFmtId="166" fontId="9" fillId="7" borderId="29" xfId="0" applyNumberFormat="1" applyFont="1" applyFill="1" applyBorder="1" applyAlignment="1">
      <alignment horizontal="center"/>
    </xf>
    <xf numFmtId="166" fontId="11" fillId="7" borderId="29" xfId="3" applyNumberFormat="1" applyFont="1" applyFill="1" applyBorder="1" applyAlignment="1">
      <alignment horizontal="center"/>
    </xf>
    <xf numFmtId="2" fontId="1" fillId="0" borderId="0" xfId="3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2" fontId="23" fillId="0" borderId="0" xfId="0" applyNumberFormat="1" applyFont="1" applyFill="1" applyBorder="1" applyAlignment="1">
      <alignment vertical="center"/>
    </xf>
    <xf numFmtId="0" fontId="22" fillId="0" borderId="0" xfId="0" applyFont="1"/>
    <xf numFmtId="169" fontId="11" fillId="0" borderId="0" xfId="3" applyNumberFormat="1" applyFont="1"/>
    <xf numFmtId="1" fontId="9" fillId="0" borderId="1" xfId="0" applyNumberFormat="1" applyFont="1" applyFill="1" applyBorder="1" applyAlignment="1">
      <alignment horizontal="center"/>
    </xf>
    <xf numFmtId="166" fontId="9" fillId="0" borderId="1" xfId="0" applyNumberFormat="1" applyFont="1" applyFill="1" applyBorder="1" applyAlignment="1">
      <alignment horizontal="center"/>
    </xf>
    <xf numFmtId="166" fontId="11" fillId="0" borderId="1" xfId="3" applyNumberFormat="1" applyFont="1" applyFill="1" applyBorder="1" applyAlignment="1">
      <alignment horizontal="center"/>
    </xf>
    <xf numFmtId="166" fontId="11" fillId="2" borderId="7" xfId="3" applyNumberFormat="1" applyFont="1" applyFill="1" applyBorder="1" applyAlignment="1">
      <alignment horizontal="center"/>
    </xf>
    <xf numFmtId="1" fontId="0" fillId="7" borderId="7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1" fontId="11" fillId="0" borderId="1" xfId="3" applyNumberFormat="1" applyFont="1" applyFill="1" applyBorder="1" applyAlignment="1">
      <alignment horizontal="center"/>
    </xf>
    <xf numFmtId="166" fontId="9" fillId="0" borderId="20" xfId="0" applyNumberFormat="1" applyFont="1" applyFill="1" applyBorder="1" applyAlignment="1">
      <alignment horizontal="center"/>
    </xf>
    <xf numFmtId="1" fontId="11" fillId="0" borderId="28" xfId="3" applyNumberFormat="1" applyFont="1" applyFill="1" applyBorder="1" applyAlignment="1">
      <alignment horizontal="center"/>
    </xf>
    <xf numFmtId="166" fontId="9" fillId="0" borderId="31" xfId="0" applyNumberFormat="1" applyFont="1" applyFill="1" applyBorder="1" applyAlignment="1">
      <alignment horizontal="center"/>
    </xf>
    <xf numFmtId="1" fontId="11" fillId="0" borderId="7" xfId="3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6" fontId="6" fillId="0" borderId="0" xfId="3" applyNumberFormat="1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7" borderId="7" xfId="0" applyFill="1" applyBorder="1" applyAlignment="1">
      <alignment vertical="top" wrapText="1"/>
    </xf>
    <xf numFmtId="166" fontId="9" fillId="7" borderId="7" xfId="0" applyNumberFormat="1" applyFont="1" applyFill="1" applyBorder="1" applyAlignment="1">
      <alignment horizontal="center" vertical="center"/>
    </xf>
    <xf numFmtId="1" fontId="9" fillId="7" borderId="7" xfId="0" applyNumberFormat="1" applyFont="1" applyFill="1" applyBorder="1" applyAlignment="1">
      <alignment horizontal="center" vertical="center"/>
    </xf>
    <xf numFmtId="2" fontId="11" fillId="7" borderId="7" xfId="3" applyNumberFormat="1" applyFont="1" applyFill="1" applyBorder="1" applyAlignment="1">
      <alignment horizontal="center" vertical="center"/>
    </xf>
    <xf numFmtId="166" fontId="12" fillId="7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 vertical="center"/>
    </xf>
    <xf numFmtId="0" fontId="0" fillId="0" borderId="28" xfId="0" applyFill="1" applyBorder="1" applyAlignment="1">
      <alignment vertical="top" wrapText="1"/>
    </xf>
    <xf numFmtId="166" fontId="9" fillId="0" borderId="28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4" borderId="28" xfId="0" applyNumberFormat="1" applyFont="1" applyFill="1" applyBorder="1" applyAlignment="1">
      <alignment horizontal="center" vertical="center"/>
    </xf>
    <xf numFmtId="2" fontId="11" fillId="0" borderId="28" xfId="3" applyNumberFormat="1" applyFont="1" applyFill="1" applyBorder="1" applyAlignment="1">
      <alignment horizontal="center" vertical="center"/>
    </xf>
    <xf numFmtId="166" fontId="12" fillId="0" borderId="28" xfId="3" applyNumberFormat="1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7" borderId="6" xfId="0" applyFill="1" applyBorder="1" applyAlignment="1">
      <alignment vertical="top" wrapText="1"/>
    </xf>
    <xf numFmtId="166" fontId="9" fillId="7" borderId="6" xfId="0" applyNumberFormat="1" applyFont="1" applyFill="1" applyBorder="1" applyAlignment="1">
      <alignment horizontal="center" vertical="center"/>
    </xf>
    <xf numFmtId="1" fontId="9" fillId="7" borderId="6" xfId="0" applyNumberFormat="1" applyFont="1" applyFill="1" applyBorder="1" applyAlignment="1">
      <alignment horizontal="center" vertical="center"/>
    </xf>
    <xf numFmtId="2" fontId="11" fillId="7" borderId="6" xfId="3" applyNumberFormat="1" applyFont="1" applyFill="1" applyBorder="1" applyAlignment="1">
      <alignment horizontal="center" vertical="center"/>
    </xf>
    <xf numFmtId="166" fontId="12" fillId="7" borderId="6" xfId="3" applyNumberFormat="1" applyFont="1" applyFill="1" applyBorder="1" applyAlignment="1">
      <alignment horizontal="center" vertical="center"/>
    </xf>
    <xf numFmtId="2" fontId="9" fillId="7" borderId="6" xfId="0" applyNumberFormat="1" applyFont="1" applyFill="1" applyBorder="1" applyAlignment="1">
      <alignment horizontal="center" vertical="center"/>
    </xf>
    <xf numFmtId="9" fontId="0" fillId="0" borderId="2" xfId="4" applyFont="1" applyFill="1" applyBorder="1" applyAlignment="1">
      <alignment horizontal="center" vertical="center"/>
    </xf>
    <xf numFmtId="0" fontId="0" fillId="4" borderId="7" xfId="0" applyFill="1" applyBorder="1" applyAlignment="1">
      <alignment vertical="top" wrapText="1"/>
    </xf>
    <xf numFmtId="166" fontId="9" fillId="0" borderId="7" xfId="0" applyNumberFormat="1" applyFont="1" applyFill="1" applyBorder="1" applyAlignment="1">
      <alignment horizontal="center" vertical="center"/>
    </xf>
    <xf numFmtId="1" fontId="9" fillId="4" borderId="7" xfId="0" applyNumberFormat="1" applyFont="1" applyFill="1" applyBorder="1" applyAlignment="1">
      <alignment horizontal="center" vertical="center"/>
    </xf>
    <xf numFmtId="2" fontId="11" fillId="0" borderId="7" xfId="3" applyNumberFormat="1" applyFont="1" applyFill="1" applyBorder="1" applyAlignment="1">
      <alignment horizontal="center" vertical="center"/>
    </xf>
    <xf numFmtId="166" fontId="12" fillId="0" borderId="7" xfId="3" applyNumberFormat="1" applyFont="1" applyFill="1" applyBorder="1" applyAlignment="1">
      <alignment horizontal="center" vertical="center"/>
    </xf>
    <xf numFmtId="166" fontId="9" fillId="0" borderId="14" xfId="0" applyNumberFormat="1" applyFont="1" applyFill="1" applyBorder="1" applyAlignment="1">
      <alignment horizontal="center" vertical="center"/>
    </xf>
    <xf numFmtId="2" fontId="9" fillId="0" borderId="7" xfId="0" applyNumberFormat="1" applyFont="1" applyFill="1" applyBorder="1" applyAlignment="1">
      <alignment horizontal="center" vertical="center"/>
    </xf>
    <xf numFmtId="164" fontId="0" fillId="2" borderId="7" xfId="1" applyFont="1" applyFill="1" applyBorder="1"/>
    <xf numFmtId="166" fontId="11" fillId="7" borderId="3" xfId="3" applyNumberFormat="1" applyFont="1" applyFill="1" applyBorder="1" applyAlignment="1">
      <alignment horizontal="center"/>
    </xf>
    <xf numFmtId="166" fontId="10" fillId="0" borderId="0" xfId="3" applyNumberFormat="1" applyFont="1" applyFill="1" applyBorder="1" applyAlignment="1">
      <alignment horizontal="center"/>
    </xf>
    <xf numFmtId="166" fontId="11" fillId="0" borderId="31" xfId="3" applyNumberFormat="1" applyFont="1" applyFill="1" applyBorder="1" applyAlignment="1">
      <alignment horizontal="center"/>
    </xf>
    <xf numFmtId="166" fontId="11" fillId="7" borderId="21" xfId="3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center"/>
    </xf>
    <xf numFmtId="166" fontId="11" fillId="0" borderId="0" xfId="3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166" fontId="11" fillId="0" borderId="3" xfId="3" applyNumberFormat="1" applyFont="1" applyFill="1" applyBorder="1" applyAlignment="1">
      <alignment horizontal="center" vertical="center"/>
    </xf>
    <xf numFmtId="166" fontId="11" fillId="0" borderId="7" xfId="3" applyNumberFormat="1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center" vertical="center"/>
    </xf>
    <xf numFmtId="166" fontId="11" fillId="0" borderId="0" xfId="3" applyNumberFormat="1" applyFont="1" applyFill="1" applyBorder="1" applyAlignment="1">
      <alignment horizontal="center" vertical="center"/>
    </xf>
    <xf numFmtId="166" fontId="11" fillId="7" borderId="30" xfId="3" applyNumberFormat="1" applyFont="1" applyFill="1" applyBorder="1" applyAlignment="1">
      <alignment horizontal="center"/>
    </xf>
    <xf numFmtId="0" fontId="0" fillId="0" borderId="0" xfId="0" quotePrefix="1" applyAlignment="1">
      <alignment vertical="center"/>
    </xf>
    <xf numFmtId="1" fontId="17" fillId="2" borderId="7" xfId="0" applyNumberFormat="1" applyFont="1" applyFill="1" applyBorder="1" applyAlignment="1">
      <alignment horizontal="center" vertical="center"/>
    </xf>
    <xf numFmtId="166" fontId="11" fillId="7" borderId="7" xfId="3" applyNumberFormat="1" applyFont="1" applyFill="1" applyBorder="1" applyAlignment="1">
      <alignment horizontal="center" vertical="center"/>
    </xf>
    <xf numFmtId="164" fontId="9" fillId="7" borderId="7" xfId="3" applyFont="1" applyFill="1" applyBorder="1" applyAlignment="1">
      <alignment horizontal="center" vertical="center"/>
    </xf>
    <xf numFmtId="164" fontId="11" fillId="7" borderId="7" xfId="3" applyFont="1" applyFill="1" applyBorder="1" applyAlignment="1">
      <alignment horizontal="center" vertical="center"/>
    </xf>
    <xf numFmtId="1" fontId="17" fillId="2" borderId="28" xfId="0" applyNumberFormat="1" applyFont="1" applyFill="1" applyBorder="1" applyAlignment="1">
      <alignment horizontal="center" vertical="center"/>
    </xf>
    <xf numFmtId="166" fontId="11" fillId="0" borderId="28" xfId="3" applyNumberFormat="1" applyFont="1" applyFill="1" applyBorder="1" applyAlignment="1">
      <alignment horizontal="center" vertical="center"/>
    </xf>
    <xf numFmtId="164" fontId="9" fillId="0" borderId="1" xfId="3" applyFont="1" applyFill="1" applyBorder="1" applyAlignment="1">
      <alignment horizontal="center" vertical="center"/>
    </xf>
    <xf numFmtId="164" fontId="11" fillId="0" borderId="1" xfId="3" applyFont="1" applyFill="1" applyBorder="1" applyAlignment="1">
      <alignment horizontal="center" vertical="center"/>
    </xf>
    <xf numFmtId="166" fontId="9" fillId="7" borderId="29" xfId="0" applyNumberFormat="1" applyFont="1" applyFill="1" applyBorder="1" applyAlignment="1">
      <alignment horizontal="center" vertical="center"/>
    </xf>
    <xf numFmtId="1" fontId="17" fillId="2" borderId="29" xfId="0" applyNumberFormat="1" applyFont="1" applyFill="1" applyBorder="1" applyAlignment="1">
      <alignment horizontal="center" vertical="center"/>
    </xf>
    <xf numFmtId="166" fontId="11" fillId="7" borderId="29" xfId="3" applyNumberFormat="1" applyFont="1" applyFill="1" applyBorder="1" applyAlignment="1">
      <alignment horizontal="center" vertical="center"/>
    </xf>
    <xf numFmtId="164" fontId="9" fillId="7" borderId="29" xfId="3" applyFont="1" applyFill="1" applyBorder="1" applyAlignment="1">
      <alignment horizontal="center" vertical="center"/>
    </xf>
    <xf numFmtId="164" fontId="11" fillId="7" borderId="29" xfId="3" applyFont="1" applyFill="1" applyBorder="1" applyAlignment="1">
      <alignment horizontal="center" vertical="center"/>
    </xf>
    <xf numFmtId="164" fontId="9" fillId="0" borderId="28" xfId="3" applyFont="1" applyFill="1" applyBorder="1" applyAlignment="1">
      <alignment horizontal="center" vertical="center"/>
    </xf>
    <xf numFmtId="164" fontId="11" fillId="0" borderId="28" xfId="3" applyFont="1" applyFill="1" applyBorder="1" applyAlignment="1">
      <alignment horizontal="center" vertical="center"/>
    </xf>
    <xf numFmtId="164" fontId="9" fillId="7" borderId="6" xfId="3" applyFont="1" applyFill="1" applyBorder="1" applyAlignment="1">
      <alignment horizontal="center" vertical="center"/>
    </xf>
    <xf numFmtId="164" fontId="11" fillId="7" borderId="6" xfId="3" applyFont="1" applyFill="1" applyBorder="1" applyAlignment="1">
      <alignment horizontal="center" vertical="center"/>
    </xf>
    <xf numFmtId="1" fontId="17" fillId="2" borderId="6" xfId="0" applyNumberFormat="1" applyFont="1" applyFill="1" applyBorder="1" applyAlignment="1">
      <alignment horizontal="center" vertical="center"/>
    </xf>
    <xf numFmtId="166" fontId="11" fillId="7" borderId="6" xfId="3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1" fontId="0" fillId="0" borderId="0" xfId="0" applyNumberFormat="1" applyFill="1" applyBorder="1" applyAlignment="1">
      <alignment horizontal="center"/>
    </xf>
    <xf numFmtId="166" fontId="11" fillId="0" borderId="20" xfId="3" applyNumberFormat="1" applyFont="1" applyFill="1" applyBorder="1" applyAlignment="1">
      <alignment horizontal="center"/>
    </xf>
    <xf numFmtId="0" fontId="0" fillId="7" borderId="6" xfId="0" applyFill="1" applyBorder="1" applyAlignment="1">
      <alignment vertical="center"/>
    </xf>
    <xf numFmtId="0" fontId="9" fillId="7" borderId="6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1" fontId="11" fillId="7" borderId="7" xfId="3" applyNumberFormat="1" applyFont="1" applyFill="1" applyBorder="1" applyAlignment="1">
      <alignment horizontal="center"/>
    </xf>
    <xf numFmtId="166" fontId="9" fillId="7" borderId="3" xfId="0" applyNumberFormat="1" applyFont="1" applyFill="1" applyBorder="1" applyAlignment="1">
      <alignment horizontal="center"/>
    </xf>
    <xf numFmtId="1" fontId="11" fillId="7" borderId="29" xfId="3" applyNumberFormat="1" applyFont="1" applyFill="1" applyBorder="1" applyAlignment="1">
      <alignment horizontal="center"/>
    </xf>
    <xf numFmtId="166" fontId="9" fillId="7" borderId="30" xfId="0" applyNumberFormat="1" applyFont="1" applyFill="1" applyBorder="1" applyAlignment="1">
      <alignment horizontal="center"/>
    </xf>
    <xf numFmtId="1" fontId="11" fillId="7" borderId="6" xfId="3" applyNumberFormat="1" applyFont="1" applyFill="1" applyBorder="1" applyAlignment="1">
      <alignment horizontal="center"/>
    </xf>
    <xf numFmtId="166" fontId="9" fillId="7" borderId="21" xfId="0" applyNumberFormat="1" applyFont="1" applyFill="1" applyBorder="1" applyAlignment="1">
      <alignment horizontal="center"/>
    </xf>
    <xf numFmtId="9" fontId="11" fillId="0" borderId="2" xfId="4" applyFont="1" applyFill="1" applyBorder="1" applyAlignment="1">
      <alignment horizontal="center"/>
    </xf>
    <xf numFmtId="164" fontId="9" fillId="4" borderId="7" xfId="3" applyFont="1" applyFill="1" applyBorder="1" applyAlignment="1">
      <alignment horizontal="center" vertical="center"/>
    </xf>
    <xf numFmtId="164" fontId="11" fillId="4" borderId="7" xfId="3" applyFont="1" applyFill="1" applyBorder="1" applyAlignment="1">
      <alignment horizontal="center" vertical="center"/>
    </xf>
    <xf numFmtId="9" fontId="11" fillId="0" borderId="0" xfId="4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166" fontId="11" fillId="6" borderId="7" xfId="2" applyNumberFormat="1" applyFont="1" applyFill="1" applyBorder="1" applyAlignment="1">
      <alignment horizontal="center"/>
    </xf>
    <xf numFmtId="0" fontId="0" fillId="0" borderId="23" xfId="0" applyBorder="1"/>
    <xf numFmtId="0" fontId="0" fillId="0" borderId="19" xfId="0" applyBorder="1" applyAlignment="1">
      <alignment horizontal="right"/>
    </xf>
    <xf numFmtId="166" fontId="11" fillId="2" borderId="7" xfId="2" applyNumberFormat="1" applyFont="1" applyFill="1" applyBorder="1" applyAlignment="1">
      <alignment horizont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9" fillId="0" borderId="2" xfId="0" applyFont="1" applyBorder="1"/>
    <xf numFmtId="0" fontId="9" fillId="2" borderId="0" xfId="0" applyFont="1" applyFill="1"/>
    <xf numFmtId="2" fontId="0" fillId="0" borderId="32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66" fontId="11" fillId="0" borderId="15" xfId="2" applyNumberFormat="1" applyFont="1" applyFill="1" applyBorder="1" applyAlignment="1">
      <alignment horizontal="center"/>
    </xf>
    <xf numFmtId="166" fontId="11" fillId="0" borderId="6" xfId="2" applyNumberFormat="1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1" fontId="9" fillId="0" borderId="19" xfId="0" applyNumberFormat="1" applyFont="1" applyFill="1" applyBorder="1" applyAlignment="1">
      <alignment horizontal="center"/>
    </xf>
    <xf numFmtId="166" fontId="11" fillId="0" borderId="19" xfId="2" applyNumberFormat="1" applyFont="1" applyFill="1" applyBorder="1" applyAlignment="1">
      <alignment horizontal="center"/>
    </xf>
    <xf numFmtId="43" fontId="11" fillId="0" borderId="0" xfId="2" applyFont="1" applyBorder="1" applyAlignment="1">
      <alignment horizontal="center"/>
    </xf>
    <xf numFmtId="166" fontId="6" fillId="0" borderId="15" xfId="2" applyNumberFormat="1" applyFont="1" applyBorder="1" applyAlignment="1">
      <alignment horizontal="center"/>
    </xf>
    <xf numFmtId="43" fontId="1" fillId="0" borderId="0" xfId="2" applyFont="1" applyBorder="1"/>
    <xf numFmtId="2" fontId="0" fillId="0" borderId="15" xfId="0" applyNumberFormat="1" applyBorder="1" applyAlignment="1">
      <alignment horizontal="center" vertical="center"/>
    </xf>
    <xf numFmtId="166" fontId="6" fillId="0" borderId="6" xfId="2" applyNumberFormat="1" applyFont="1" applyBorder="1" applyAlignment="1">
      <alignment horizontal="center"/>
    </xf>
    <xf numFmtId="164" fontId="9" fillId="0" borderId="7" xfId="1" applyNumberFormat="1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178" fontId="9" fillId="0" borderId="7" xfId="1" applyNumberFormat="1" applyFont="1" applyFill="1" applyBorder="1" applyAlignment="1">
      <alignment horizontal="center"/>
    </xf>
    <xf numFmtId="1" fontId="9" fillId="0" borderId="2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0" borderId="0" xfId="0" applyBorder="1" applyAlignment="1"/>
    <xf numFmtId="43" fontId="1" fillId="0" borderId="0" xfId="2" applyFont="1" applyFill="1" applyBorder="1" applyAlignment="1">
      <alignment horizontal="center"/>
    </xf>
    <xf numFmtId="167" fontId="0" fillId="0" borderId="0" xfId="0" applyNumberFormat="1" applyAlignment="1">
      <alignment horizontal="right"/>
    </xf>
    <xf numFmtId="166" fontId="11" fillId="2" borderId="0" xfId="2" applyNumberFormat="1" applyFont="1" applyFill="1" applyBorder="1" applyAlignment="1">
      <alignment horizontal="center" vertical="center"/>
    </xf>
    <xf numFmtId="166" fontId="9" fillId="0" borderId="19" xfId="0" applyNumberFormat="1" applyFont="1" applyFill="1" applyBorder="1" applyAlignment="1">
      <alignment horizontal="center"/>
    </xf>
    <xf numFmtId="0" fontId="0" fillId="0" borderId="24" xfId="0" applyFill="1" applyBorder="1"/>
    <xf numFmtId="0" fontId="9" fillId="0" borderId="24" xfId="0" applyFont="1" applyFill="1" applyBorder="1"/>
    <xf numFmtId="166" fontId="11" fillId="2" borderId="19" xfId="2" applyNumberFormat="1" applyFont="1" applyFill="1" applyBorder="1" applyAlignment="1">
      <alignment horizontal="center"/>
    </xf>
    <xf numFmtId="0" fontId="9" fillId="0" borderId="7" xfId="0" applyFont="1" applyBorder="1" applyAlignment="1">
      <alignment wrapText="1"/>
    </xf>
    <xf numFmtId="166" fontId="9" fillId="0" borderId="7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64" fontId="11" fillId="0" borderId="7" xfId="1" applyFont="1" applyBorder="1" applyAlignment="1">
      <alignment horizontal="center" vertical="center"/>
    </xf>
    <xf numFmtId="2" fontId="11" fillId="0" borderId="7" xfId="2" applyNumberFormat="1" applyFont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 wrapText="1"/>
    </xf>
    <xf numFmtId="166" fontId="6" fillId="0" borderId="7" xfId="2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166" fontId="11" fillId="4" borderId="7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Border="1" applyAlignment="1">
      <alignment horizontal="center"/>
    </xf>
    <xf numFmtId="43" fontId="12" fillId="0" borderId="7" xfId="2" applyFont="1" applyFill="1" applyBorder="1" applyAlignment="1">
      <alignment horizontal="center" vertical="center"/>
    </xf>
    <xf numFmtId="166" fontId="9" fillId="4" borderId="7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wrapText="1"/>
    </xf>
    <xf numFmtId="1" fontId="2" fillId="0" borderId="7" xfId="0" applyNumberFormat="1" applyFont="1" applyBorder="1" applyAlignment="1">
      <alignment horizontal="center" vertical="center"/>
    </xf>
    <xf numFmtId="166" fontId="2" fillId="4" borderId="7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wrapText="1"/>
    </xf>
    <xf numFmtId="166" fontId="9" fillId="0" borderId="6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64" fontId="11" fillId="0" borderId="6" xfId="1" applyFont="1" applyBorder="1" applyAlignment="1">
      <alignment horizontal="center" vertical="center"/>
    </xf>
    <xf numFmtId="166" fontId="11" fillId="0" borderId="6" xfId="2" applyNumberFormat="1" applyFont="1" applyBorder="1" applyAlignment="1">
      <alignment horizontal="center" vertical="center"/>
    </xf>
    <xf numFmtId="2" fontId="6" fillId="0" borderId="6" xfId="2" applyNumberFormat="1" applyFont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wrapText="1"/>
    </xf>
    <xf numFmtId="2" fontId="9" fillId="0" borderId="0" xfId="0" applyNumberFormat="1" applyFont="1" applyBorder="1" applyAlignment="1">
      <alignment horizontal="center" vertical="center"/>
    </xf>
    <xf numFmtId="166" fontId="9" fillId="0" borderId="6" xfId="0" applyNumberFormat="1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2" fontId="11" fillId="0" borderId="6" xfId="3" applyNumberFormat="1" applyFont="1" applyFill="1" applyBorder="1" applyAlignment="1">
      <alignment horizontal="center" vertical="center"/>
    </xf>
    <xf numFmtId="166" fontId="12" fillId="0" borderId="6" xfId="3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vertical="top" wrapText="1"/>
    </xf>
    <xf numFmtId="166" fontId="6" fillId="0" borderId="6" xfId="2" applyNumberFormat="1" applyFont="1" applyBorder="1" applyAlignment="1">
      <alignment horizontal="center" vertical="center"/>
    </xf>
    <xf numFmtId="166" fontId="11" fillId="0" borderId="3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1" fontId="1" fillId="0" borderId="7" xfId="2" applyNumberFormat="1" applyFont="1" applyBorder="1" applyAlignment="1">
      <alignment horizontal="center" vertical="center"/>
    </xf>
    <xf numFmtId="164" fontId="0" fillId="2" borderId="0" xfId="1" applyFont="1" applyFill="1"/>
    <xf numFmtId="166" fontId="9" fillId="0" borderId="5" xfId="0" applyNumberFormat="1" applyFont="1" applyBorder="1" applyAlignment="1">
      <alignment horizontal="center" vertical="center"/>
    </xf>
    <xf numFmtId="1" fontId="11" fillId="0" borderId="7" xfId="2" applyNumberFormat="1" applyFont="1" applyBorder="1" applyAlignment="1">
      <alignment horizontal="center" vertical="center"/>
    </xf>
    <xf numFmtId="166" fontId="10" fillId="5" borderId="7" xfId="2" applyNumberFormat="1" applyFont="1" applyFill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166" fontId="10" fillId="0" borderId="0" xfId="2" applyNumberFormat="1" applyFont="1" applyBorder="1" applyAlignment="1">
      <alignment horizontal="center" vertical="center"/>
    </xf>
    <xf numFmtId="166" fontId="10" fillId="0" borderId="7" xfId="2" applyNumberFormat="1" applyFont="1" applyBorder="1" applyAlignment="1">
      <alignment horizontal="center" vertical="center"/>
    </xf>
    <xf numFmtId="166" fontId="10" fillId="0" borderId="0" xfId="2" applyNumberFormat="1" applyFont="1" applyFill="1" applyBorder="1" applyAlignment="1">
      <alignment horizontal="center"/>
    </xf>
    <xf numFmtId="0" fontId="9" fillId="0" borderId="32" xfId="0" applyFont="1" applyBorder="1" applyAlignment="1">
      <alignment wrapText="1"/>
    </xf>
    <xf numFmtId="166" fontId="11" fillId="2" borderId="7" xfId="2" applyNumberFormat="1" applyFont="1" applyFill="1" applyBorder="1" applyAlignment="1">
      <alignment horizontal="center" vertical="center"/>
    </xf>
    <xf numFmtId="2" fontId="6" fillId="0" borderId="7" xfId="2" applyNumberFormat="1" applyFont="1" applyBorder="1" applyAlignment="1">
      <alignment horizontal="center" vertical="center"/>
    </xf>
    <xf numFmtId="166" fontId="9" fillId="0" borderId="32" xfId="0" applyNumberFormat="1" applyFont="1" applyBorder="1" applyAlignment="1">
      <alignment horizontal="center" vertical="center"/>
    </xf>
    <xf numFmtId="1" fontId="9" fillId="0" borderId="32" xfId="0" applyNumberFormat="1" applyFont="1" applyBorder="1" applyAlignment="1">
      <alignment horizontal="center" vertical="center"/>
    </xf>
    <xf numFmtId="164" fontId="11" fillId="0" borderId="32" xfId="1" applyFont="1" applyBorder="1" applyAlignment="1">
      <alignment horizontal="center" vertical="center"/>
    </xf>
    <xf numFmtId="166" fontId="11" fillId="0" borderId="32" xfId="2" applyNumberFormat="1" applyFont="1" applyBorder="1" applyAlignment="1">
      <alignment horizontal="center" vertical="center"/>
    </xf>
    <xf numFmtId="2" fontId="6" fillId="0" borderId="32" xfId="2" applyNumberFormat="1" applyFont="1" applyBorder="1" applyAlignment="1">
      <alignment horizontal="center" vertical="center"/>
    </xf>
    <xf numFmtId="166" fontId="11" fillId="6" borderId="6" xfId="2" applyNumberFormat="1" applyFont="1" applyFill="1" applyBorder="1" applyAlignment="1">
      <alignment horizontal="center" vertical="center"/>
    </xf>
    <xf numFmtId="2" fontId="11" fillId="4" borderId="7" xfId="2" applyNumberFormat="1" applyFont="1" applyFill="1" applyBorder="1" applyAlignment="1">
      <alignment horizontal="center" vertical="center"/>
    </xf>
    <xf numFmtId="1" fontId="9" fillId="4" borderId="32" xfId="0" applyNumberFormat="1" applyFont="1" applyFill="1" applyBorder="1" applyAlignment="1">
      <alignment horizontal="center" vertical="center"/>
    </xf>
    <xf numFmtId="166" fontId="9" fillId="4" borderId="32" xfId="0" applyNumberFormat="1" applyFont="1" applyFill="1" applyBorder="1" applyAlignment="1">
      <alignment horizontal="center" vertical="center"/>
    </xf>
    <xf numFmtId="2" fontId="11" fillId="4" borderId="32" xfId="2" applyNumberFormat="1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horizontal="center" vertical="center"/>
    </xf>
    <xf numFmtId="166" fontId="9" fillId="4" borderId="6" xfId="0" applyNumberFormat="1" applyFont="1" applyFill="1" applyBorder="1" applyAlignment="1">
      <alignment horizontal="center" vertical="center"/>
    </xf>
    <xf numFmtId="2" fontId="11" fillId="4" borderId="6" xfId="2" applyNumberFormat="1" applyFont="1" applyFill="1" applyBorder="1" applyAlignment="1">
      <alignment horizontal="center" vertical="center"/>
    </xf>
    <xf numFmtId="1" fontId="9" fillId="4" borderId="33" xfId="0" applyNumberFormat="1" applyFont="1" applyFill="1" applyBorder="1" applyAlignment="1">
      <alignment horizontal="center" vertical="center"/>
    </xf>
    <xf numFmtId="166" fontId="9" fillId="4" borderId="33" xfId="0" applyNumberFormat="1" applyFont="1" applyFill="1" applyBorder="1" applyAlignment="1">
      <alignment horizontal="center" vertical="center"/>
    </xf>
    <xf numFmtId="2" fontId="11" fillId="4" borderId="33" xfId="2" applyNumberFormat="1" applyFont="1" applyFill="1" applyBorder="1" applyAlignment="1">
      <alignment horizontal="center" vertical="center"/>
    </xf>
    <xf numFmtId="2" fontId="11" fillId="2" borderId="7" xfId="2" applyNumberFormat="1" applyFont="1" applyFill="1" applyBorder="1" applyAlignment="1">
      <alignment horizontal="center" vertical="center"/>
    </xf>
    <xf numFmtId="166" fontId="12" fillId="0" borderId="7" xfId="2" applyNumberFormat="1" applyFont="1" applyBorder="1" applyAlignment="1">
      <alignment horizontal="center" vertical="center"/>
    </xf>
    <xf numFmtId="166" fontId="11" fillId="2" borderId="32" xfId="2" applyNumberFormat="1" applyFont="1" applyFill="1" applyBorder="1" applyAlignment="1">
      <alignment horizontal="center" vertical="center"/>
    </xf>
    <xf numFmtId="2" fontId="11" fillId="2" borderId="32" xfId="2" applyNumberFormat="1" applyFont="1" applyFill="1" applyBorder="1" applyAlignment="1">
      <alignment horizontal="center" vertical="center"/>
    </xf>
    <xf numFmtId="166" fontId="11" fillId="4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Border="1" applyAlignment="1">
      <alignment horizontal="center" vertical="center"/>
    </xf>
    <xf numFmtId="166" fontId="11" fillId="2" borderId="6" xfId="2" applyNumberFormat="1" applyFont="1" applyFill="1" applyBorder="1" applyAlignment="1">
      <alignment horizontal="center" vertical="center"/>
    </xf>
    <xf numFmtId="2" fontId="11" fillId="2" borderId="6" xfId="2" applyNumberFormat="1" applyFont="1" applyFill="1" applyBorder="1" applyAlignment="1">
      <alignment horizontal="center" vertical="center"/>
    </xf>
    <xf numFmtId="166" fontId="11" fillId="4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Border="1" applyAlignment="1">
      <alignment horizontal="center" vertical="center"/>
    </xf>
    <xf numFmtId="166" fontId="11" fillId="0" borderId="33" xfId="2" applyNumberFormat="1" applyFont="1" applyBorder="1" applyAlignment="1">
      <alignment horizontal="center" vertical="center"/>
    </xf>
    <xf numFmtId="166" fontId="11" fillId="2" borderId="33" xfId="2" applyNumberFormat="1" applyFont="1" applyFill="1" applyBorder="1" applyAlignment="1">
      <alignment horizontal="center" vertical="center"/>
    </xf>
    <xf numFmtId="2" fontId="11" fillId="2" borderId="33" xfId="2" applyNumberFormat="1" applyFont="1" applyFill="1" applyBorder="1" applyAlignment="1">
      <alignment horizontal="center" vertical="center"/>
    </xf>
    <xf numFmtId="166" fontId="11" fillId="4" borderId="33" xfId="2" applyNumberFormat="1" applyFont="1" applyFill="1" applyBorder="1" applyAlignment="1">
      <alignment horizontal="center" vertical="center"/>
    </xf>
    <xf numFmtId="166" fontId="12" fillId="0" borderId="33" xfId="2" applyNumberFormat="1" applyFont="1" applyBorder="1" applyAlignment="1">
      <alignment horizontal="center" vertical="center"/>
    </xf>
    <xf numFmtId="2" fontId="9" fillId="0" borderId="32" xfId="0" applyNumberFormat="1" applyFont="1" applyBorder="1" applyAlignment="1">
      <alignment horizontal="center" vertical="center"/>
    </xf>
    <xf numFmtId="0" fontId="31" fillId="0" borderId="19" xfId="0" quotePrefix="1" applyFont="1" applyBorder="1" applyAlignment="1">
      <alignment horizontal="left"/>
    </xf>
    <xf numFmtId="1" fontId="9" fillId="0" borderId="32" xfId="0" applyNumberFormat="1" applyFont="1" applyFill="1" applyBorder="1" applyAlignment="1">
      <alignment horizontal="center" vertical="center"/>
    </xf>
    <xf numFmtId="166" fontId="9" fillId="0" borderId="32" xfId="0" applyNumberFormat="1" applyFont="1" applyFill="1" applyBorder="1" applyAlignment="1">
      <alignment horizontal="center" vertical="center"/>
    </xf>
    <xf numFmtId="2" fontId="11" fillId="0" borderId="32" xfId="2" applyNumberFormat="1" applyFont="1" applyFill="1" applyBorder="1" applyAlignment="1">
      <alignment horizontal="center" vertical="center"/>
    </xf>
    <xf numFmtId="1" fontId="9" fillId="0" borderId="33" xfId="0" applyNumberFormat="1" applyFont="1" applyFill="1" applyBorder="1" applyAlignment="1">
      <alignment horizontal="center" vertical="center"/>
    </xf>
    <xf numFmtId="166" fontId="9" fillId="0" borderId="33" xfId="0" applyNumberFormat="1" applyFont="1" applyFill="1" applyBorder="1" applyAlignment="1">
      <alignment horizontal="center" vertical="center"/>
    </xf>
    <xf numFmtId="2" fontId="11" fillId="0" borderId="33" xfId="2" applyNumberFormat="1" applyFont="1" applyFill="1" applyBorder="1" applyAlignment="1">
      <alignment horizontal="center" vertical="center"/>
    </xf>
    <xf numFmtId="1" fontId="11" fillId="0" borderId="32" xfId="2" applyNumberFormat="1" applyFont="1" applyBorder="1" applyAlignment="1">
      <alignment horizontal="center" vertical="center"/>
    </xf>
    <xf numFmtId="166" fontId="10" fillId="5" borderId="32" xfId="2" applyNumberFormat="1" applyFont="1" applyFill="1" applyBorder="1" applyAlignment="1">
      <alignment horizontal="center" vertical="center"/>
    </xf>
    <xf numFmtId="166" fontId="0" fillId="0" borderId="32" xfId="0" applyNumberFormat="1" applyFill="1" applyBorder="1" applyAlignment="1">
      <alignment horizontal="center" vertical="center"/>
    </xf>
    <xf numFmtId="1" fontId="11" fillId="0" borderId="6" xfId="2" applyNumberFormat="1" applyFont="1" applyBorder="1" applyAlignment="1">
      <alignment horizontal="center" vertical="center"/>
    </xf>
    <xf numFmtId="166" fontId="10" fillId="5" borderId="6" xfId="2" applyNumberFormat="1" applyFon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horizontal="center" vertical="center"/>
    </xf>
    <xf numFmtId="166" fontId="11" fillId="0" borderId="32" xfId="2" applyNumberFormat="1" applyFont="1" applyFill="1" applyBorder="1" applyAlignment="1">
      <alignment horizontal="center" vertical="center"/>
    </xf>
    <xf numFmtId="166" fontId="12" fillId="0" borderId="32" xfId="2" applyNumberFormat="1" applyFont="1" applyFill="1" applyBorder="1" applyAlignment="1">
      <alignment horizontal="center" vertical="center"/>
    </xf>
    <xf numFmtId="166" fontId="11" fillId="0" borderId="6" xfId="2" applyNumberFormat="1" applyFont="1" applyFill="1" applyBorder="1" applyAlignment="1">
      <alignment horizontal="center" vertical="center"/>
    </xf>
    <xf numFmtId="166" fontId="12" fillId="0" borderId="6" xfId="2" applyNumberFormat="1" applyFont="1" applyFill="1" applyBorder="1" applyAlignment="1">
      <alignment horizontal="center" vertical="center"/>
    </xf>
    <xf numFmtId="2" fontId="9" fillId="0" borderId="32" xfId="0" applyNumberFormat="1" applyFont="1" applyFill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166" fontId="11" fillId="5" borderId="32" xfId="2" applyNumberFormat="1" applyFont="1" applyFill="1" applyBorder="1" applyAlignment="1">
      <alignment horizontal="center"/>
    </xf>
    <xf numFmtId="2" fontId="0" fillId="0" borderId="3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32" xfId="0" applyNumberFormat="1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wrapText="1"/>
    </xf>
    <xf numFmtId="0" fontId="32" fillId="0" borderId="0" xfId="0" applyFont="1"/>
    <xf numFmtId="0" fontId="32" fillId="0" borderId="0" xfId="0" applyFont="1" applyAlignment="1">
      <alignment horizontal="left" wrapText="1"/>
    </xf>
    <xf numFmtId="166" fontId="0" fillId="0" borderId="0" xfId="0" applyNumberFormat="1" applyBorder="1" applyAlignment="1">
      <alignment horizontal="center" vertical="center"/>
    </xf>
    <xf numFmtId="0" fontId="34" fillId="0" borderId="0" xfId="0" applyFont="1"/>
    <xf numFmtId="179" fontId="0" fillId="0" borderId="7" xfId="0" applyNumberFormat="1" applyBorder="1" applyAlignment="1" applyProtection="1">
      <alignment horizontal="center"/>
    </xf>
    <xf numFmtId="0" fontId="0" fillId="0" borderId="14" xfId="0" applyBorder="1"/>
    <xf numFmtId="1" fontId="0" fillId="0" borderId="7" xfId="0" applyNumberForma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1" fontId="0" fillId="0" borderId="14" xfId="0" applyNumberFormat="1" applyBorder="1" applyAlignment="1">
      <alignment horizontal="center" vertical="center"/>
    </xf>
    <xf numFmtId="0" fontId="32" fillId="0" borderId="0" xfId="0" applyFont="1" applyAlignment="1">
      <alignment horizontal="left" wrapText="1"/>
    </xf>
    <xf numFmtId="0" fontId="0" fillId="0" borderId="7" xfId="0" applyBorder="1" applyAlignment="1">
      <alignment horizontal="center"/>
    </xf>
    <xf numFmtId="0" fontId="32" fillId="0" borderId="0" xfId="0" applyFont="1" applyAlignment="1">
      <alignment horizontal="left" wrapText="1"/>
    </xf>
    <xf numFmtId="1" fontId="0" fillId="0" borderId="3" xfId="0" applyNumberFormat="1" applyBorder="1" applyAlignment="1">
      <alignment horizontal="center" vertical="center"/>
    </xf>
    <xf numFmtId="0" fontId="0" fillId="0" borderId="22" xfId="0" applyBorder="1"/>
    <xf numFmtId="0" fontId="0" fillId="0" borderId="25" xfId="0" applyBorder="1"/>
    <xf numFmtId="0" fontId="9" fillId="0" borderId="5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166" fontId="11" fillId="0" borderId="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horizontal="left" wrapText="1"/>
    </xf>
    <xf numFmtId="43" fontId="11" fillId="0" borderId="0" xfId="2" applyNumberFormat="1" applyFont="1"/>
    <xf numFmtId="0" fontId="0" fillId="0" borderId="0" xfId="0" applyAlignment="1">
      <alignment vertical="top"/>
    </xf>
    <xf numFmtId="0" fontId="35" fillId="0" borderId="0" xfId="0" applyFont="1" applyAlignment="1"/>
    <xf numFmtId="166" fontId="9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164" fontId="11" fillId="0" borderId="0" xfId="1" applyFont="1" applyBorder="1" applyAlignment="1">
      <alignment horizontal="center" vertical="center"/>
    </xf>
    <xf numFmtId="2" fontId="11" fillId="0" borderId="0" xfId="2" applyNumberFormat="1" applyFont="1" applyBorder="1" applyAlignment="1">
      <alignment horizontal="center" vertical="center"/>
    </xf>
    <xf numFmtId="2" fontId="6" fillId="0" borderId="0" xfId="2" applyNumberFormat="1" applyFont="1" applyBorder="1" applyAlignment="1">
      <alignment horizontal="center" vertical="center" wrapText="1"/>
    </xf>
    <xf numFmtId="166" fontId="6" fillId="0" borderId="0" xfId="2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/>
    </xf>
    <xf numFmtId="166" fontId="0" fillId="7" borderId="7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8" fillId="9" borderId="0" xfId="0" applyFont="1" applyFill="1"/>
    <xf numFmtId="0" fontId="39" fillId="9" borderId="0" xfId="0" applyFont="1" applyFill="1"/>
    <xf numFmtId="0" fontId="40" fillId="9" borderId="0" xfId="0" applyFont="1" applyFill="1" applyAlignment="1">
      <alignment horizontal="left" wrapText="1"/>
    </xf>
    <xf numFmtId="0" fontId="32" fillId="0" borderId="0" xfId="0" applyFont="1" applyAlignment="1"/>
    <xf numFmtId="0" fontId="41" fillId="0" borderId="0" xfId="0" applyFont="1"/>
    <xf numFmtId="0" fontId="32" fillId="0" borderId="0" xfId="0" applyFont="1" applyAlignment="1">
      <alignment horizontal="left"/>
    </xf>
    <xf numFmtId="0" fontId="37" fillId="0" borderId="1" xfId="0" applyFont="1" applyBorder="1"/>
    <xf numFmtId="0" fontId="37" fillId="0" borderId="0" xfId="0" applyFont="1"/>
    <xf numFmtId="0" fontId="37" fillId="0" borderId="6" xfId="0" applyFont="1" applyBorder="1"/>
    <xf numFmtId="171" fontId="37" fillId="0" borderId="7" xfId="0" applyNumberFormat="1" applyFont="1" applyBorder="1" applyAlignment="1">
      <alignment horizontal="center"/>
    </xf>
    <xf numFmtId="0" fontId="37" fillId="0" borderId="7" xfId="0" applyFont="1" applyBorder="1"/>
    <xf numFmtId="0" fontId="43" fillId="0" borderId="7" xfId="0" applyFont="1" applyBorder="1" applyAlignment="1">
      <alignment wrapText="1"/>
    </xf>
    <xf numFmtId="0" fontId="43" fillId="0" borderId="7" xfId="0" applyFont="1" applyBorder="1" applyAlignment="1">
      <alignment horizontal="center" vertical="center" wrapText="1"/>
    </xf>
    <xf numFmtId="166" fontId="37" fillId="7" borderId="7" xfId="0" applyNumberFormat="1" applyFont="1" applyFill="1" applyBorder="1" applyAlignment="1">
      <alignment horizontal="center" vertical="center"/>
    </xf>
    <xf numFmtId="166" fontId="37" fillId="0" borderId="7" xfId="0" applyNumberFormat="1" applyFont="1" applyBorder="1" applyAlignment="1">
      <alignment horizontal="center" vertical="center"/>
    </xf>
    <xf numFmtId="0" fontId="43" fillId="0" borderId="32" xfId="0" applyFont="1" applyBorder="1" applyAlignment="1">
      <alignment wrapText="1"/>
    </xf>
    <xf numFmtId="0" fontId="43" fillId="0" borderId="32" xfId="0" applyFont="1" applyBorder="1" applyAlignment="1">
      <alignment horizontal="center" vertical="center" wrapText="1"/>
    </xf>
    <xf numFmtId="166" fontId="37" fillId="7" borderId="32" xfId="0" applyNumberFormat="1" applyFont="1" applyFill="1" applyBorder="1" applyAlignment="1">
      <alignment horizontal="center" vertical="center"/>
    </xf>
    <xf numFmtId="166" fontId="37" fillId="0" borderId="32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wrapText="1"/>
    </xf>
    <xf numFmtId="166" fontId="37" fillId="7" borderId="6" xfId="0" applyNumberFormat="1" applyFont="1" applyFill="1" applyBorder="1" applyAlignment="1">
      <alignment horizontal="center" vertical="center"/>
    </xf>
    <xf numFmtId="166" fontId="37" fillId="0" borderId="6" xfId="0" applyNumberFormat="1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 wrapText="1"/>
    </xf>
    <xf numFmtId="0" fontId="39" fillId="9" borderId="0" xfId="0" applyFont="1" applyFill="1" applyBorder="1" applyAlignment="1">
      <alignment vertical="center" wrapText="1"/>
    </xf>
    <xf numFmtId="0" fontId="38" fillId="9" borderId="0" xfId="0" applyFont="1" applyFill="1" applyAlignment="1"/>
    <xf numFmtId="0" fontId="35" fillId="0" borderId="0" xfId="0" applyFont="1"/>
    <xf numFmtId="0" fontId="44" fillId="0" borderId="0" xfId="0" applyFont="1"/>
    <xf numFmtId="0" fontId="44" fillId="0" borderId="0" xfId="0" applyFont="1" applyAlignment="1"/>
    <xf numFmtId="0" fontId="45" fillId="0" borderId="0" xfId="0" applyFont="1"/>
    <xf numFmtId="0" fontId="3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3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71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wrapText="1"/>
    </xf>
    <xf numFmtId="0" fontId="0" fillId="0" borderId="6" xfId="0" applyFont="1" applyBorder="1"/>
    <xf numFmtId="0" fontId="0" fillId="0" borderId="6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7" borderId="7" xfId="0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171" fontId="0" fillId="0" borderId="7" xfId="0" applyNumberFormat="1" applyFont="1" applyBorder="1" applyAlignment="1">
      <alignment horizontal="center" vertical="center"/>
    </xf>
    <xf numFmtId="0" fontId="0" fillId="7" borderId="7" xfId="0" applyFont="1" applyFill="1" applyBorder="1" applyAlignment="1">
      <alignment horizontal="center" vertical="center"/>
    </xf>
    <xf numFmtId="0" fontId="44" fillId="8" borderId="0" xfId="0" applyFont="1" applyFill="1" applyAlignment="1" applyProtection="1">
      <alignment horizontal="center" vertical="center"/>
      <protection locked="0"/>
    </xf>
    <xf numFmtId="0" fontId="0" fillId="7" borderId="7" xfId="0" applyFill="1" applyBorder="1" applyAlignment="1">
      <alignment horizontal="center" vertical="center"/>
    </xf>
    <xf numFmtId="171" fontId="0" fillId="0" borderId="6" xfId="0" applyNumberForma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7" fillId="0" borderId="5" xfId="0" applyFont="1" applyBorder="1" applyAlignment="1">
      <alignment vertical="center"/>
    </xf>
    <xf numFmtId="0" fontId="0" fillId="0" borderId="4" xfId="0" applyBorder="1" applyAlignment="1">
      <alignment vertical="center"/>
    </xf>
    <xf numFmtId="171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" fontId="0" fillId="7" borderId="41" xfId="0" applyNumberFormat="1" applyFill="1" applyBorder="1" applyAlignment="1">
      <alignment horizontal="center" vertical="center"/>
    </xf>
    <xf numFmtId="1" fontId="0" fillId="7" borderId="7" xfId="0" applyNumberFormat="1" applyFill="1" applyBorder="1" applyAlignment="1">
      <alignment horizontal="center" vertical="center"/>
    </xf>
    <xf numFmtId="0" fontId="19" fillId="0" borderId="0" xfId="0" applyFont="1" applyAlignment="1"/>
    <xf numFmtId="0" fontId="0" fillId="0" borderId="7" xfId="0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166" fontId="0" fillId="7" borderId="32" xfId="0" applyNumberFormat="1" applyFill="1" applyBorder="1" applyAlignment="1">
      <alignment horizontal="center" vertical="center"/>
    </xf>
    <xf numFmtId="1" fontId="0" fillId="7" borderId="6" xfId="0" applyNumberFormat="1" applyFill="1" applyBorder="1" applyAlignment="1">
      <alignment horizontal="center" vertical="center"/>
    </xf>
    <xf numFmtId="1" fontId="0" fillId="7" borderId="32" xfId="0" applyNumberFormat="1" applyFill="1" applyBorder="1" applyAlignment="1">
      <alignment horizontal="center" vertical="center"/>
    </xf>
    <xf numFmtId="0" fontId="48" fillId="0" borderId="0" xfId="0" applyFont="1" applyAlignment="1">
      <alignment vertical="top"/>
    </xf>
    <xf numFmtId="0" fontId="43" fillId="0" borderId="15" xfId="0" applyFont="1" applyBorder="1" applyAlignment="1">
      <alignment horizontal="center" vertical="center" wrapText="1"/>
    </xf>
    <xf numFmtId="166" fontId="37" fillId="7" borderId="15" xfId="0" applyNumberFormat="1" applyFont="1" applyFill="1" applyBorder="1" applyAlignment="1">
      <alignment horizontal="center" vertical="center"/>
    </xf>
    <xf numFmtId="166" fontId="37" fillId="0" borderId="15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2" fillId="0" borderId="0" xfId="0" applyFont="1" applyAlignment="1">
      <alignment horizontal="left" wrapText="1"/>
    </xf>
    <xf numFmtId="0" fontId="46" fillId="4" borderId="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6" fontId="0" fillId="0" borderId="47" xfId="0" applyNumberFormat="1" applyFill="1" applyBorder="1" applyAlignment="1">
      <alignment horizontal="center" vertical="center"/>
    </xf>
    <xf numFmtId="166" fontId="0" fillId="0" borderId="48" xfId="0" applyNumberFormat="1" applyFill="1" applyBorder="1" applyAlignment="1">
      <alignment horizontal="center" vertical="center"/>
    </xf>
    <xf numFmtId="166" fontId="0" fillId="0" borderId="46" xfId="0" applyNumberFormat="1" applyFill="1" applyBorder="1" applyAlignment="1">
      <alignment horizontal="center" vertical="center"/>
    </xf>
    <xf numFmtId="166" fontId="17" fillId="7" borderId="6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71" fontId="0" fillId="0" borderId="5" xfId="0" applyNumberFormat="1" applyBorder="1" applyAlignment="1">
      <alignment horizontal="center" vertical="center"/>
    </xf>
    <xf numFmtId="166" fontId="0" fillId="0" borderId="49" xfId="0" applyNumberFormat="1" applyFill="1" applyBorder="1" applyAlignment="1">
      <alignment horizontal="center" vertical="center"/>
    </xf>
    <xf numFmtId="166" fontId="0" fillId="0" borderId="47" xfId="0" applyNumberFormat="1" applyBorder="1" applyAlignment="1">
      <alignment horizontal="center" vertical="center"/>
    </xf>
    <xf numFmtId="166" fontId="53" fillId="7" borderId="7" xfId="0" applyNumberFormat="1" applyFont="1" applyFill="1" applyBorder="1" applyAlignment="1">
      <alignment horizontal="center" vertical="center"/>
    </xf>
    <xf numFmtId="166" fontId="53" fillId="7" borderId="32" xfId="0" applyNumberFormat="1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71" fontId="0" fillId="0" borderId="0" xfId="0" applyNumberFormat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38" fillId="0" borderId="0" xfId="0" applyFont="1" applyFill="1" applyBorder="1"/>
    <xf numFmtId="166" fontId="0" fillId="0" borderId="48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166" fontId="0" fillId="7" borderId="7" xfId="0" applyNumberFormat="1" applyFill="1" applyBorder="1" applyAlignment="1">
      <alignment horizontal="center" vertical="center" wrapText="1"/>
    </xf>
    <xf numFmtId="166" fontId="0" fillId="0" borderId="28" xfId="0" applyNumberFormat="1" applyFill="1" applyBorder="1" applyAlignment="1">
      <alignment horizontal="center" vertical="center" wrapText="1"/>
    </xf>
    <xf numFmtId="166" fontId="0" fillId="7" borderId="6" xfId="0" applyNumberFormat="1" applyFill="1" applyBorder="1" applyAlignment="1">
      <alignment horizontal="center" vertical="center" wrapText="1"/>
    </xf>
    <xf numFmtId="166" fontId="0" fillId="4" borderId="7" xfId="0" applyNumberFormat="1" applyFill="1" applyBorder="1" applyAlignment="1">
      <alignment horizontal="center" vertical="center" wrapText="1"/>
    </xf>
    <xf numFmtId="0" fontId="0" fillId="0" borderId="32" xfId="0" applyFill="1" applyBorder="1" applyAlignment="1">
      <alignment vertical="top" wrapText="1"/>
    </xf>
    <xf numFmtId="0" fontId="0" fillId="0" borderId="32" xfId="0" applyFill="1" applyBorder="1" applyAlignment="1">
      <alignment horizontal="center" vertical="center" wrapText="1"/>
    </xf>
    <xf numFmtId="171" fontId="0" fillId="0" borderId="2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7" borderId="50" xfId="0" applyNumberFormat="1" applyFill="1" applyBorder="1" applyAlignment="1">
      <alignment horizontal="center" vertical="center"/>
    </xf>
    <xf numFmtId="0" fontId="41" fillId="0" borderId="0" xfId="0" applyFont="1" applyBorder="1"/>
    <xf numFmtId="0" fontId="34" fillId="0" borderId="0" xfId="0" applyFont="1" applyBorder="1"/>
    <xf numFmtId="0" fontId="37" fillId="0" borderId="0" xfId="0" applyFont="1" applyBorder="1"/>
    <xf numFmtId="14" fontId="32" fillId="0" borderId="0" xfId="0" applyNumberFormat="1" applyFont="1" applyFill="1" applyBorder="1" applyAlignment="1">
      <alignment horizontal="right"/>
    </xf>
    <xf numFmtId="0" fontId="38" fillId="0" borderId="0" xfId="0" applyFont="1" applyFill="1"/>
    <xf numFmtId="0" fontId="38" fillId="0" borderId="0" xfId="0" applyFont="1" applyFill="1" applyBorder="1" applyAlignment="1"/>
    <xf numFmtId="0" fontId="51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171" fontId="37" fillId="0" borderId="2" xfId="0" applyNumberFormat="1" applyFont="1" applyBorder="1" applyAlignment="1">
      <alignment horizontal="center"/>
    </xf>
    <xf numFmtId="166" fontId="37" fillId="0" borderId="2" xfId="0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left" wrapText="1"/>
    </xf>
    <xf numFmtId="0" fontId="0" fillId="0" borderId="0" xfId="0" applyBorder="1" applyAlignment="1">
      <alignment vertical="top"/>
    </xf>
    <xf numFmtId="0" fontId="32" fillId="0" borderId="0" xfId="0" applyFont="1" applyBorder="1"/>
    <xf numFmtId="171" fontId="0" fillId="0" borderId="0" xfId="0" applyNumberFormat="1" applyBorder="1" applyAlignment="1">
      <alignment horizontal="center"/>
    </xf>
    <xf numFmtId="0" fontId="2" fillId="0" borderId="0" xfId="0" applyFont="1" applyBorder="1" applyAlignment="1">
      <alignment wrapText="1"/>
    </xf>
    <xf numFmtId="0" fontId="32" fillId="0" borderId="0" xfId="0" applyFont="1" applyBorder="1" applyAlignment="1">
      <alignment horizontal="left"/>
    </xf>
    <xf numFmtId="171" fontId="37" fillId="0" borderId="0" xfId="0" applyNumberFormat="1" applyFont="1" applyBorder="1" applyAlignment="1">
      <alignment horizontal="center"/>
    </xf>
    <xf numFmtId="0" fontId="43" fillId="0" borderId="0" xfId="0" applyFont="1" applyBorder="1" applyAlignment="1">
      <alignment wrapText="1"/>
    </xf>
    <xf numFmtId="166" fontId="37" fillId="0" borderId="0" xfId="0" applyNumberFormat="1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2" xfId="0" applyFill="1" applyBorder="1" applyAlignment="1">
      <alignment vertical="top" wrapText="1"/>
    </xf>
    <xf numFmtId="0" fontId="34" fillId="0" borderId="0" xfId="0" applyFont="1" applyFill="1"/>
    <xf numFmtId="0" fontId="32" fillId="0" borderId="0" xfId="0" applyFont="1" applyFill="1" applyAlignment="1">
      <alignment horizontal="left" wrapText="1"/>
    </xf>
    <xf numFmtId="0" fontId="0" fillId="0" borderId="2" xfId="0" applyFill="1" applyBorder="1"/>
    <xf numFmtId="171" fontId="0" fillId="0" borderId="0" xfId="0" applyNumberFormat="1" applyFill="1" applyBorder="1" applyAlignment="1">
      <alignment horizontal="center"/>
    </xf>
    <xf numFmtId="2" fontId="11" fillId="2" borderId="0" xfId="2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wrapText="1"/>
    </xf>
    <xf numFmtId="0" fontId="43" fillId="0" borderId="19" xfId="0" applyFont="1" applyBorder="1" applyAlignment="1">
      <alignment horizontal="center" vertical="center" wrapText="1"/>
    </xf>
    <xf numFmtId="166" fontId="37" fillId="0" borderId="0" xfId="0" applyNumberFormat="1" applyFont="1" applyFill="1" applyBorder="1" applyAlignment="1">
      <alignment horizontal="center" vertical="center"/>
    </xf>
    <xf numFmtId="0" fontId="9" fillId="0" borderId="7" xfId="0" applyFont="1" applyBorder="1"/>
    <xf numFmtId="2" fontId="9" fillId="0" borderId="7" xfId="0" applyNumberFormat="1" applyFont="1" applyBorder="1" applyAlignment="1">
      <alignment horizontal="center"/>
    </xf>
    <xf numFmtId="164" fontId="9" fillId="0" borderId="7" xfId="1" applyFont="1" applyFill="1" applyBorder="1" applyAlignment="1">
      <alignment horizontal="center"/>
    </xf>
    <xf numFmtId="2" fontId="11" fillId="0" borderId="1" xfId="2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6" fontId="11" fillId="0" borderId="37" xfId="2" applyNumberFormat="1" applyFont="1" applyFill="1" applyBorder="1" applyAlignment="1">
      <alignment horizontal="center" vertical="center"/>
    </xf>
    <xf numFmtId="166" fontId="11" fillId="0" borderId="38" xfId="2" applyNumberFormat="1" applyFont="1" applyFill="1" applyBorder="1" applyAlignment="1">
      <alignment horizontal="center" vertical="center"/>
    </xf>
    <xf numFmtId="166" fontId="12" fillId="0" borderId="38" xfId="2" applyNumberFormat="1" applyFont="1" applyFill="1" applyBorder="1" applyAlignment="1">
      <alignment horizontal="center" vertical="center"/>
    </xf>
    <xf numFmtId="166" fontId="11" fillId="0" borderId="2" xfId="2" applyNumberFormat="1" applyFont="1" applyFill="1" applyBorder="1" applyAlignment="1">
      <alignment horizontal="center" vertical="center"/>
    </xf>
    <xf numFmtId="166" fontId="12" fillId="0" borderId="0" xfId="2" applyNumberFormat="1" applyFont="1" applyFill="1" applyBorder="1" applyAlignment="1">
      <alignment horizontal="center" vertical="center"/>
    </xf>
    <xf numFmtId="166" fontId="11" fillId="0" borderId="34" xfId="2" applyNumberFormat="1" applyFont="1" applyFill="1" applyBorder="1" applyAlignment="1">
      <alignment horizontal="center" vertical="center"/>
    </xf>
    <xf numFmtId="166" fontId="11" fillId="0" borderId="35" xfId="2" applyNumberFormat="1" applyFont="1" applyFill="1" applyBorder="1" applyAlignment="1">
      <alignment horizontal="center" vertical="center"/>
    </xf>
    <xf numFmtId="166" fontId="12" fillId="0" borderId="35" xfId="2" applyNumberFormat="1" applyFont="1" applyFill="1" applyBorder="1" applyAlignment="1">
      <alignment horizontal="center" vertical="center"/>
    </xf>
    <xf numFmtId="0" fontId="54" fillId="0" borderId="0" xfId="0" applyFont="1" applyAlignment="1">
      <alignment vertical="top"/>
    </xf>
    <xf numFmtId="0" fontId="17" fillId="0" borderId="0" xfId="0" applyFont="1"/>
    <xf numFmtId="0" fontId="55" fillId="0" borderId="0" xfId="0" applyFont="1"/>
    <xf numFmtId="0" fontId="57" fillId="0" borderId="0" xfId="0" applyFont="1" applyAlignment="1">
      <alignment vertical="center"/>
    </xf>
    <xf numFmtId="0" fontId="43" fillId="0" borderId="7" xfId="0" applyFont="1" applyBorder="1" applyAlignment="1">
      <alignment vertical="center" wrapText="1"/>
    </xf>
    <xf numFmtId="0" fontId="43" fillId="0" borderId="32" xfId="0" applyFont="1" applyBorder="1" applyAlignment="1">
      <alignment vertical="center" wrapText="1"/>
    </xf>
    <xf numFmtId="0" fontId="43" fillId="0" borderId="6" xfId="0" applyFont="1" applyBorder="1" applyAlignment="1">
      <alignment vertical="center" wrapText="1"/>
    </xf>
    <xf numFmtId="0" fontId="43" fillId="0" borderId="15" xfId="0" applyFont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32" xfId="0" applyFont="1" applyFill="1" applyBorder="1" applyAlignment="1">
      <alignment vertical="center" wrapText="1"/>
    </xf>
    <xf numFmtId="166" fontId="0" fillId="0" borderId="0" xfId="0" applyNumberFormat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4" xfId="0" applyFill="1" applyBorder="1" applyAlignment="1">
      <alignment horizontal="center" wrapText="1"/>
    </xf>
    <xf numFmtId="0" fontId="0" fillId="3" borderId="1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166" fontId="11" fillId="0" borderId="1" xfId="2" applyNumberFormat="1" applyFont="1" applyBorder="1" applyAlignment="1">
      <alignment horizontal="center" vertical="center" wrapText="1"/>
    </xf>
    <xf numFmtId="166" fontId="11" fillId="0" borderId="14" xfId="2" applyNumberFormat="1" applyFont="1" applyBorder="1" applyAlignment="1">
      <alignment horizontal="center" vertical="center" wrapText="1"/>
    </xf>
    <xf numFmtId="166" fontId="11" fillId="0" borderId="6" xfId="2" applyNumberFormat="1" applyFont="1" applyBorder="1" applyAlignment="1">
      <alignment horizontal="center" vertical="center" wrapText="1"/>
    </xf>
    <xf numFmtId="166" fontId="11" fillId="0" borderId="20" xfId="2" applyNumberFormat="1" applyFont="1" applyBorder="1" applyAlignment="1">
      <alignment horizontal="center" vertical="center"/>
    </xf>
    <xf numFmtId="166" fontId="11" fillId="0" borderId="19" xfId="2" applyNumberFormat="1" applyFont="1" applyBorder="1" applyAlignment="1">
      <alignment horizontal="center" vertical="center"/>
    </xf>
    <xf numFmtId="166" fontId="11" fillId="0" borderId="22" xfId="2" applyNumberFormat="1" applyFont="1" applyBorder="1" applyAlignment="1">
      <alignment horizontal="center" vertical="center"/>
    </xf>
    <xf numFmtId="166" fontId="11" fillId="0" borderId="2" xfId="2" applyNumberFormat="1" applyFont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66" fontId="11" fillId="0" borderId="23" xfId="2" applyNumberFormat="1" applyFont="1" applyBorder="1" applyAlignment="1">
      <alignment horizontal="center" vertical="center"/>
    </xf>
    <xf numFmtId="166" fontId="11" fillId="0" borderId="21" xfId="2" applyNumberFormat="1" applyFont="1" applyBorder="1" applyAlignment="1">
      <alignment horizontal="center" vertical="center"/>
    </xf>
    <xf numFmtId="166" fontId="11" fillId="0" borderId="24" xfId="2" applyNumberFormat="1" applyFont="1" applyBorder="1" applyAlignment="1">
      <alignment horizontal="center" vertical="center"/>
    </xf>
    <xf numFmtId="166" fontId="11" fillId="0" borderId="25" xfId="2" applyNumberFormat="1" applyFont="1" applyBorder="1" applyAlignment="1">
      <alignment horizontal="center" vertical="center"/>
    </xf>
    <xf numFmtId="166" fontId="18" fillId="0" borderId="20" xfId="2" applyNumberFormat="1" applyFont="1" applyBorder="1" applyAlignment="1">
      <alignment horizontal="center" vertical="center"/>
    </xf>
    <xf numFmtId="166" fontId="18" fillId="0" borderId="19" xfId="2" applyNumberFormat="1" applyFont="1" applyBorder="1" applyAlignment="1">
      <alignment horizontal="center" vertical="center"/>
    </xf>
    <xf numFmtId="166" fontId="18" fillId="0" borderId="22" xfId="2" applyNumberFormat="1" applyFont="1" applyBorder="1" applyAlignment="1">
      <alignment horizontal="center" vertical="center"/>
    </xf>
    <xf numFmtId="166" fontId="18" fillId="0" borderId="2" xfId="2" applyNumberFormat="1" applyFont="1" applyBorder="1" applyAlignment="1">
      <alignment horizontal="center" vertical="center"/>
    </xf>
    <xf numFmtId="166" fontId="18" fillId="0" borderId="0" xfId="2" applyNumberFormat="1" applyFont="1" applyBorder="1" applyAlignment="1">
      <alignment horizontal="center" vertical="center"/>
    </xf>
    <xf numFmtId="166" fontId="18" fillId="0" borderId="23" xfId="2" applyNumberFormat="1" applyFont="1" applyBorder="1" applyAlignment="1">
      <alignment horizontal="center" vertical="center"/>
    </xf>
    <xf numFmtId="166" fontId="18" fillId="0" borderId="21" xfId="2" applyNumberFormat="1" applyFont="1" applyBorder="1" applyAlignment="1">
      <alignment horizontal="center" vertical="center"/>
    </xf>
    <xf numFmtId="166" fontId="18" fillId="0" borderId="24" xfId="2" applyNumberFormat="1" applyFont="1" applyBorder="1" applyAlignment="1">
      <alignment horizontal="center" vertical="center"/>
    </xf>
    <xf numFmtId="166" fontId="18" fillId="0" borderId="25" xfId="2" applyNumberFormat="1" applyFont="1" applyBorder="1" applyAlignment="1">
      <alignment horizontal="center" vertical="center"/>
    </xf>
    <xf numFmtId="166" fontId="11" fillId="0" borderId="20" xfId="2" applyNumberFormat="1" applyFont="1" applyFill="1" applyBorder="1" applyAlignment="1">
      <alignment horizontal="center" vertical="center" wrapText="1"/>
    </xf>
    <xf numFmtId="166" fontId="11" fillId="0" borderId="22" xfId="2" applyNumberFormat="1" applyFont="1" applyFill="1" applyBorder="1" applyAlignment="1">
      <alignment horizontal="center" vertical="center" wrapText="1"/>
    </xf>
    <xf numFmtId="166" fontId="11" fillId="0" borderId="2" xfId="2" applyNumberFormat="1" applyFont="1" applyFill="1" applyBorder="1" applyAlignment="1">
      <alignment horizontal="center" vertical="center" wrapText="1"/>
    </xf>
    <xf numFmtId="166" fontId="11" fillId="0" borderId="23" xfId="2" applyNumberFormat="1" applyFont="1" applyFill="1" applyBorder="1" applyAlignment="1">
      <alignment horizontal="center" vertical="center" wrapText="1"/>
    </xf>
    <xf numFmtId="166" fontId="11" fillId="0" borderId="21" xfId="2" applyNumberFormat="1" applyFont="1" applyFill="1" applyBorder="1" applyAlignment="1">
      <alignment horizontal="center" vertical="center" wrapText="1"/>
    </xf>
    <xf numFmtId="166" fontId="11" fillId="0" borderId="25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4" xfId="0" applyBorder="1" applyAlignment="1">
      <alignment horizontal="center"/>
    </xf>
    <xf numFmtId="0" fontId="9" fillId="0" borderId="1" xfId="0" applyFont="1" applyFill="1" applyBorder="1" applyAlignment="1">
      <alignment horizontal="left" vertical="top"/>
    </xf>
    <xf numFmtId="0" fontId="9" fillId="0" borderId="14" xfId="0" applyFont="1" applyFill="1" applyBorder="1" applyAlignment="1">
      <alignment horizontal="left" vertical="top"/>
    </xf>
    <xf numFmtId="0" fontId="9" fillId="0" borderId="6" xfId="0" applyFont="1" applyFill="1" applyBorder="1" applyAlignment="1">
      <alignment horizontal="left" vertical="top"/>
    </xf>
    <xf numFmtId="0" fontId="9" fillId="0" borderId="3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166" fontId="11" fillId="0" borderId="40" xfId="2" applyNumberFormat="1" applyFont="1" applyBorder="1" applyAlignment="1">
      <alignment horizontal="center" vertical="center" wrapText="1"/>
    </xf>
    <xf numFmtId="166" fontId="11" fillId="0" borderId="37" xfId="2" applyNumberFormat="1" applyFont="1" applyFill="1" applyBorder="1" applyAlignment="1">
      <alignment horizontal="center" vertical="center" wrapText="1"/>
    </xf>
    <xf numFmtId="166" fontId="11" fillId="0" borderId="39" xfId="2" applyNumberFormat="1" applyFont="1" applyFill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/>
    </xf>
    <xf numFmtId="166" fontId="11" fillId="0" borderId="35" xfId="2" applyNumberFormat="1" applyFont="1" applyBorder="1" applyAlignment="1">
      <alignment horizontal="center" vertical="center"/>
    </xf>
    <xf numFmtId="166" fontId="11" fillId="0" borderId="36" xfId="2" applyNumberFormat="1" applyFont="1" applyBorder="1" applyAlignment="1">
      <alignment horizontal="center" vertical="center"/>
    </xf>
    <xf numFmtId="166" fontId="18" fillId="0" borderId="34" xfId="2" applyNumberFormat="1" applyFont="1" applyBorder="1" applyAlignment="1">
      <alignment horizontal="center" vertical="center"/>
    </xf>
    <xf numFmtId="166" fontId="18" fillId="0" borderId="35" xfId="2" applyNumberFormat="1" applyFont="1" applyBorder="1" applyAlignment="1">
      <alignment horizontal="center" vertical="center"/>
    </xf>
    <xf numFmtId="166" fontId="18" fillId="0" borderId="36" xfId="2" applyNumberFormat="1" applyFont="1" applyBorder="1" applyAlignment="1">
      <alignment horizontal="center" vertical="center"/>
    </xf>
    <xf numFmtId="166" fontId="18" fillId="0" borderId="37" xfId="2" applyNumberFormat="1" applyFont="1" applyBorder="1" applyAlignment="1">
      <alignment horizontal="center" vertical="center"/>
    </xf>
    <xf numFmtId="166" fontId="18" fillId="0" borderId="38" xfId="2" applyNumberFormat="1" applyFont="1" applyBorder="1" applyAlignment="1">
      <alignment horizontal="center" vertical="center"/>
    </xf>
    <xf numFmtId="166" fontId="18" fillId="0" borderId="39" xfId="2" applyNumberFormat="1" applyFont="1" applyBorder="1" applyAlignment="1">
      <alignment horizontal="center" vertical="center"/>
    </xf>
    <xf numFmtId="166" fontId="11" fillId="0" borderId="20" xfId="2" applyNumberFormat="1" applyFont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 wrapText="1"/>
    </xf>
    <xf numFmtId="166" fontId="11" fillId="0" borderId="34" xfId="2" applyNumberFormat="1" applyFont="1" applyBorder="1" applyAlignment="1">
      <alignment horizontal="center" vertical="center" wrapText="1"/>
    </xf>
    <xf numFmtId="166" fontId="11" fillId="0" borderId="34" xfId="2" applyNumberFormat="1" applyFont="1" applyFill="1" applyBorder="1" applyAlignment="1">
      <alignment horizontal="center" vertical="center" wrapText="1"/>
    </xf>
    <xf numFmtId="166" fontId="11" fillId="0" borderId="36" xfId="2" applyNumberFormat="1" applyFont="1" applyFill="1" applyBorder="1" applyAlignment="1">
      <alignment horizontal="center" vertical="center" wrapText="1"/>
    </xf>
    <xf numFmtId="166" fontId="11" fillId="0" borderId="37" xfId="2" applyNumberFormat="1" applyFont="1" applyBorder="1" applyAlignment="1">
      <alignment horizontal="center" vertical="center"/>
    </xf>
    <xf numFmtId="166" fontId="11" fillId="0" borderId="38" xfId="2" applyNumberFormat="1" applyFont="1" applyBorder="1" applyAlignment="1">
      <alignment horizontal="center" vertical="center"/>
    </xf>
    <xf numFmtId="166" fontId="11" fillId="0" borderId="39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7" fillId="0" borderId="7" xfId="0" applyFont="1" applyBorder="1" applyAlignment="1">
      <alignment horizontal="center"/>
    </xf>
    <xf numFmtId="0" fontId="32" fillId="0" borderId="0" xfId="0" applyFont="1" applyAlignment="1">
      <alignment horizontal="left" wrapText="1"/>
    </xf>
    <xf numFmtId="0" fontId="51" fillId="9" borderId="0" xfId="0" applyFont="1" applyFill="1" applyAlignment="1">
      <alignment horizontal="center" vertical="center"/>
    </xf>
    <xf numFmtId="0" fontId="46" fillId="4" borderId="0" xfId="0" applyFont="1" applyFill="1" applyBorder="1" applyAlignment="1">
      <alignment horizontal="center" vertical="center" wrapText="1"/>
    </xf>
    <xf numFmtId="0" fontId="46" fillId="4" borderId="8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9" fillId="9" borderId="0" xfId="0" applyFont="1" applyFill="1" applyBorder="1" applyAlignment="1">
      <alignment horizontal="left" vertical="center" wrapText="1"/>
    </xf>
    <xf numFmtId="0" fontId="0" fillId="7" borderId="7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7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7" borderId="4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center" wrapText="1"/>
    </xf>
    <xf numFmtId="0" fontId="0" fillId="7" borderId="44" xfId="0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/>
    </xf>
    <xf numFmtId="0" fontId="0" fillId="7" borderId="7" xfId="0" applyFill="1" applyBorder="1" applyAlignment="1">
      <alignment horizontal="center"/>
    </xf>
    <xf numFmtId="0" fontId="0" fillId="0" borderId="0" xfId="0" applyAlignment="1">
      <alignment horizontal="left" vertical="top" wrapText="1"/>
    </xf>
    <xf numFmtId="0" fontId="46" fillId="4" borderId="19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left" vertical="top" wrapText="1"/>
    </xf>
    <xf numFmtId="0" fontId="54" fillId="0" borderId="24" xfId="0" applyFont="1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35" fillId="0" borderId="0" xfId="0" applyFont="1" applyBorder="1" applyAlignment="1">
      <alignment horizontal="left"/>
    </xf>
    <xf numFmtId="0" fontId="37" fillId="0" borderId="0" xfId="0" applyFont="1" applyBorder="1" applyAlignment="1">
      <alignment horizontal="center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0" fillId="0" borderId="45" xfId="0" applyFill="1" applyBorder="1" applyAlignment="1">
      <alignment horizontal="center" vertical="center" wrapText="1"/>
    </xf>
    <xf numFmtId="0" fontId="0" fillId="0" borderId="46" xfId="0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wrapText="1"/>
    </xf>
    <xf numFmtId="0" fontId="0" fillId="0" borderId="7" xfId="0" applyFont="1" applyBorder="1" applyAlignment="1">
      <alignment horizontal="center" vertical="center"/>
    </xf>
    <xf numFmtId="0" fontId="32" fillId="0" borderId="10" xfId="0" applyFont="1" applyBorder="1" applyAlignment="1">
      <alignment horizontal="right" wrapText="1"/>
    </xf>
    <xf numFmtId="14" fontId="32" fillId="0" borderId="10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0" fillId="7" borderId="3" xfId="0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7" borderId="7" xfId="0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/>
    </xf>
    <xf numFmtId="0" fontId="32" fillId="0" borderId="0" xfId="0" applyFont="1" applyBorder="1" applyAlignment="1">
      <alignment horizontal="center" wrapText="1"/>
    </xf>
    <xf numFmtId="0" fontId="46" fillId="4" borderId="19" xfId="0" applyFont="1" applyFill="1" applyBorder="1" applyAlignment="1">
      <alignment horizontal="center" vertical="center"/>
    </xf>
    <xf numFmtId="0" fontId="46" fillId="4" borderId="8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37" fillId="0" borderId="2" xfId="0" applyFont="1" applyBorder="1" applyAlignment="1">
      <alignment horizontal="center"/>
    </xf>
    <xf numFmtId="0" fontId="46" fillId="4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left"/>
    </xf>
    <xf numFmtId="0" fontId="37" fillId="0" borderId="0" xfId="0" applyFont="1" applyFill="1" applyBorder="1" applyAlignment="1">
      <alignment horizontal="center"/>
    </xf>
    <xf numFmtId="0" fontId="55" fillId="0" borderId="0" xfId="0" applyFont="1" applyAlignment="1">
      <alignment horizontal="center" vertical="center"/>
    </xf>
  </cellXfs>
  <cellStyles count="5">
    <cellStyle name="Komma" xfId="1" builtinId="3"/>
    <cellStyle name="Komma 2" xfId="3" xr:uid="{00000000-0005-0000-0000-000001000000}"/>
    <cellStyle name="Komma 3" xfId="2" xr:uid="{00000000-0005-0000-0000-000002000000}"/>
    <cellStyle name="Prozent" xfId="4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0.pn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40.png"/><Relationship Id="rId1" Type="http://schemas.openxmlformats.org/officeDocument/2006/relationships/image" Target="../media/image22.png"/><Relationship Id="rId4" Type="http://schemas.openxmlformats.org/officeDocument/2006/relationships/image" Target="../media/image4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695325</xdr:colOff>
          <xdr:row>43</xdr:row>
          <xdr:rowOff>180975</xdr:rowOff>
        </xdr:from>
        <xdr:to>
          <xdr:col>11</xdr:col>
          <xdr:colOff>647700</xdr:colOff>
          <xdr:row>44</xdr:row>
          <xdr:rowOff>285750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162</xdr:row>
          <xdr:rowOff>9525</xdr:rowOff>
        </xdr:from>
        <xdr:to>
          <xdr:col>12</xdr:col>
          <xdr:colOff>76200</xdr:colOff>
          <xdr:row>166</xdr:row>
          <xdr:rowOff>161925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68</xdr:row>
          <xdr:rowOff>133350</xdr:rowOff>
        </xdr:from>
        <xdr:to>
          <xdr:col>4</xdr:col>
          <xdr:colOff>561975</xdr:colOff>
          <xdr:row>69</xdr:row>
          <xdr:rowOff>190500</xdr:rowOff>
        </xdr:to>
        <xdr:sp macro="" textlink="">
          <xdr:nvSpPr>
            <xdr:cNvPr id="1054" name="Object 145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58</xdr:row>
          <xdr:rowOff>142875</xdr:rowOff>
        </xdr:from>
        <xdr:to>
          <xdr:col>9</xdr:col>
          <xdr:colOff>552450</xdr:colOff>
          <xdr:row>60</xdr:row>
          <xdr:rowOff>19050</xdr:rowOff>
        </xdr:to>
        <xdr:sp macro="" textlink="">
          <xdr:nvSpPr>
            <xdr:cNvPr id="1056" name="Object 148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70</xdr:row>
          <xdr:rowOff>19050</xdr:rowOff>
        </xdr:from>
        <xdr:to>
          <xdr:col>4</xdr:col>
          <xdr:colOff>561975</xdr:colOff>
          <xdr:row>71</xdr:row>
          <xdr:rowOff>9525</xdr:rowOff>
        </xdr:to>
        <xdr:sp macro="" textlink="">
          <xdr:nvSpPr>
            <xdr:cNvPr id="1057" name="Object 149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117</xdr:row>
          <xdr:rowOff>123825</xdr:rowOff>
        </xdr:from>
        <xdr:to>
          <xdr:col>6</xdr:col>
          <xdr:colOff>400050</xdr:colOff>
          <xdr:row>118</xdr:row>
          <xdr:rowOff>190500</xdr:rowOff>
        </xdr:to>
        <xdr:sp macro="" textlink="">
          <xdr:nvSpPr>
            <xdr:cNvPr id="1058" name="Object 150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119</xdr:row>
          <xdr:rowOff>19050</xdr:rowOff>
        </xdr:from>
        <xdr:to>
          <xdr:col>6</xdr:col>
          <xdr:colOff>457200</xdr:colOff>
          <xdr:row>120</xdr:row>
          <xdr:rowOff>9525</xdr:rowOff>
        </xdr:to>
        <xdr:sp macro="" textlink="">
          <xdr:nvSpPr>
            <xdr:cNvPr id="1059" name="Object 151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186</xdr:row>
          <xdr:rowOff>123825</xdr:rowOff>
        </xdr:from>
        <xdr:to>
          <xdr:col>5</xdr:col>
          <xdr:colOff>647700</xdr:colOff>
          <xdr:row>188</xdr:row>
          <xdr:rowOff>0</xdr:rowOff>
        </xdr:to>
        <xdr:sp macro="" textlink="">
          <xdr:nvSpPr>
            <xdr:cNvPr id="1060" name="Object 152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188</xdr:row>
          <xdr:rowOff>28575</xdr:rowOff>
        </xdr:from>
        <xdr:to>
          <xdr:col>5</xdr:col>
          <xdr:colOff>676275</xdr:colOff>
          <xdr:row>189</xdr:row>
          <xdr:rowOff>19050</xdr:rowOff>
        </xdr:to>
        <xdr:sp macro="" textlink="">
          <xdr:nvSpPr>
            <xdr:cNvPr id="1061" name="Object 153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239</xdr:row>
          <xdr:rowOff>0</xdr:rowOff>
        </xdr:from>
        <xdr:to>
          <xdr:col>11</xdr:col>
          <xdr:colOff>619125</xdr:colOff>
          <xdr:row>252</xdr:row>
          <xdr:rowOff>38100</xdr:rowOff>
        </xdr:to>
        <xdr:sp macro="" textlink="">
          <xdr:nvSpPr>
            <xdr:cNvPr id="1062" name="Object 154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362</xdr:row>
          <xdr:rowOff>95250</xdr:rowOff>
        </xdr:from>
        <xdr:to>
          <xdr:col>12</xdr:col>
          <xdr:colOff>752475</xdr:colOff>
          <xdr:row>371</xdr:row>
          <xdr:rowOff>38100</xdr:rowOff>
        </xdr:to>
        <xdr:sp macro="" textlink="">
          <xdr:nvSpPr>
            <xdr:cNvPr id="1063" name="Object 155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100</xdr:row>
          <xdr:rowOff>142875</xdr:rowOff>
        </xdr:from>
        <xdr:to>
          <xdr:col>9</xdr:col>
          <xdr:colOff>514350</xdr:colOff>
          <xdr:row>102</xdr:row>
          <xdr:rowOff>628650</xdr:rowOff>
        </xdr:to>
        <xdr:sp macro="" textlink="">
          <xdr:nvSpPr>
            <xdr:cNvPr id="1064" name="Object 157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388</xdr:row>
          <xdr:rowOff>133350</xdr:rowOff>
        </xdr:from>
        <xdr:to>
          <xdr:col>4</xdr:col>
          <xdr:colOff>561975</xdr:colOff>
          <xdr:row>390</xdr:row>
          <xdr:rowOff>0</xdr:rowOff>
        </xdr:to>
        <xdr:sp macro="" textlink="">
          <xdr:nvSpPr>
            <xdr:cNvPr id="1065" name="Object 158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390</xdr:row>
          <xdr:rowOff>19050</xdr:rowOff>
        </xdr:from>
        <xdr:to>
          <xdr:col>4</xdr:col>
          <xdr:colOff>561975</xdr:colOff>
          <xdr:row>391</xdr:row>
          <xdr:rowOff>9525</xdr:rowOff>
        </xdr:to>
        <xdr:sp macro="" textlink="">
          <xdr:nvSpPr>
            <xdr:cNvPr id="1066" name="Object 159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424</xdr:row>
          <xdr:rowOff>123825</xdr:rowOff>
        </xdr:from>
        <xdr:to>
          <xdr:col>6</xdr:col>
          <xdr:colOff>400050</xdr:colOff>
          <xdr:row>426</xdr:row>
          <xdr:rowOff>0</xdr:rowOff>
        </xdr:to>
        <xdr:sp macro="" textlink="">
          <xdr:nvSpPr>
            <xdr:cNvPr id="1067" name="Object 160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426</xdr:row>
          <xdr:rowOff>19050</xdr:rowOff>
        </xdr:from>
        <xdr:to>
          <xdr:col>6</xdr:col>
          <xdr:colOff>457200</xdr:colOff>
          <xdr:row>427</xdr:row>
          <xdr:rowOff>9525</xdr:rowOff>
        </xdr:to>
        <xdr:sp macro="" textlink="">
          <xdr:nvSpPr>
            <xdr:cNvPr id="1068" name="Object 161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497</xdr:row>
          <xdr:rowOff>123825</xdr:rowOff>
        </xdr:from>
        <xdr:to>
          <xdr:col>5</xdr:col>
          <xdr:colOff>647700</xdr:colOff>
          <xdr:row>499</xdr:row>
          <xdr:rowOff>0</xdr:rowOff>
        </xdr:to>
        <xdr:sp macro="" textlink="">
          <xdr:nvSpPr>
            <xdr:cNvPr id="1069" name="Object 162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499</xdr:row>
          <xdr:rowOff>28575</xdr:rowOff>
        </xdr:from>
        <xdr:to>
          <xdr:col>5</xdr:col>
          <xdr:colOff>676275</xdr:colOff>
          <xdr:row>500</xdr:row>
          <xdr:rowOff>19050</xdr:rowOff>
        </xdr:to>
        <xdr:sp macro="" textlink="">
          <xdr:nvSpPr>
            <xdr:cNvPr id="1070" name="Object 163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409</xdr:row>
          <xdr:rowOff>142875</xdr:rowOff>
        </xdr:from>
        <xdr:to>
          <xdr:col>11</xdr:col>
          <xdr:colOff>581025</xdr:colOff>
          <xdr:row>413</xdr:row>
          <xdr:rowOff>66675</xdr:rowOff>
        </xdr:to>
        <xdr:sp macro="" textlink="">
          <xdr:nvSpPr>
            <xdr:cNvPr id="1071" name="Object 164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463</xdr:row>
          <xdr:rowOff>142875</xdr:rowOff>
        </xdr:from>
        <xdr:to>
          <xdr:col>11</xdr:col>
          <xdr:colOff>581025</xdr:colOff>
          <xdr:row>467</xdr:row>
          <xdr:rowOff>57150</xdr:rowOff>
        </xdr:to>
        <xdr:sp macro="" textlink="">
          <xdr:nvSpPr>
            <xdr:cNvPr id="1072" name="Object 165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542</xdr:row>
          <xdr:rowOff>0</xdr:rowOff>
        </xdr:from>
        <xdr:to>
          <xdr:col>11</xdr:col>
          <xdr:colOff>581025</xdr:colOff>
          <xdr:row>554</xdr:row>
          <xdr:rowOff>0</xdr:rowOff>
        </xdr:to>
        <xdr:sp macro="" textlink="">
          <xdr:nvSpPr>
            <xdr:cNvPr id="1073" name="Object 166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575</xdr:row>
          <xdr:rowOff>142875</xdr:rowOff>
        </xdr:from>
        <xdr:to>
          <xdr:col>11</xdr:col>
          <xdr:colOff>581025</xdr:colOff>
          <xdr:row>583</xdr:row>
          <xdr:rowOff>66675</xdr:rowOff>
        </xdr:to>
        <xdr:sp macro="" textlink="">
          <xdr:nvSpPr>
            <xdr:cNvPr id="1074" name="Object 167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704850</xdr:colOff>
          <xdr:row>592</xdr:row>
          <xdr:rowOff>133350</xdr:rowOff>
        </xdr:from>
        <xdr:to>
          <xdr:col>4</xdr:col>
          <xdr:colOff>561975</xdr:colOff>
          <xdr:row>594</xdr:row>
          <xdr:rowOff>0</xdr:rowOff>
        </xdr:to>
        <xdr:sp macro="" textlink="">
          <xdr:nvSpPr>
            <xdr:cNvPr id="1075" name="Object 168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676275</xdr:colOff>
          <xdr:row>594</xdr:row>
          <xdr:rowOff>19050</xdr:rowOff>
        </xdr:from>
        <xdr:to>
          <xdr:col>4</xdr:col>
          <xdr:colOff>561975</xdr:colOff>
          <xdr:row>595</xdr:row>
          <xdr:rowOff>9525</xdr:rowOff>
        </xdr:to>
        <xdr:sp macro="" textlink="">
          <xdr:nvSpPr>
            <xdr:cNvPr id="1076" name="Object 169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633</xdr:row>
          <xdr:rowOff>123825</xdr:rowOff>
        </xdr:from>
        <xdr:to>
          <xdr:col>6</xdr:col>
          <xdr:colOff>400050</xdr:colOff>
          <xdr:row>635</xdr:row>
          <xdr:rowOff>0</xdr:rowOff>
        </xdr:to>
        <xdr:sp macro="" textlink="">
          <xdr:nvSpPr>
            <xdr:cNvPr id="1077" name="Object 170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635</xdr:row>
          <xdr:rowOff>19050</xdr:rowOff>
        </xdr:from>
        <xdr:to>
          <xdr:col>6</xdr:col>
          <xdr:colOff>457200</xdr:colOff>
          <xdr:row>636</xdr:row>
          <xdr:rowOff>9525</xdr:rowOff>
        </xdr:to>
        <xdr:sp macro="" textlink="">
          <xdr:nvSpPr>
            <xdr:cNvPr id="1078" name="Object 171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783</xdr:row>
          <xdr:rowOff>123825</xdr:rowOff>
        </xdr:from>
        <xdr:to>
          <xdr:col>5</xdr:col>
          <xdr:colOff>647700</xdr:colOff>
          <xdr:row>785</xdr:row>
          <xdr:rowOff>0</xdr:rowOff>
        </xdr:to>
        <xdr:sp macro="" textlink="">
          <xdr:nvSpPr>
            <xdr:cNvPr id="1079" name="Object 172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785</xdr:row>
          <xdr:rowOff>28575</xdr:rowOff>
        </xdr:from>
        <xdr:to>
          <xdr:col>5</xdr:col>
          <xdr:colOff>676275</xdr:colOff>
          <xdr:row>786</xdr:row>
          <xdr:rowOff>19050</xdr:rowOff>
        </xdr:to>
        <xdr:sp macro="" textlink="">
          <xdr:nvSpPr>
            <xdr:cNvPr id="1080" name="Object 173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3</xdr:col>
      <xdr:colOff>390525</xdr:colOff>
      <xdr:row>42</xdr:row>
      <xdr:rowOff>38101</xdr:rowOff>
    </xdr:from>
    <xdr:to>
      <xdr:col>6</xdr:col>
      <xdr:colOff>95250</xdr:colOff>
      <xdr:row>44</xdr:row>
      <xdr:rowOff>362545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1425" y="12582526"/>
          <a:ext cx="1990725" cy="7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82</xdr:row>
      <xdr:rowOff>47625</xdr:rowOff>
    </xdr:from>
    <xdr:to>
      <xdr:col>5</xdr:col>
      <xdr:colOff>231115</xdr:colOff>
      <xdr:row>85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0515600"/>
          <a:ext cx="1840840" cy="68580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139</xdr:row>
      <xdr:rowOff>17746</xdr:rowOff>
    </xdr:from>
    <xdr:to>
      <xdr:col>7</xdr:col>
      <xdr:colOff>714375</xdr:colOff>
      <xdr:row>142</xdr:row>
      <xdr:rowOff>152400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21906196"/>
          <a:ext cx="1895475" cy="7061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398</xdr:row>
      <xdr:rowOff>57150</xdr:rowOff>
    </xdr:from>
    <xdr:to>
      <xdr:col>3</xdr:col>
      <xdr:colOff>628650</xdr:colOff>
      <xdr:row>401</xdr:row>
      <xdr:rowOff>142125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83029425"/>
          <a:ext cx="1762125" cy="656475"/>
        </a:xfrm>
        <a:prstGeom prst="rect">
          <a:avLst/>
        </a:prstGeom>
      </xdr:spPr>
    </xdr:pic>
    <xdr:clientData/>
  </xdr:twoCellAnchor>
  <xdr:twoCellAnchor editAs="oneCell">
    <xdr:from>
      <xdr:col>4</xdr:col>
      <xdr:colOff>742950</xdr:colOff>
      <xdr:row>603</xdr:row>
      <xdr:rowOff>57150</xdr:rowOff>
    </xdr:from>
    <xdr:to>
      <xdr:col>7</xdr:col>
      <xdr:colOff>95250</xdr:colOff>
      <xdr:row>606</xdr:row>
      <xdr:rowOff>142125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0971250"/>
          <a:ext cx="1762125" cy="6564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265</xdr:row>
          <xdr:rowOff>123825</xdr:rowOff>
        </xdr:from>
        <xdr:to>
          <xdr:col>5</xdr:col>
          <xdr:colOff>647700</xdr:colOff>
          <xdr:row>267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267</xdr:row>
          <xdr:rowOff>28575</xdr:rowOff>
        </xdr:from>
        <xdr:to>
          <xdr:col>5</xdr:col>
          <xdr:colOff>676275</xdr:colOff>
          <xdr:row>268</xdr:row>
          <xdr:rowOff>19050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7</xdr:row>
      <xdr:rowOff>47624</xdr:rowOff>
    </xdr:from>
    <xdr:to>
      <xdr:col>2</xdr:col>
      <xdr:colOff>333375</xdr:colOff>
      <xdr:row>17</xdr:row>
      <xdr:rowOff>204184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47625" y="1781174"/>
          <a:ext cx="4029075" cy="2518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</xdr:row>
      <xdr:rowOff>66675</xdr:rowOff>
    </xdr:from>
    <xdr:to>
      <xdr:col>1</xdr:col>
      <xdr:colOff>933450</xdr:colOff>
      <xdr:row>36</xdr:row>
      <xdr:rowOff>137444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029" t="6764" r="4798" b="24628"/>
        <a:stretch/>
      </xdr:blipFill>
      <xdr:spPr>
        <a:xfrm>
          <a:off x="57150" y="8677275"/>
          <a:ext cx="2838450" cy="8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110</xdr:row>
      <xdr:rowOff>74083</xdr:rowOff>
    </xdr:from>
    <xdr:to>
      <xdr:col>1</xdr:col>
      <xdr:colOff>984249</xdr:colOff>
      <xdr:row>115</xdr:row>
      <xdr:rowOff>107660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652" t="5956" r="1209" b="11711"/>
        <a:stretch/>
      </xdr:blipFill>
      <xdr:spPr>
        <a:xfrm>
          <a:off x="10584" y="38216416"/>
          <a:ext cx="2804582" cy="102417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78</xdr:row>
      <xdr:rowOff>66676</xdr:rowOff>
    </xdr:from>
    <xdr:to>
      <xdr:col>10</xdr:col>
      <xdr:colOff>823853</xdr:colOff>
      <xdr:row>90</xdr:row>
      <xdr:rowOff>76200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9" b="19363"/>
        <a:stretch/>
      </xdr:blipFill>
      <xdr:spPr>
        <a:xfrm>
          <a:off x="152400" y="10401301"/>
          <a:ext cx="11158478" cy="28670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57150</xdr:rowOff>
    </xdr:from>
    <xdr:to>
      <xdr:col>2</xdr:col>
      <xdr:colOff>515976</xdr:colOff>
      <xdr:row>53</xdr:row>
      <xdr:rowOff>123826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" t="10579" r="53384" b="8097"/>
        <a:stretch/>
      </xdr:blipFill>
      <xdr:spPr>
        <a:xfrm>
          <a:off x="66675" y="10391775"/>
          <a:ext cx="3935451" cy="2667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57150</xdr:rowOff>
    </xdr:from>
    <xdr:to>
      <xdr:col>7</xdr:col>
      <xdr:colOff>134473</xdr:colOff>
      <xdr:row>53</xdr:row>
      <xdr:rowOff>152401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" t="15210" r="55278" b="9076"/>
        <a:stretch/>
      </xdr:blipFill>
      <xdr:spPr>
        <a:xfrm>
          <a:off x="4286250" y="10391775"/>
          <a:ext cx="4049248" cy="2695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66</xdr:row>
      <xdr:rowOff>57150</xdr:rowOff>
    </xdr:from>
    <xdr:to>
      <xdr:col>1</xdr:col>
      <xdr:colOff>895350</xdr:colOff>
      <xdr:row>70</xdr:row>
      <xdr:rowOff>127919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029" t="6764" r="4798" b="24628"/>
        <a:stretch/>
      </xdr:blipFill>
      <xdr:spPr>
        <a:xfrm>
          <a:off x="19050" y="18307050"/>
          <a:ext cx="2705100" cy="832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704850</xdr:colOff>
          <xdr:row>18</xdr:row>
          <xdr:rowOff>85725</xdr:rowOff>
        </xdr:from>
        <xdr:to>
          <xdr:col>11</xdr:col>
          <xdr:colOff>542925</xdr:colOff>
          <xdr:row>19</xdr:row>
          <xdr:rowOff>114300</xdr:rowOff>
        </xdr:to>
        <xdr:sp macro="" textlink="">
          <xdr:nvSpPr>
            <xdr:cNvPr id="3073" name="Object 2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30</xdr:row>
          <xdr:rowOff>9525</xdr:rowOff>
        </xdr:from>
        <xdr:to>
          <xdr:col>5</xdr:col>
          <xdr:colOff>676275</xdr:colOff>
          <xdr:row>30</xdr:row>
          <xdr:rowOff>190500</xdr:rowOff>
        </xdr:to>
        <xdr:sp macro="" textlink="">
          <xdr:nvSpPr>
            <xdr:cNvPr id="3074" name="Object 6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95250</xdr:rowOff>
        </xdr:from>
        <xdr:to>
          <xdr:col>5</xdr:col>
          <xdr:colOff>638175</xdr:colOff>
          <xdr:row>29</xdr:row>
          <xdr:rowOff>161925</xdr:rowOff>
        </xdr:to>
        <xdr:sp macro="" textlink="">
          <xdr:nvSpPr>
            <xdr:cNvPr id="3075" name="Object 8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98</xdr:row>
          <xdr:rowOff>123825</xdr:rowOff>
        </xdr:from>
        <xdr:to>
          <xdr:col>5</xdr:col>
          <xdr:colOff>647700</xdr:colOff>
          <xdr:row>99</xdr:row>
          <xdr:rowOff>190500</xdr:rowOff>
        </xdr:to>
        <xdr:sp macro="" textlink="">
          <xdr:nvSpPr>
            <xdr:cNvPr id="3076" name="Object 10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100</xdr:row>
          <xdr:rowOff>28575</xdr:rowOff>
        </xdr:from>
        <xdr:to>
          <xdr:col>5</xdr:col>
          <xdr:colOff>676275</xdr:colOff>
          <xdr:row>101</xdr:row>
          <xdr:rowOff>0</xdr:rowOff>
        </xdr:to>
        <xdr:sp macro="" textlink="">
          <xdr:nvSpPr>
            <xdr:cNvPr id="3077" name="Object 11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314325</xdr:colOff>
      <xdr:row>161</xdr:row>
      <xdr:rowOff>190500</xdr:rowOff>
    </xdr:from>
    <xdr:to>
      <xdr:col>9</xdr:col>
      <xdr:colOff>417017</xdr:colOff>
      <xdr:row>165</xdr:row>
      <xdr:rowOff>66675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35147250"/>
          <a:ext cx="315069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165</xdr:row>
      <xdr:rowOff>133351</xdr:rowOff>
    </xdr:from>
    <xdr:to>
      <xdr:col>9</xdr:col>
      <xdr:colOff>228821</xdr:colOff>
      <xdr:row>170</xdr:row>
      <xdr:rowOff>76200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9300" y="36280726"/>
          <a:ext cx="3162521" cy="1895474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73</xdr:row>
      <xdr:rowOff>104775</xdr:rowOff>
    </xdr:from>
    <xdr:to>
      <xdr:col>10</xdr:col>
      <xdr:colOff>507534</xdr:colOff>
      <xdr:row>79</xdr:row>
      <xdr:rowOff>133349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1" y="15897225"/>
          <a:ext cx="3422183" cy="1990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33</xdr:row>
          <xdr:rowOff>161925</xdr:rowOff>
        </xdr:from>
        <xdr:to>
          <xdr:col>11</xdr:col>
          <xdr:colOff>571500</xdr:colOff>
          <xdr:row>36</xdr:row>
          <xdr:rowOff>0</xdr:rowOff>
        </xdr:to>
        <xdr:sp macro="" textlink="">
          <xdr:nvSpPr>
            <xdr:cNvPr id="4097" name="Object 3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098" name="Object 4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099" name="Object 6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0" name="Object 7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352425</xdr:colOff>
          <xdr:row>120</xdr:row>
          <xdr:rowOff>9525</xdr:rowOff>
        </xdr:from>
        <xdr:to>
          <xdr:col>12</xdr:col>
          <xdr:colOff>9525</xdr:colOff>
          <xdr:row>124</xdr:row>
          <xdr:rowOff>123825</xdr:rowOff>
        </xdr:to>
        <xdr:sp macro="" textlink="">
          <xdr:nvSpPr>
            <xdr:cNvPr id="4101" name="Object 12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2" name="Object 2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3" name="Object 2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43</xdr:row>
          <xdr:rowOff>142875</xdr:rowOff>
        </xdr:from>
        <xdr:to>
          <xdr:col>9</xdr:col>
          <xdr:colOff>361950</xdr:colOff>
          <xdr:row>45</xdr:row>
          <xdr:rowOff>0</xdr:rowOff>
        </xdr:to>
        <xdr:sp macro="" textlink="">
          <xdr:nvSpPr>
            <xdr:cNvPr id="4104" name="Object 14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51</xdr:row>
          <xdr:rowOff>123825</xdr:rowOff>
        </xdr:from>
        <xdr:to>
          <xdr:col>6</xdr:col>
          <xdr:colOff>400050</xdr:colOff>
          <xdr:row>53</xdr:row>
          <xdr:rowOff>0</xdr:rowOff>
        </xdr:to>
        <xdr:sp macro="" textlink="">
          <xdr:nvSpPr>
            <xdr:cNvPr id="4105" name="Object 150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53</xdr:row>
          <xdr:rowOff>19050</xdr:rowOff>
        </xdr:from>
        <xdr:to>
          <xdr:col>6</xdr:col>
          <xdr:colOff>457200</xdr:colOff>
          <xdr:row>54</xdr:row>
          <xdr:rowOff>0</xdr:rowOff>
        </xdr:to>
        <xdr:sp macro="" textlink="">
          <xdr:nvSpPr>
            <xdr:cNvPr id="4106" name="Object 151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216</xdr:row>
          <xdr:rowOff>123825</xdr:rowOff>
        </xdr:from>
        <xdr:to>
          <xdr:col>6</xdr:col>
          <xdr:colOff>400050</xdr:colOff>
          <xdr:row>218</xdr:row>
          <xdr:rowOff>0</xdr:rowOff>
        </xdr:to>
        <xdr:sp macro="" textlink="">
          <xdr:nvSpPr>
            <xdr:cNvPr id="4107" name="Object 170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218</xdr:row>
          <xdr:rowOff>19050</xdr:rowOff>
        </xdr:from>
        <xdr:to>
          <xdr:col>6</xdr:col>
          <xdr:colOff>457200</xdr:colOff>
          <xdr:row>219</xdr:row>
          <xdr:rowOff>0</xdr:rowOff>
        </xdr:to>
        <xdr:sp macro="" textlink="">
          <xdr:nvSpPr>
            <xdr:cNvPr id="4108" name="Object 171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142874</xdr:colOff>
      <xdr:row>5</xdr:row>
      <xdr:rowOff>133351</xdr:rowOff>
    </xdr:from>
    <xdr:to>
      <xdr:col>16</xdr:col>
      <xdr:colOff>628650</xdr:colOff>
      <xdr:row>13</xdr:row>
      <xdr:rowOff>95416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" y="1409701"/>
          <a:ext cx="7172326" cy="194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38103</xdr:colOff>
      <xdr:row>101</xdr:row>
      <xdr:rowOff>38102</xdr:rowOff>
    </xdr:from>
    <xdr:to>
      <xdr:col>10</xdr:col>
      <xdr:colOff>1534543</xdr:colOff>
      <xdr:row>107</xdr:row>
      <xdr:rowOff>142876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039"/>
        <a:stretch/>
      </xdr:blipFill>
      <xdr:spPr>
        <a:xfrm>
          <a:off x="38103" y="44472227"/>
          <a:ext cx="1496440" cy="1533524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157</xdr:row>
      <xdr:rowOff>200025</xdr:rowOff>
    </xdr:from>
    <xdr:to>
      <xdr:col>11</xdr:col>
      <xdr:colOff>1447800</xdr:colOff>
      <xdr:row>169</xdr:row>
      <xdr:rowOff>90359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2" r="14175"/>
        <a:stretch/>
      </xdr:blipFill>
      <xdr:spPr>
        <a:xfrm>
          <a:off x="104775" y="61950600"/>
          <a:ext cx="3171825" cy="2747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1343026</xdr:colOff>
      <xdr:row>157</xdr:row>
      <xdr:rowOff>209550</xdr:rowOff>
    </xdr:from>
    <xdr:to>
      <xdr:col>16</xdr:col>
      <xdr:colOff>238126</xdr:colOff>
      <xdr:row>168</xdr:row>
      <xdr:rowOff>144952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61960125"/>
          <a:ext cx="3752850" cy="2554777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199</xdr:row>
      <xdr:rowOff>85725</xdr:rowOff>
    </xdr:from>
    <xdr:to>
      <xdr:col>16</xdr:col>
      <xdr:colOff>255629</xdr:colOff>
      <xdr:row>209</xdr:row>
      <xdr:rowOff>161925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9"/>
        <a:stretch/>
      </xdr:blipFill>
      <xdr:spPr>
        <a:xfrm>
          <a:off x="85725" y="70170675"/>
          <a:ext cx="6856454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17</xdr:col>
      <xdr:colOff>608098</xdr:colOff>
      <xdr:row>234</xdr:row>
      <xdr:rowOff>9525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58025"/>
          <a:ext cx="8056648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123</xdr:row>
      <xdr:rowOff>19051</xdr:rowOff>
    </xdr:from>
    <xdr:to>
      <xdr:col>11</xdr:col>
      <xdr:colOff>1612736</xdr:colOff>
      <xdr:row>132</xdr:row>
      <xdr:rowOff>9526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15"/>
        <a:stretch/>
      </xdr:blipFill>
      <xdr:spPr>
        <a:xfrm>
          <a:off x="28575" y="51977926"/>
          <a:ext cx="3412961" cy="213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148</xdr:row>
      <xdr:rowOff>85725</xdr:rowOff>
    </xdr:from>
    <xdr:to>
      <xdr:col>13</xdr:col>
      <xdr:colOff>875502</xdr:colOff>
      <xdr:row>157</xdr:row>
      <xdr:rowOff>219075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1350525"/>
          <a:ext cx="4990302" cy="227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95251</xdr:rowOff>
    </xdr:from>
    <xdr:to>
      <xdr:col>18</xdr:col>
      <xdr:colOff>666751</xdr:colOff>
      <xdr:row>35</xdr:row>
      <xdr:rowOff>34165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2338" b="25758"/>
        <a:stretch/>
      </xdr:blipFill>
      <xdr:spPr>
        <a:xfrm>
          <a:off x="1" y="11668126"/>
          <a:ext cx="8877300" cy="89141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9526</xdr:colOff>
      <xdr:row>116</xdr:row>
      <xdr:rowOff>47626</xdr:rowOff>
    </xdr:from>
    <xdr:to>
      <xdr:col>11</xdr:col>
      <xdr:colOff>1609726</xdr:colOff>
      <xdr:row>120</xdr:row>
      <xdr:rowOff>185036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029" b="20432"/>
        <a:stretch/>
      </xdr:blipFill>
      <xdr:spPr>
        <a:xfrm>
          <a:off x="9526" y="50577751"/>
          <a:ext cx="3429000" cy="89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183</xdr:row>
      <xdr:rowOff>9526</xdr:rowOff>
    </xdr:from>
    <xdr:to>
      <xdr:col>17</xdr:col>
      <xdr:colOff>647700</xdr:colOff>
      <xdr:row>187</xdr:row>
      <xdr:rowOff>166928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750" b="17667"/>
        <a:stretch/>
      </xdr:blipFill>
      <xdr:spPr>
        <a:xfrm>
          <a:off x="19050" y="74133076"/>
          <a:ext cx="8077200" cy="91940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141</xdr:row>
      <xdr:rowOff>104774</xdr:rowOff>
    </xdr:from>
    <xdr:to>
      <xdr:col>11</xdr:col>
      <xdr:colOff>1085850</xdr:colOff>
      <xdr:row>145</xdr:row>
      <xdr:rowOff>175543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2029" t="6764" r="4798" b="24628"/>
        <a:stretch/>
      </xdr:blipFill>
      <xdr:spPr>
        <a:xfrm>
          <a:off x="76200" y="58283474"/>
          <a:ext cx="2838450" cy="832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85727</xdr:rowOff>
    </xdr:from>
    <xdr:to>
      <xdr:col>6</xdr:col>
      <xdr:colOff>369350</xdr:colOff>
      <xdr:row>14</xdr:row>
      <xdr:rowOff>9525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419227"/>
          <a:ext cx="8094124" cy="198119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72</xdr:row>
      <xdr:rowOff>219075</xdr:rowOff>
    </xdr:from>
    <xdr:to>
      <xdr:col>5</xdr:col>
      <xdr:colOff>619125</xdr:colOff>
      <xdr:row>83</xdr:row>
      <xdr:rowOff>167546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4" b="-1"/>
        <a:stretch/>
      </xdr:blipFill>
      <xdr:spPr>
        <a:xfrm>
          <a:off x="266700" y="29317950"/>
          <a:ext cx="7743825" cy="256784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100</xdr:row>
      <xdr:rowOff>85724</xdr:rowOff>
    </xdr:from>
    <xdr:to>
      <xdr:col>2</xdr:col>
      <xdr:colOff>533400</xdr:colOff>
      <xdr:row>106</xdr:row>
      <xdr:rowOff>97809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3" b="1"/>
        <a:stretch/>
      </xdr:blipFill>
      <xdr:spPr>
        <a:xfrm>
          <a:off x="38101" y="86687024"/>
          <a:ext cx="3981449" cy="1155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57151</xdr:rowOff>
    </xdr:from>
    <xdr:to>
      <xdr:col>7</xdr:col>
      <xdr:colOff>484714</xdr:colOff>
      <xdr:row>36</xdr:row>
      <xdr:rowOff>171451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877676"/>
          <a:ext cx="8971489" cy="106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228601</xdr:rowOff>
    </xdr:from>
    <xdr:to>
      <xdr:col>1</xdr:col>
      <xdr:colOff>9526</xdr:colOff>
      <xdr:row>13</xdr:row>
      <xdr:rowOff>134283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31" t="406" r="4201" b="8537"/>
        <a:stretch/>
      </xdr:blipFill>
      <xdr:spPr>
        <a:xfrm>
          <a:off x="57150" y="1266826"/>
          <a:ext cx="1781176" cy="18392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</xdr:row>
      <xdr:rowOff>76201</xdr:rowOff>
    </xdr:from>
    <xdr:to>
      <xdr:col>2</xdr:col>
      <xdr:colOff>714375</xdr:colOff>
      <xdr:row>28</xdr:row>
      <xdr:rowOff>38100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762" b="28805"/>
        <a:stretch/>
      </xdr:blipFill>
      <xdr:spPr>
        <a:xfrm>
          <a:off x="38100" y="7734301"/>
          <a:ext cx="4162425" cy="11048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36</xdr:row>
      <xdr:rowOff>57150</xdr:rowOff>
    </xdr:from>
    <xdr:to>
      <xdr:col>9</xdr:col>
      <xdr:colOff>866775</xdr:colOff>
      <xdr:row>46</xdr:row>
      <xdr:rowOff>142875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87" b="2996"/>
        <a:stretch/>
      </xdr:blipFill>
      <xdr:spPr>
        <a:xfrm>
          <a:off x="8067675" y="11077575"/>
          <a:ext cx="3248025" cy="24669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</xdr:row>
      <xdr:rowOff>142876</xdr:rowOff>
    </xdr:from>
    <xdr:to>
      <xdr:col>2</xdr:col>
      <xdr:colOff>695537</xdr:colOff>
      <xdr:row>16</xdr:row>
      <xdr:rowOff>95250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419226"/>
          <a:ext cx="4105488" cy="23145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26</xdr:row>
      <xdr:rowOff>66675</xdr:rowOff>
    </xdr:from>
    <xdr:to>
      <xdr:col>1</xdr:col>
      <xdr:colOff>1133475</xdr:colOff>
      <xdr:row>30</xdr:row>
      <xdr:rowOff>116868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724" t="9514" r="4213" b="22882"/>
        <a:stretch/>
      </xdr:blipFill>
      <xdr:spPr>
        <a:xfrm>
          <a:off x="85723" y="8220075"/>
          <a:ext cx="2876552" cy="81219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59</xdr:row>
      <xdr:rowOff>38101</xdr:rowOff>
    </xdr:from>
    <xdr:to>
      <xdr:col>1</xdr:col>
      <xdr:colOff>1181100</xdr:colOff>
      <xdr:row>63</xdr:row>
      <xdr:rowOff>102669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936" b="43935"/>
        <a:stretch/>
      </xdr:blipFill>
      <xdr:spPr>
        <a:xfrm>
          <a:off x="1" y="22574251"/>
          <a:ext cx="3009899" cy="826568"/>
        </a:xfrm>
        <a:prstGeom prst="rect">
          <a:avLst/>
        </a:prstGeom>
      </xdr:spPr>
    </xdr:pic>
    <xdr:clientData/>
  </xdr:twoCellAnchor>
  <xdr:twoCellAnchor editAs="oneCell">
    <xdr:from>
      <xdr:col>3</xdr:col>
      <xdr:colOff>923926</xdr:colOff>
      <xdr:row>35</xdr:row>
      <xdr:rowOff>180976</xdr:rowOff>
    </xdr:from>
    <xdr:to>
      <xdr:col>6</xdr:col>
      <xdr:colOff>68526</xdr:colOff>
      <xdr:row>45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16" t="4412" r="13800" b="6312"/>
        <a:stretch/>
      </xdr:blipFill>
      <xdr:spPr>
        <a:xfrm>
          <a:off x="5486401" y="10963276"/>
          <a:ext cx="2573600" cy="235267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36</xdr:row>
      <xdr:rowOff>9525</xdr:rowOff>
    </xdr:from>
    <xdr:to>
      <xdr:col>3</xdr:col>
      <xdr:colOff>728729</xdr:colOff>
      <xdr:row>46</xdr:row>
      <xdr:rowOff>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55" t="3198" b="-1"/>
        <a:stretch/>
      </xdr:blipFill>
      <xdr:spPr>
        <a:xfrm>
          <a:off x="209550" y="11029950"/>
          <a:ext cx="5081654" cy="23717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142874</xdr:rowOff>
    </xdr:from>
    <xdr:to>
      <xdr:col>2</xdr:col>
      <xdr:colOff>371475</xdr:colOff>
      <xdr:row>44</xdr:row>
      <xdr:rowOff>104774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61335" b="25758"/>
        <a:stretch/>
      </xdr:blipFill>
      <xdr:spPr>
        <a:xfrm>
          <a:off x="0" y="14182724"/>
          <a:ext cx="367665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90</xdr:row>
      <xdr:rowOff>116496</xdr:rowOff>
    </xdr:from>
    <xdr:to>
      <xdr:col>6</xdr:col>
      <xdr:colOff>150152</xdr:colOff>
      <xdr:row>102</xdr:row>
      <xdr:rowOff>95250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12"/>
        <a:stretch/>
      </xdr:blipFill>
      <xdr:spPr>
        <a:xfrm>
          <a:off x="123824" y="25052946"/>
          <a:ext cx="7198653" cy="28362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57151</xdr:rowOff>
    </xdr:from>
    <xdr:to>
      <xdr:col>1</xdr:col>
      <xdr:colOff>347812</xdr:colOff>
      <xdr:row>132</xdr:row>
      <xdr:rowOff>180975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8" t="15057" r="63903"/>
        <a:stretch/>
      </xdr:blipFill>
      <xdr:spPr>
        <a:xfrm>
          <a:off x="0" y="43291126"/>
          <a:ext cx="2176612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6</xdr:row>
      <xdr:rowOff>38100</xdr:rowOff>
    </xdr:from>
    <xdr:to>
      <xdr:col>9</xdr:col>
      <xdr:colOff>30354</xdr:colOff>
      <xdr:row>17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1771650"/>
          <a:ext cx="10050655" cy="274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5</xdr:row>
      <xdr:rowOff>114300</xdr:rowOff>
    </xdr:from>
    <xdr:to>
      <xdr:col>1</xdr:col>
      <xdr:colOff>189168</xdr:colOff>
      <xdr:row>14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8" t="-384" r="64640" b="9718"/>
        <a:stretch/>
      </xdr:blipFill>
      <xdr:spPr>
        <a:xfrm>
          <a:off x="238126" y="1609725"/>
          <a:ext cx="1913192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27</xdr:row>
      <xdr:rowOff>0</xdr:rowOff>
    </xdr:from>
    <xdr:to>
      <xdr:col>2</xdr:col>
      <xdr:colOff>342901</xdr:colOff>
      <xdr:row>33</xdr:row>
      <xdr:rowOff>124359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6" y="8124825"/>
          <a:ext cx="4019550" cy="1267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4.bin"/><Relationship Id="rId21" Type="http://schemas.openxmlformats.org/officeDocument/2006/relationships/oleObject" Target="../embeddings/oleObject10.bin"/><Relationship Id="rId42" Type="http://schemas.openxmlformats.org/officeDocument/2006/relationships/oleObject" Target="../embeddings/oleObject28.bin"/><Relationship Id="rId47" Type="http://schemas.openxmlformats.org/officeDocument/2006/relationships/oleObject" Target="../embeddings/oleObject33.bin"/><Relationship Id="rId63" Type="http://schemas.openxmlformats.org/officeDocument/2006/relationships/oleObject" Target="../embeddings/oleObject49.bin"/><Relationship Id="rId68" Type="http://schemas.openxmlformats.org/officeDocument/2006/relationships/oleObject" Target="../embeddings/oleObject54.bin"/><Relationship Id="rId7" Type="http://schemas.openxmlformats.org/officeDocument/2006/relationships/oleObject" Target="../embeddings/oleObject2.bin"/><Relationship Id="rId71" Type="http://schemas.openxmlformats.org/officeDocument/2006/relationships/oleObject" Target="../embeddings/oleObject57.bin"/><Relationship Id="rId2" Type="http://schemas.openxmlformats.org/officeDocument/2006/relationships/printerSettings" Target="../printerSettings/printerSettings2.bin"/><Relationship Id="rId16" Type="http://schemas.openxmlformats.org/officeDocument/2006/relationships/oleObject" Target="../embeddings/oleObject7.bin"/><Relationship Id="rId29" Type="http://schemas.openxmlformats.org/officeDocument/2006/relationships/oleObject" Target="../embeddings/oleObject17.bin"/><Relationship Id="rId11" Type="http://schemas.openxmlformats.org/officeDocument/2006/relationships/oleObject" Target="../embeddings/oleObject4.bin"/><Relationship Id="rId24" Type="http://schemas.openxmlformats.org/officeDocument/2006/relationships/oleObject" Target="../embeddings/oleObject12.bin"/><Relationship Id="rId32" Type="http://schemas.openxmlformats.org/officeDocument/2006/relationships/oleObject" Target="../embeddings/oleObject19.bin"/><Relationship Id="rId37" Type="http://schemas.openxmlformats.org/officeDocument/2006/relationships/oleObject" Target="../embeddings/oleObject23.bin"/><Relationship Id="rId40" Type="http://schemas.openxmlformats.org/officeDocument/2006/relationships/oleObject" Target="../embeddings/oleObject26.bin"/><Relationship Id="rId45" Type="http://schemas.openxmlformats.org/officeDocument/2006/relationships/oleObject" Target="../embeddings/oleObject31.bin"/><Relationship Id="rId53" Type="http://schemas.openxmlformats.org/officeDocument/2006/relationships/oleObject" Target="../embeddings/oleObject39.bin"/><Relationship Id="rId58" Type="http://schemas.openxmlformats.org/officeDocument/2006/relationships/oleObject" Target="../embeddings/oleObject44.bin"/><Relationship Id="rId66" Type="http://schemas.openxmlformats.org/officeDocument/2006/relationships/oleObject" Target="../embeddings/oleObject52.bin"/><Relationship Id="rId5" Type="http://schemas.openxmlformats.org/officeDocument/2006/relationships/oleObject" Target="../embeddings/oleObject1.bin"/><Relationship Id="rId61" Type="http://schemas.openxmlformats.org/officeDocument/2006/relationships/oleObject" Target="../embeddings/oleObject47.bin"/><Relationship Id="rId19" Type="http://schemas.openxmlformats.org/officeDocument/2006/relationships/oleObject" Target="../embeddings/oleObject9.bin"/><Relationship Id="rId14" Type="http://schemas.openxmlformats.org/officeDocument/2006/relationships/oleObject" Target="../embeddings/oleObject6.bin"/><Relationship Id="rId22" Type="http://schemas.openxmlformats.org/officeDocument/2006/relationships/image" Target="../media/image8.emf"/><Relationship Id="rId27" Type="http://schemas.openxmlformats.org/officeDocument/2006/relationships/oleObject" Target="../embeddings/oleObject15.bin"/><Relationship Id="rId30" Type="http://schemas.openxmlformats.org/officeDocument/2006/relationships/oleObject" Target="../embeddings/oleObject18.bin"/><Relationship Id="rId35" Type="http://schemas.openxmlformats.org/officeDocument/2006/relationships/oleObject" Target="../embeddings/oleObject21.bin"/><Relationship Id="rId43" Type="http://schemas.openxmlformats.org/officeDocument/2006/relationships/oleObject" Target="../embeddings/oleObject29.bin"/><Relationship Id="rId48" Type="http://schemas.openxmlformats.org/officeDocument/2006/relationships/oleObject" Target="../embeddings/oleObject34.bin"/><Relationship Id="rId56" Type="http://schemas.openxmlformats.org/officeDocument/2006/relationships/oleObject" Target="../embeddings/oleObject42.bin"/><Relationship Id="rId64" Type="http://schemas.openxmlformats.org/officeDocument/2006/relationships/oleObject" Target="../embeddings/oleObject50.bin"/><Relationship Id="rId69" Type="http://schemas.openxmlformats.org/officeDocument/2006/relationships/oleObject" Target="../embeddings/oleObject55.bin"/><Relationship Id="rId8" Type="http://schemas.openxmlformats.org/officeDocument/2006/relationships/image" Target="../media/image2.emf"/><Relationship Id="rId51" Type="http://schemas.openxmlformats.org/officeDocument/2006/relationships/oleObject" Target="../embeddings/oleObject37.bin"/><Relationship Id="rId72" Type="http://schemas.openxmlformats.org/officeDocument/2006/relationships/comments" Target="../comments1.xml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3.bin"/><Relationship Id="rId33" Type="http://schemas.openxmlformats.org/officeDocument/2006/relationships/image" Target="../media/image10.emf"/><Relationship Id="rId38" Type="http://schemas.openxmlformats.org/officeDocument/2006/relationships/oleObject" Target="../embeddings/oleObject24.bin"/><Relationship Id="rId46" Type="http://schemas.openxmlformats.org/officeDocument/2006/relationships/oleObject" Target="../embeddings/oleObject32.bin"/><Relationship Id="rId59" Type="http://schemas.openxmlformats.org/officeDocument/2006/relationships/oleObject" Target="../embeddings/oleObject45.bin"/><Relationship Id="rId67" Type="http://schemas.openxmlformats.org/officeDocument/2006/relationships/oleObject" Target="../embeddings/oleObject53.bin"/><Relationship Id="rId20" Type="http://schemas.openxmlformats.org/officeDocument/2006/relationships/image" Target="../media/image7.emf"/><Relationship Id="rId41" Type="http://schemas.openxmlformats.org/officeDocument/2006/relationships/oleObject" Target="../embeddings/oleObject27.bin"/><Relationship Id="rId54" Type="http://schemas.openxmlformats.org/officeDocument/2006/relationships/oleObject" Target="../embeddings/oleObject40.bin"/><Relationship Id="rId62" Type="http://schemas.openxmlformats.org/officeDocument/2006/relationships/oleObject" Target="../embeddings/oleObject48.bin"/><Relationship Id="rId70" Type="http://schemas.openxmlformats.org/officeDocument/2006/relationships/oleObject" Target="../embeddings/oleObject56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image" Target="../media/image5.emf"/><Relationship Id="rId23" Type="http://schemas.openxmlformats.org/officeDocument/2006/relationships/oleObject" Target="../embeddings/oleObject11.bin"/><Relationship Id="rId28" Type="http://schemas.openxmlformats.org/officeDocument/2006/relationships/oleObject" Target="../embeddings/oleObject16.bin"/><Relationship Id="rId36" Type="http://schemas.openxmlformats.org/officeDocument/2006/relationships/oleObject" Target="../embeddings/oleObject22.bin"/><Relationship Id="rId49" Type="http://schemas.openxmlformats.org/officeDocument/2006/relationships/oleObject" Target="../embeddings/oleObject35.bin"/><Relationship Id="rId57" Type="http://schemas.openxmlformats.org/officeDocument/2006/relationships/oleObject" Target="../embeddings/oleObject43.bin"/><Relationship Id="rId10" Type="http://schemas.openxmlformats.org/officeDocument/2006/relationships/image" Target="../media/image3.emf"/><Relationship Id="rId31" Type="http://schemas.openxmlformats.org/officeDocument/2006/relationships/image" Target="../media/image9.emf"/><Relationship Id="rId44" Type="http://schemas.openxmlformats.org/officeDocument/2006/relationships/oleObject" Target="../embeddings/oleObject30.bin"/><Relationship Id="rId52" Type="http://schemas.openxmlformats.org/officeDocument/2006/relationships/oleObject" Target="../embeddings/oleObject38.bin"/><Relationship Id="rId60" Type="http://schemas.openxmlformats.org/officeDocument/2006/relationships/oleObject" Target="../embeddings/oleObject46.bin"/><Relationship Id="rId65" Type="http://schemas.openxmlformats.org/officeDocument/2006/relationships/oleObject" Target="../embeddings/oleObject51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3" Type="http://schemas.openxmlformats.org/officeDocument/2006/relationships/oleObject" Target="../embeddings/oleObject5.bin"/><Relationship Id="rId18" Type="http://schemas.openxmlformats.org/officeDocument/2006/relationships/image" Target="../media/image6.emf"/><Relationship Id="rId39" Type="http://schemas.openxmlformats.org/officeDocument/2006/relationships/oleObject" Target="../embeddings/oleObject25.bin"/><Relationship Id="rId34" Type="http://schemas.openxmlformats.org/officeDocument/2006/relationships/oleObject" Target="../embeddings/oleObject20.bin"/><Relationship Id="rId50" Type="http://schemas.openxmlformats.org/officeDocument/2006/relationships/oleObject" Target="../embeddings/oleObject36.bin"/><Relationship Id="rId55" Type="http://schemas.openxmlformats.org/officeDocument/2006/relationships/oleObject" Target="../embeddings/oleObject4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0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9.bin"/><Relationship Id="rId11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10" Type="http://schemas.openxmlformats.org/officeDocument/2006/relationships/oleObject" Target="../embeddings/oleObject61.bin"/><Relationship Id="rId4" Type="http://schemas.openxmlformats.org/officeDocument/2006/relationships/oleObject" Target="../embeddings/oleObject58.bin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7.bin"/><Relationship Id="rId18" Type="http://schemas.openxmlformats.org/officeDocument/2006/relationships/oleObject" Target="../embeddings/oleObject71.bin"/><Relationship Id="rId3" Type="http://schemas.openxmlformats.org/officeDocument/2006/relationships/drawing" Target="../drawings/drawing3.xml"/><Relationship Id="rId21" Type="http://schemas.openxmlformats.org/officeDocument/2006/relationships/oleObject" Target="../embeddings/oleObject74.bin"/><Relationship Id="rId7" Type="http://schemas.openxmlformats.org/officeDocument/2006/relationships/oleObject" Target="../embeddings/oleObject64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70.bin"/><Relationship Id="rId2" Type="http://schemas.openxmlformats.org/officeDocument/2006/relationships/printerSettings" Target="../printerSettings/printerSettings5.bin"/><Relationship Id="rId16" Type="http://schemas.openxmlformats.org/officeDocument/2006/relationships/oleObject" Target="../embeddings/oleObject69.bin"/><Relationship Id="rId20" Type="http://schemas.openxmlformats.org/officeDocument/2006/relationships/oleObject" Target="../embeddings/oleObject73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6.bin"/><Relationship Id="rId5" Type="http://schemas.openxmlformats.org/officeDocument/2006/relationships/oleObject" Target="../embeddings/oleObject63.bin"/><Relationship Id="rId15" Type="http://schemas.openxmlformats.org/officeDocument/2006/relationships/oleObject" Target="../embeddings/oleObject68.bin"/><Relationship Id="rId10" Type="http://schemas.openxmlformats.org/officeDocument/2006/relationships/image" Target="../media/image1.emf"/><Relationship Id="rId19" Type="http://schemas.openxmlformats.org/officeDocument/2006/relationships/oleObject" Target="../embeddings/oleObject72.bin"/><Relationship Id="rId4" Type="http://schemas.openxmlformats.org/officeDocument/2006/relationships/vmlDrawing" Target="../drawings/vmlDrawing3.vml"/><Relationship Id="rId9" Type="http://schemas.openxmlformats.org/officeDocument/2006/relationships/oleObject" Target="../embeddings/oleObject65.bin"/><Relationship Id="rId14" Type="http://schemas.openxmlformats.org/officeDocument/2006/relationships/image" Target="../media/image8.emf"/><Relationship Id="rId2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060"/>
  <sheetViews>
    <sheetView showGridLines="0" showRowColHeaders="0" topLeftCell="A29" zoomScaleNormal="100" workbookViewId="0">
      <selection activeCell="K206" sqref="K206"/>
    </sheetView>
  </sheetViews>
  <sheetFormatPr baseColWidth="10" defaultRowHeight="15"/>
  <cols>
    <col min="1" max="1" width="28" customWidth="1"/>
    <col min="7" max="7" width="13.28515625" customWidth="1"/>
    <col min="8" max="8" width="12.42578125" customWidth="1"/>
    <col min="14" max="14" width="13.85546875" customWidth="1"/>
    <col min="15" max="15" width="29.140625" customWidth="1"/>
    <col min="16" max="16" width="13.42578125" style="2" customWidth="1"/>
    <col min="17" max="17" width="26.7109375" style="2" bestFit="1" customWidth="1"/>
    <col min="18" max="18" width="30.5703125" style="2" bestFit="1" customWidth="1"/>
    <col min="19" max="19" width="37.42578125" style="2" bestFit="1" customWidth="1"/>
    <col min="21" max="21" width="12" customWidth="1"/>
    <col min="22" max="22" width="12.5703125" customWidth="1"/>
    <col min="23" max="23" width="23.28515625" bestFit="1" customWidth="1"/>
    <col min="24" max="24" width="25.85546875" bestFit="1" customWidth="1"/>
    <col min="25" max="25" width="37.140625" bestFit="1" customWidth="1"/>
    <col min="26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5" ht="26.25">
      <c r="A1" s="1" t="s">
        <v>0</v>
      </c>
    </row>
    <row r="2" spans="1:25" ht="23.25">
      <c r="A2" s="1"/>
    </row>
    <row r="3" spans="1:25" ht="18.75">
      <c r="A3" s="56" t="s">
        <v>58</v>
      </c>
    </row>
    <row r="4" spans="1:25" ht="23.25">
      <c r="A4" s="1"/>
    </row>
    <row r="5" spans="1:25" ht="18">
      <c r="A5" s="4" t="s">
        <v>2</v>
      </c>
      <c r="B5" s="5" t="s">
        <v>3</v>
      </c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10</v>
      </c>
      <c r="J5" s="5" t="s">
        <v>11</v>
      </c>
      <c r="K5" s="5" t="s">
        <v>12</v>
      </c>
      <c r="L5" s="6" t="s">
        <v>13</v>
      </c>
      <c r="M5" s="7"/>
      <c r="O5" s="4" t="s">
        <v>2</v>
      </c>
      <c r="P5" s="710" t="s">
        <v>14</v>
      </c>
      <c r="Q5" s="711"/>
      <c r="R5" s="711"/>
      <c r="S5" s="711"/>
      <c r="T5" s="712"/>
      <c r="V5" s="4" t="s">
        <v>15</v>
      </c>
      <c r="W5" s="4" t="s">
        <v>16</v>
      </c>
    </row>
    <row r="6" spans="1:25">
      <c r="A6" s="8"/>
      <c r="B6" s="9" t="s">
        <v>17</v>
      </c>
      <c r="C6" s="9" t="s">
        <v>18</v>
      </c>
      <c r="D6" s="9" t="s">
        <v>18</v>
      </c>
      <c r="E6" s="9" t="s">
        <v>19</v>
      </c>
      <c r="F6" s="9" t="s">
        <v>18</v>
      </c>
      <c r="G6" s="9" t="s">
        <v>18</v>
      </c>
      <c r="H6" s="9" t="s">
        <v>18</v>
      </c>
      <c r="I6" s="9" t="s">
        <v>17</v>
      </c>
      <c r="J6" s="9" t="s">
        <v>17</v>
      </c>
      <c r="K6" s="9" t="s">
        <v>17</v>
      </c>
      <c r="L6" s="10" t="s">
        <v>17</v>
      </c>
      <c r="M6" s="7"/>
      <c r="O6" s="8"/>
      <c r="P6" s="11">
        <v>0.6</v>
      </c>
      <c r="Q6" s="11">
        <v>0.7</v>
      </c>
      <c r="R6" s="11">
        <v>0.8</v>
      </c>
      <c r="S6" s="11">
        <v>0.9</v>
      </c>
      <c r="T6" s="11">
        <v>1</v>
      </c>
      <c r="V6" s="8" t="s">
        <v>20</v>
      </c>
      <c r="W6" s="8" t="s">
        <v>21</v>
      </c>
      <c r="Y6" t="s">
        <v>675</v>
      </c>
    </row>
    <row r="7" spans="1:25" ht="45">
      <c r="A7" s="396" t="s">
        <v>370</v>
      </c>
      <c r="B7" s="397">
        <v>6.2</v>
      </c>
      <c r="C7" s="398">
        <v>58</v>
      </c>
      <c r="D7" s="398">
        <f>C7/2</f>
        <v>29</v>
      </c>
      <c r="E7" s="398">
        <f>C7/(C7-D7)</f>
        <v>2</v>
      </c>
      <c r="F7" s="398">
        <v>54</v>
      </c>
      <c r="G7" s="398">
        <v>84</v>
      </c>
      <c r="H7" s="398">
        <v>10</v>
      </c>
      <c r="I7" s="399">
        <f>(0.52*SQRT(H7)*(F7)^0.9*$B$11^0.8)/1000</f>
        <v>6.974712508553587</v>
      </c>
      <c r="J7" s="85">
        <f>($J$10*0.52*SQRT(H7)*G7^0.9*$B$11^0.8)/1000</f>
        <v>6.2283718772573966</v>
      </c>
      <c r="K7" s="397">
        <v>30</v>
      </c>
      <c r="L7" s="401">
        <f>MIN(I7*E7,J7*E7)</f>
        <v>12.456743754514793</v>
      </c>
      <c r="M7" s="12"/>
      <c r="O7" s="396" t="s">
        <v>370</v>
      </c>
      <c r="P7" s="88">
        <f>$E7*MIN($B7/1,$I7*P$6/1.3,$J7*P$6/1.3,$K7/1.25)</f>
        <v>5.7492663482375965</v>
      </c>
      <c r="Q7" s="88">
        <f t="shared" ref="P7:T37" si="0">$E7*MIN($B7/1,$I7*Q$6/1.3,$J7*Q$6/1.3,$K7/1.25)</f>
        <v>6.7074774062771958</v>
      </c>
      <c r="R7" s="88">
        <f t="shared" si="0"/>
        <v>7.665688464316796</v>
      </c>
      <c r="S7" s="88">
        <f t="shared" si="0"/>
        <v>8.6238995223563961</v>
      </c>
      <c r="T7" s="88">
        <f t="shared" si="0"/>
        <v>9.5821105803959945</v>
      </c>
      <c r="V7" s="14" t="s">
        <v>22</v>
      </c>
      <c r="W7" s="15">
        <v>350</v>
      </c>
      <c r="X7" s="14" t="s">
        <v>655</v>
      </c>
      <c r="Y7" s="14" t="s">
        <v>676</v>
      </c>
    </row>
    <row r="8" spans="1:25" ht="45">
      <c r="A8" s="396" t="s">
        <v>369</v>
      </c>
      <c r="B8" s="397">
        <v>6.2</v>
      </c>
      <c r="C8" s="398">
        <v>90</v>
      </c>
      <c r="D8" s="398">
        <f t="shared" ref="D8:D42" si="1">C8/2</f>
        <v>45</v>
      </c>
      <c r="E8" s="398">
        <f>C8/(C8-D8)</f>
        <v>2</v>
      </c>
      <c r="F8" s="398">
        <v>54</v>
      </c>
      <c r="G8" s="398">
        <v>84</v>
      </c>
      <c r="H8" s="398">
        <v>10</v>
      </c>
      <c r="I8" s="399">
        <f>(0.52*SQRT(H8)*(F8)^0.9*$B$11^0.8)/1000</f>
        <v>6.974712508553587</v>
      </c>
      <c r="J8" s="85">
        <f t="shared" ref="J8:J9" si="2">($J$10*0.52*SQRT(H8)*G8^0.9*$B$11^0.8)/1000</f>
        <v>6.2283718772573966</v>
      </c>
      <c r="K8" s="397">
        <v>30</v>
      </c>
      <c r="L8" s="401">
        <f>MIN(I8*E8,J8*E8)</f>
        <v>12.456743754514793</v>
      </c>
      <c r="M8" s="12"/>
      <c r="O8" s="396" t="s">
        <v>369</v>
      </c>
      <c r="P8" s="88">
        <f>$E8*MIN($B8/1,$I8*P$6/1.3,$J8*P$6/1.3,$K8/1.25)</f>
        <v>5.7492663482375965</v>
      </c>
      <c r="Q8" s="88">
        <f t="shared" si="0"/>
        <v>6.7074774062771958</v>
      </c>
      <c r="R8" s="88">
        <f t="shared" si="0"/>
        <v>7.665688464316796</v>
      </c>
      <c r="S8" s="88">
        <f t="shared" si="0"/>
        <v>8.6238995223563961</v>
      </c>
      <c r="T8" s="88">
        <f t="shared" si="0"/>
        <v>9.5821105803959945</v>
      </c>
      <c r="V8" s="14" t="s">
        <v>23</v>
      </c>
      <c r="W8" s="15">
        <v>380</v>
      </c>
      <c r="X8" s="14" t="s">
        <v>655</v>
      </c>
      <c r="Y8" s="14" t="s">
        <v>676</v>
      </c>
    </row>
    <row r="9" spans="1:25" ht="45">
      <c r="A9" s="396" t="s">
        <v>371</v>
      </c>
      <c r="B9" s="397">
        <v>6.2</v>
      </c>
      <c r="C9" s="398">
        <v>122</v>
      </c>
      <c r="D9" s="398">
        <f t="shared" si="1"/>
        <v>61</v>
      </c>
      <c r="E9" s="398">
        <f>C9/(C9-D9)</f>
        <v>2</v>
      </c>
      <c r="F9" s="398">
        <v>54</v>
      </c>
      <c r="G9" s="398">
        <v>84</v>
      </c>
      <c r="H9" s="398">
        <v>10</v>
      </c>
      <c r="I9" s="399">
        <f>(0.52*SQRT(H9)*(F9)^0.9*$B$11^0.8)/1000</f>
        <v>6.974712508553587</v>
      </c>
      <c r="J9" s="85">
        <f t="shared" si="2"/>
        <v>6.2283718772573966</v>
      </c>
      <c r="K9" s="397">
        <v>30</v>
      </c>
      <c r="L9" s="401">
        <f>MIN(I9*E9,J9*E9)</f>
        <v>12.456743754514793</v>
      </c>
      <c r="M9" s="12"/>
      <c r="O9" s="396" t="s">
        <v>371</v>
      </c>
      <c r="P9" s="88">
        <f t="shared" si="0"/>
        <v>5.7492663482375965</v>
      </c>
      <c r="Q9" s="88">
        <f t="shared" si="0"/>
        <v>6.7074774062771958</v>
      </c>
      <c r="R9" s="88">
        <f t="shared" si="0"/>
        <v>7.665688464316796</v>
      </c>
      <c r="S9" s="88">
        <f t="shared" si="0"/>
        <v>8.6238995223563961</v>
      </c>
      <c r="T9" s="88">
        <f t="shared" si="0"/>
        <v>9.5821105803959945</v>
      </c>
      <c r="V9" s="14" t="s">
        <v>24</v>
      </c>
      <c r="W9" s="15">
        <v>365</v>
      </c>
      <c r="X9" s="14" t="s">
        <v>651</v>
      </c>
      <c r="Y9" s="14" t="s">
        <v>681</v>
      </c>
    </row>
    <row r="10" spans="1:25">
      <c r="A10" s="21" t="s">
        <v>37</v>
      </c>
      <c r="B10" t="str">
        <f>B66</f>
        <v>GL24h</v>
      </c>
      <c r="D10" s="543"/>
      <c r="E10" s="543"/>
      <c r="F10" s="543"/>
      <c r="G10" s="543"/>
      <c r="H10" s="543"/>
      <c r="I10" s="544" t="s">
        <v>308</v>
      </c>
      <c r="J10" s="678">
        <v>0.6</v>
      </c>
      <c r="K10" s="542"/>
      <c r="L10" s="546"/>
      <c r="M10" s="115"/>
      <c r="N10" s="3"/>
      <c r="O10" s="418"/>
      <c r="P10" s="116"/>
      <c r="Q10" s="116"/>
      <c r="R10" s="116"/>
      <c r="S10" s="116"/>
      <c r="T10" s="116"/>
      <c r="V10" s="14" t="s">
        <v>25</v>
      </c>
      <c r="W10" s="15">
        <v>385</v>
      </c>
      <c r="X10" s="14" t="s">
        <v>652</v>
      </c>
      <c r="Y10" s="14" t="s">
        <v>682</v>
      </c>
    </row>
    <row r="11" spans="1:25" ht="18">
      <c r="A11" s="23" t="s">
        <v>39</v>
      </c>
      <c r="B11" s="24">
        <f>VLOOKUP(B10,$V$7:$W$16,2,FALSE)</f>
        <v>385</v>
      </c>
      <c r="C11" t="s">
        <v>40</v>
      </c>
      <c r="D11" s="543"/>
      <c r="E11" s="543"/>
      <c r="F11" s="543"/>
      <c r="G11" s="543"/>
      <c r="H11" s="543"/>
      <c r="I11" s="544"/>
      <c r="J11" s="545"/>
      <c r="K11" s="542"/>
      <c r="L11" s="546"/>
      <c r="M11" s="115"/>
      <c r="N11" s="3"/>
      <c r="O11" s="418"/>
      <c r="P11" s="116"/>
      <c r="Q11" s="116"/>
      <c r="R11" s="116"/>
      <c r="S11" s="116"/>
      <c r="T11" s="116"/>
      <c r="V11" s="14" t="s">
        <v>653</v>
      </c>
      <c r="W11" s="15">
        <v>390</v>
      </c>
      <c r="X11" s="14" t="s">
        <v>651</v>
      </c>
      <c r="Y11" s="14" t="s">
        <v>681</v>
      </c>
    </row>
    <row r="12" spans="1:25">
      <c r="A12" s="23"/>
      <c r="B12" s="24"/>
      <c r="D12" s="543"/>
      <c r="E12" s="543"/>
      <c r="F12" s="543"/>
      <c r="G12" s="543"/>
      <c r="H12" s="543"/>
      <c r="I12" s="544"/>
      <c r="J12" s="545"/>
      <c r="K12" s="542"/>
      <c r="L12" s="546"/>
      <c r="M12" s="115"/>
      <c r="N12" s="3"/>
      <c r="O12" s="418"/>
      <c r="P12" s="116"/>
      <c r="Q12" s="116"/>
      <c r="R12" s="116"/>
      <c r="S12" s="116"/>
      <c r="T12" s="116"/>
      <c r="V12" s="14" t="s">
        <v>26</v>
      </c>
      <c r="W12" s="15">
        <v>425</v>
      </c>
      <c r="X12" s="14" t="s">
        <v>652</v>
      </c>
      <c r="Y12" s="14" t="s">
        <v>682</v>
      </c>
    </row>
    <row r="13" spans="1:25" ht="18.75">
      <c r="A13" s="56" t="s">
        <v>79</v>
      </c>
      <c r="B13" s="542"/>
      <c r="C13" s="543"/>
      <c r="D13" s="543"/>
      <c r="E13" s="543"/>
      <c r="F13" s="543"/>
      <c r="G13" s="543"/>
      <c r="H13" s="543"/>
      <c r="I13" s="544"/>
      <c r="J13" s="545"/>
      <c r="K13" s="542"/>
      <c r="L13" s="546"/>
      <c r="M13" s="115"/>
      <c r="N13" s="3"/>
      <c r="O13" s="418"/>
      <c r="P13" s="116"/>
      <c r="Q13" s="116"/>
      <c r="R13" s="116"/>
      <c r="S13" s="116"/>
      <c r="T13" s="116"/>
      <c r="V13" s="14" t="s">
        <v>654</v>
      </c>
      <c r="W13" s="15">
        <v>390</v>
      </c>
      <c r="X13" s="14" t="s">
        <v>651</v>
      </c>
      <c r="Y13" s="14" t="s">
        <v>681</v>
      </c>
    </row>
    <row r="14" spans="1:25">
      <c r="A14" s="418"/>
      <c r="B14" s="542"/>
      <c r="C14" s="543"/>
      <c r="D14" s="543"/>
      <c r="E14" s="543"/>
      <c r="F14" s="543"/>
      <c r="G14" s="543"/>
      <c r="H14" s="543"/>
      <c r="I14" s="544"/>
      <c r="J14" s="545"/>
      <c r="K14" s="542"/>
      <c r="L14" s="546"/>
      <c r="M14" s="115"/>
      <c r="N14" s="3"/>
      <c r="O14" s="418"/>
      <c r="P14" s="116"/>
      <c r="Q14" s="116"/>
      <c r="R14" s="116"/>
      <c r="S14" s="116"/>
      <c r="T14" s="116"/>
      <c r="V14" s="14" t="s">
        <v>298</v>
      </c>
      <c r="W14" s="15">
        <v>430</v>
      </c>
      <c r="X14" s="14" t="s">
        <v>652</v>
      </c>
      <c r="Y14" s="14" t="s">
        <v>682</v>
      </c>
    </row>
    <row r="15" spans="1:25" ht="18">
      <c r="A15" s="4" t="s">
        <v>2</v>
      </c>
      <c r="B15" s="5" t="s">
        <v>3</v>
      </c>
      <c r="C15" s="5" t="s">
        <v>4</v>
      </c>
      <c r="D15" s="5" t="s">
        <v>5</v>
      </c>
      <c r="E15" s="5" t="s">
        <v>6</v>
      </c>
      <c r="F15" s="5" t="s">
        <v>7</v>
      </c>
      <c r="G15" s="5" t="s">
        <v>8</v>
      </c>
      <c r="H15" s="5" t="s">
        <v>9</v>
      </c>
      <c r="I15" s="5" t="s">
        <v>10</v>
      </c>
      <c r="J15" s="5" t="s">
        <v>11</v>
      </c>
      <c r="K15" s="5" t="s">
        <v>12</v>
      </c>
      <c r="L15" s="6" t="s">
        <v>13</v>
      </c>
      <c r="M15" s="12"/>
      <c r="O15" s="4" t="s">
        <v>2</v>
      </c>
      <c r="P15" s="710" t="s">
        <v>14</v>
      </c>
      <c r="Q15" s="711"/>
      <c r="R15" s="711"/>
      <c r="S15" s="711"/>
      <c r="T15" s="712"/>
      <c r="V15" s="14" t="s">
        <v>300</v>
      </c>
      <c r="W15" s="15">
        <v>400</v>
      </c>
      <c r="X15" s="14" t="s">
        <v>651</v>
      </c>
      <c r="Y15" s="14" t="s">
        <v>681</v>
      </c>
    </row>
    <row r="16" spans="1:25">
      <c r="A16" s="8"/>
      <c r="B16" s="9" t="s">
        <v>17</v>
      </c>
      <c r="C16" s="9" t="s">
        <v>18</v>
      </c>
      <c r="D16" s="9" t="s">
        <v>18</v>
      </c>
      <c r="E16" s="9" t="s">
        <v>19</v>
      </c>
      <c r="F16" s="9" t="s">
        <v>18</v>
      </c>
      <c r="G16" s="9" t="s">
        <v>18</v>
      </c>
      <c r="H16" s="9" t="s">
        <v>18</v>
      </c>
      <c r="I16" s="9" t="s">
        <v>17</v>
      </c>
      <c r="J16" s="9" t="s">
        <v>17</v>
      </c>
      <c r="K16" s="9" t="s">
        <v>17</v>
      </c>
      <c r="L16" s="10" t="s">
        <v>17</v>
      </c>
      <c r="M16" s="12"/>
      <c r="O16" s="8"/>
      <c r="P16" s="11">
        <v>0.6</v>
      </c>
      <c r="Q16" s="11">
        <v>0.7</v>
      </c>
      <c r="R16" s="11">
        <v>0.8</v>
      </c>
      <c r="S16" s="11">
        <v>0.9</v>
      </c>
      <c r="T16" s="11">
        <v>1</v>
      </c>
      <c r="V16" s="14" t="s">
        <v>302</v>
      </c>
      <c r="W16" s="15">
        <v>440</v>
      </c>
      <c r="X16" s="14" t="s">
        <v>652</v>
      </c>
      <c r="Y16" s="14" t="s">
        <v>682</v>
      </c>
    </row>
    <row r="17" spans="1:25" ht="45">
      <c r="A17" s="411" t="s">
        <v>356</v>
      </c>
      <c r="B17" s="412">
        <v>5.9</v>
      </c>
      <c r="C17" s="413">
        <v>34</v>
      </c>
      <c r="D17" s="413">
        <f t="shared" si="1"/>
        <v>17</v>
      </c>
      <c r="E17" s="413">
        <v>2</v>
      </c>
      <c r="F17" s="413">
        <v>35</v>
      </c>
      <c r="G17" s="413">
        <v>65</v>
      </c>
      <c r="H17" s="413">
        <v>8</v>
      </c>
      <c r="I17" s="414">
        <f>(0.52*SQRT(H17)*(F17)^0.9*$B$31^0.8)/1000</f>
        <v>4.2225826668958426</v>
      </c>
      <c r="J17" s="415">
        <f>(0.3*0.52*SQRT(H17)*G17^0.9*$B$31^0.8)/1000</f>
        <v>2.2113638026311735</v>
      </c>
      <c r="K17" s="412">
        <v>20</v>
      </c>
      <c r="L17" s="416">
        <f t="shared" ref="L17:L42" si="3">E17*MIN(B17,I17,J17,K17)</f>
        <v>4.422727605262347</v>
      </c>
      <c r="M17" s="12"/>
      <c r="O17" s="411" t="s">
        <v>356</v>
      </c>
      <c r="P17" s="417">
        <f t="shared" si="0"/>
        <v>2.0412588947364676</v>
      </c>
      <c r="Q17" s="417">
        <f t="shared" si="0"/>
        <v>2.3814687105258789</v>
      </c>
      <c r="R17" s="417">
        <f t="shared" si="0"/>
        <v>2.7216785263152903</v>
      </c>
      <c r="S17" s="417">
        <f t="shared" si="0"/>
        <v>3.0618883421047021</v>
      </c>
      <c r="T17" s="417">
        <f t="shared" si="0"/>
        <v>3.402098157894113</v>
      </c>
      <c r="V17" s="14" t="s">
        <v>663</v>
      </c>
      <c r="W17" s="15">
        <v>530</v>
      </c>
      <c r="X17" s="14" t="s">
        <v>664</v>
      </c>
      <c r="Y17" s="14" t="s">
        <v>685</v>
      </c>
    </row>
    <row r="18" spans="1:25" ht="45">
      <c r="A18" s="396" t="s">
        <v>360</v>
      </c>
      <c r="B18" s="397">
        <v>5.9</v>
      </c>
      <c r="C18" s="398">
        <v>54</v>
      </c>
      <c r="D18" s="398">
        <f t="shared" si="1"/>
        <v>27</v>
      </c>
      <c r="E18" s="398">
        <v>2</v>
      </c>
      <c r="F18" s="398">
        <f>$F$17</f>
        <v>35</v>
      </c>
      <c r="G18" s="398">
        <f>$G$17</f>
        <v>65</v>
      </c>
      <c r="H18" s="398">
        <v>8</v>
      </c>
      <c r="I18" s="414">
        <f t="shared" ref="I18:I29" si="4">(0.52*SQRT(H18)*(F18)^0.9*$B$31^0.8)/1000</f>
        <v>4.2225826668958426</v>
      </c>
      <c r="J18" s="415">
        <f t="shared" ref="J18:J29" si="5">(0.3*0.52*SQRT(H18)*G18^0.9*$B$31^0.8)/1000</f>
        <v>2.2113638026311735</v>
      </c>
      <c r="K18" s="397">
        <v>20</v>
      </c>
      <c r="L18" s="402">
        <f t="shared" si="3"/>
        <v>4.422727605262347</v>
      </c>
      <c r="M18" s="12"/>
      <c r="N18" s="19"/>
      <c r="O18" s="396" t="s">
        <v>360</v>
      </c>
      <c r="P18" s="403">
        <f t="shared" si="0"/>
        <v>2.0412588947364676</v>
      </c>
      <c r="Q18" s="403">
        <f t="shared" si="0"/>
        <v>2.3814687105258789</v>
      </c>
      <c r="R18" s="403">
        <f t="shared" si="0"/>
        <v>2.7216785263152903</v>
      </c>
      <c r="S18" s="403">
        <f t="shared" si="0"/>
        <v>3.0618883421047021</v>
      </c>
      <c r="T18" s="403">
        <f t="shared" si="0"/>
        <v>3.402098157894113</v>
      </c>
      <c r="V18" s="14" t="s">
        <v>665</v>
      </c>
      <c r="W18" s="15">
        <v>590</v>
      </c>
      <c r="X18" s="14" t="s">
        <v>687</v>
      </c>
      <c r="Y18" s="14" t="s">
        <v>686</v>
      </c>
    </row>
    <row r="19" spans="1:25" ht="45">
      <c r="A19" s="396" t="s">
        <v>357</v>
      </c>
      <c r="B19" s="397">
        <v>5.9</v>
      </c>
      <c r="C19" s="398">
        <v>74</v>
      </c>
      <c r="D19" s="398">
        <f t="shared" si="1"/>
        <v>37</v>
      </c>
      <c r="E19" s="398">
        <v>2</v>
      </c>
      <c r="F19" s="398">
        <f>$F$17</f>
        <v>35</v>
      </c>
      <c r="G19" s="398">
        <f>$G$17</f>
        <v>65</v>
      </c>
      <c r="H19" s="398">
        <v>8</v>
      </c>
      <c r="I19" s="414">
        <f t="shared" si="4"/>
        <v>4.2225826668958426</v>
      </c>
      <c r="J19" s="415">
        <f t="shared" si="5"/>
        <v>2.2113638026311735</v>
      </c>
      <c r="K19" s="397">
        <v>20</v>
      </c>
      <c r="L19" s="402">
        <f t="shared" si="3"/>
        <v>4.422727605262347</v>
      </c>
      <c r="M19" s="12"/>
      <c r="O19" s="396" t="s">
        <v>357</v>
      </c>
      <c r="P19" s="403">
        <f t="shared" si="0"/>
        <v>2.0412588947364676</v>
      </c>
      <c r="Q19" s="403">
        <f t="shared" si="0"/>
        <v>2.3814687105258789</v>
      </c>
      <c r="R19" s="403">
        <f t="shared" si="0"/>
        <v>2.7216785263152903</v>
      </c>
      <c r="S19" s="403">
        <f t="shared" si="0"/>
        <v>3.0618883421047021</v>
      </c>
      <c r="T19" s="403">
        <f t="shared" si="0"/>
        <v>3.402098157894113</v>
      </c>
    </row>
    <row r="20" spans="1:25" ht="45">
      <c r="A20" s="396" t="s">
        <v>359</v>
      </c>
      <c r="B20" s="397">
        <v>5.9</v>
      </c>
      <c r="C20" s="398">
        <v>94</v>
      </c>
      <c r="D20" s="398">
        <f t="shared" si="1"/>
        <v>47</v>
      </c>
      <c r="E20" s="398">
        <v>2</v>
      </c>
      <c r="F20" s="398">
        <f>$F$17</f>
        <v>35</v>
      </c>
      <c r="G20" s="398">
        <f>$G$17</f>
        <v>65</v>
      </c>
      <c r="H20" s="398">
        <v>8</v>
      </c>
      <c r="I20" s="414">
        <f t="shared" si="4"/>
        <v>4.2225826668958426</v>
      </c>
      <c r="J20" s="415">
        <f t="shared" si="5"/>
        <v>2.2113638026311735</v>
      </c>
      <c r="K20" s="397">
        <v>20</v>
      </c>
      <c r="L20" s="402">
        <f t="shared" si="3"/>
        <v>4.422727605262347</v>
      </c>
      <c r="M20" s="12"/>
      <c r="O20" s="396" t="s">
        <v>359</v>
      </c>
      <c r="P20" s="403">
        <f t="shared" si="0"/>
        <v>2.0412588947364676</v>
      </c>
      <c r="Q20" s="403">
        <f t="shared" si="0"/>
        <v>2.3814687105258789</v>
      </c>
      <c r="R20" s="403">
        <f t="shared" si="0"/>
        <v>2.7216785263152903</v>
      </c>
      <c r="S20" s="403">
        <f t="shared" si="0"/>
        <v>3.0618883421047021</v>
      </c>
      <c r="T20" s="403">
        <f t="shared" si="0"/>
        <v>3.402098157894113</v>
      </c>
      <c r="V20" s="14" t="s">
        <v>658</v>
      </c>
      <c r="W20" s="14" t="s">
        <v>662</v>
      </c>
      <c r="X20" s="14" t="s">
        <v>675</v>
      </c>
    </row>
    <row r="21" spans="1:25" ht="45">
      <c r="A21" s="396" t="s">
        <v>358</v>
      </c>
      <c r="B21" s="397">
        <v>5.9</v>
      </c>
      <c r="C21" s="398">
        <v>114</v>
      </c>
      <c r="D21" s="398">
        <f t="shared" si="1"/>
        <v>57</v>
      </c>
      <c r="E21" s="398">
        <v>2</v>
      </c>
      <c r="F21" s="398">
        <f>$F$17</f>
        <v>35</v>
      </c>
      <c r="G21" s="398">
        <f>$G$17</f>
        <v>65</v>
      </c>
      <c r="H21" s="398">
        <v>8</v>
      </c>
      <c r="I21" s="414">
        <f t="shared" si="4"/>
        <v>4.2225826668958426</v>
      </c>
      <c r="J21" s="415">
        <f t="shared" si="5"/>
        <v>2.2113638026311735</v>
      </c>
      <c r="K21" s="397">
        <v>20</v>
      </c>
      <c r="L21" s="402">
        <f t="shared" si="3"/>
        <v>4.422727605262347</v>
      </c>
      <c r="M21" s="12"/>
      <c r="O21" s="396" t="s">
        <v>358</v>
      </c>
      <c r="P21" s="403">
        <f t="shared" si="0"/>
        <v>2.0412588947364676</v>
      </c>
      <c r="Q21" s="403">
        <f t="shared" si="0"/>
        <v>2.3814687105258789</v>
      </c>
      <c r="R21" s="403">
        <f t="shared" si="0"/>
        <v>2.7216785263152903</v>
      </c>
      <c r="S21" s="403">
        <f t="shared" si="0"/>
        <v>3.0618883421047021</v>
      </c>
      <c r="T21" s="403">
        <f t="shared" si="0"/>
        <v>3.402098157894113</v>
      </c>
      <c r="V21" s="14">
        <v>1</v>
      </c>
      <c r="W21" s="14" t="s">
        <v>659</v>
      </c>
      <c r="X21" s="14" t="s">
        <v>668</v>
      </c>
    </row>
    <row r="22" spans="1:25" ht="45">
      <c r="A22" s="396" t="s">
        <v>361</v>
      </c>
      <c r="B22" s="397">
        <v>5.9</v>
      </c>
      <c r="C22" s="398">
        <v>134</v>
      </c>
      <c r="D22" s="398">
        <f t="shared" si="1"/>
        <v>67</v>
      </c>
      <c r="E22" s="398">
        <v>2</v>
      </c>
      <c r="F22" s="398">
        <f>$F$17</f>
        <v>35</v>
      </c>
      <c r="G22" s="398">
        <f>$G$17</f>
        <v>65</v>
      </c>
      <c r="H22" s="398">
        <v>8</v>
      </c>
      <c r="I22" s="414">
        <f t="shared" si="4"/>
        <v>4.2225826668958426</v>
      </c>
      <c r="J22" s="415">
        <f t="shared" si="5"/>
        <v>2.2113638026311735</v>
      </c>
      <c r="K22" s="397">
        <v>20</v>
      </c>
      <c r="L22" s="402">
        <f t="shared" si="3"/>
        <v>4.422727605262347</v>
      </c>
      <c r="M22" s="12"/>
      <c r="O22" s="396" t="s">
        <v>361</v>
      </c>
      <c r="P22" s="403">
        <f t="shared" si="0"/>
        <v>2.0412588947364676</v>
      </c>
      <c r="Q22" s="403">
        <f t="shared" si="0"/>
        <v>2.3814687105258789</v>
      </c>
      <c r="R22" s="403">
        <f t="shared" si="0"/>
        <v>2.7216785263152903</v>
      </c>
      <c r="S22" s="403">
        <f t="shared" si="0"/>
        <v>3.0618883421047021</v>
      </c>
      <c r="T22" s="403">
        <f t="shared" si="0"/>
        <v>3.402098157894113</v>
      </c>
      <c r="V22" s="14">
        <v>2</v>
      </c>
      <c r="W22" s="14" t="s">
        <v>660</v>
      </c>
      <c r="X22" s="14" t="s">
        <v>669</v>
      </c>
    </row>
    <row r="23" spans="1:25" ht="45">
      <c r="A23" s="408" t="s">
        <v>362</v>
      </c>
      <c r="B23" s="397">
        <v>5.9</v>
      </c>
      <c r="C23" s="398">
        <v>114</v>
      </c>
      <c r="D23" s="398">
        <f>C23/2</f>
        <v>57</v>
      </c>
      <c r="E23" s="398">
        <v>2</v>
      </c>
      <c r="F23" s="409">
        <v>35</v>
      </c>
      <c r="G23" s="409">
        <f>160-15</f>
        <v>145</v>
      </c>
      <c r="H23" s="398">
        <v>8</v>
      </c>
      <c r="I23" s="414">
        <f t="shared" si="4"/>
        <v>4.2225826668958426</v>
      </c>
      <c r="J23" s="415">
        <f t="shared" si="5"/>
        <v>4.5527036065307724</v>
      </c>
      <c r="K23" s="397">
        <v>20</v>
      </c>
      <c r="L23" s="402">
        <f>E23*MIN(B23,I23,J23,K23)</f>
        <v>8.4451653337916852</v>
      </c>
      <c r="M23" s="12"/>
      <c r="O23" s="408" t="s">
        <v>362</v>
      </c>
      <c r="P23" s="403">
        <f t="shared" si="0"/>
        <v>3.8977686155961617</v>
      </c>
      <c r="Q23" s="403">
        <f t="shared" si="0"/>
        <v>4.5473967181955226</v>
      </c>
      <c r="R23" s="403">
        <f t="shared" si="0"/>
        <v>5.1970248207948835</v>
      </c>
      <c r="S23" s="403">
        <f t="shared" si="0"/>
        <v>5.8466529233942435</v>
      </c>
      <c r="T23" s="403">
        <f t="shared" si="0"/>
        <v>6.4962810259936035</v>
      </c>
      <c r="V23" s="14">
        <v>3</v>
      </c>
      <c r="W23" s="14" t="s">
        <v>661</v>
      </c>
      <c r="X23" s="14" t="s">
        <v>670</v>
      </c>
    </row>
    <row r="24" spans="1:25" ht="45">
      <c r="A24" s="408" t="s">
        <v>363</v>
      </c>
      <c r="B24" s="397">
        <v>5.9</v>
      </c>
      <c r="C24" s="398">
        <v>134</v>
      </c>
      <c r="D24" s="398">
        <f>C24/2</f>
        <v>67</v>
      </c>
      <c r="E24" s="398">
        <v>2</v>
      </c>
      <c r="F24" s="409">
        <v>35</v>
      </c>
      <c r="G24" s="409">
        <f>160-15</f>
        <v>145</v>
      </c>
      <c r="H24" s="398">
        <v>8</v>
      </c>
      <c r="I24" s="414">
        <f t="shared" si="4"/>
        <v>4.2225826668958426</v>
      </c>
      <c r="J24" s="415">
        <f t="shared" si="5"/>
        <v>4.5527036065307724</v>
      </c>
      <c r="K24" s="397">
        <v>20</v>
      </c>
      <c r="L24" s="402">
        <f>E24*MIN(B24,I24,J24,K24)</f>
        <v>8.4451653337916852</v>
      </c>
      <c r="M24" s="12"/>
      <c r="O24" s="408" t="s">
        <v>363</v>
      </c>
      <c r="P24" s="403">
        <f t="shared" si="0"/>
        <v>3.8977686155961617</v>
      </c>
      <c r="Q24" s="403">
        <f t="shared" si="0"/>
        <v>4.5473967181955226</v>
      </c>
      <c r="R24" s="403">
        <f t="shared" si="0"/>
        <v>5.1970248207948835</v>
      </c>
      <c r="S24" s="403">
        <f t="shared" si="0"/>
        <v>5.8466529233942435</v>
      </c>
      <c r="T24" s="403">
        <f t="shared" si="0"/>
        <v>6.4962810259936035</v>
      </c>
    </row>
    <row r="25" spans="1:25" ht="46.5" customHeight="1">
      <c r="A25" s="396" t="s">
        <v>364</v>
      </c>
      <c r="B25" s="397">
        <v>5.9</v>
      </c>
      <c r="C25" s="398">
        <v>134</v>
      </c>
      <c r="D25" s="398">
        <f t="shared" si="1"/>
        <v>67</v>
      </c>
      <c r="E25" s="398">
        <f>C25/(C25-D25)</f>
        <v>2</v>
      </c>
      <c r="F25" s="398">
        <v>35</v>
      </c>
      <c r="G25" s="398">
        <v>65</v>
      </c>
      <c r="H25" s="398">
        <v>8</v>
      </c>
      <c r="I25" s="414">
        <f t="shared" si="4"/>
        <v>4.2225826668958426</v>
      </c>
      <c r="J25" s="415">
        <f t="shared" si="5"/>
        <v>2.2113638026311735</v>
      </c>
      <c r="K25" s="397">
        <v>20</v>
      </c>
      <c r="L25" s="402">
        <f t="shared" si="3"/>
        <v>4.422727605262347</v>
      </c>
      <c r="M25" s="12"/>
      <c r="O25" s="396" t="s">
        <v>364</v>
      </c>
      <c r="P25" s="403">
        <f t="shared" si="0"/>
        <v>2.0412588947364676</v>
      </c>
      <c r="Q25" s="403">
        <f t="shared" si="0"/>
        <v>2.3814687105258789</v>
      </c>
      <c r="R25" s="403">
        <f t="shared" si="0"/>
        <v>2.7216785263152903</v>
      </c>
      <c r="S25" s="403">
        <f t="shared" si="0"/>
        <v>3.0618883421047021</v>
      </c>
      <c r="T25" s="403">
        <f t="shared" si="0"/>
        <v>3.402098157894113</v>
      </c>
    </row>
    <row r="26" spans="1:25" ht="46.5" customHeight="1">
      <c r="A26" s="396" t="s">
        <v>365</v>
      </c>
      <c r="B26" s="397">
        <v>5.9</v>
      </c>
      <c r="C26" s="398">
        <v>174</v>
      </c>
      <c r="D26" s="398">
        <f t="shared" si="1"/>
        <v>87</v>
      </c>
      <c r="E26" s="398">
        <f>C26/(C26-D26)</f>
        <v>2</v>
      </c>
      <c r="F26" s="398">
        <v>35</v>
      </c>
      <c r="G26" s="398">
        <v>65</v>
      </c>
      <c r="H26" s="398">
        <v>8</v>
      </c>
      <c r="I26" s="414">
        <f t="shared" si="4"/>
        <v>4.2225826668958426</v>
      </c>
      <c r="J26" s="415">
        <f t="shared" si="5"/>
        <v>2.2113638026311735</v>
      </c>
      <c r="K26" s="397">
        <v>20</v>
      </c>
      <c r="L26" s="402">
        <f t="shared" si="3"/>
        <v>4.422727605262347</v>
      </c>
      <c r="M26" s="12"/>
      <c r="O26" s="396" t="s">
        <v>365</v>
      </c>
      <c r="P26" s="403">
        <f t="shared" si="0"/>
        <v>2.0412588947364676</v>
      </c>
      <c r="Q26" s="403">
        <f t="shared" si="0"/>
        <v>2.3814687105258789</v>
      </c>
      <c r="R26" s="403">
        <f t="shared" si="0"/>
        <v>2.7216785263152903</v>
      </c>
      <c r="S26" s="403">
        <f t="shared" si="0"/>
        <v>3.0618883421047021</v>
      </c>
      <c r="T26" s="403">
        <f t="shared" si="0"/>
        <v>3.402098157894113</v>
      </c>
    </row>
    <row r="27" spans="1:25" ht="46.5" customHeight="1">
      <c r="A27" s="396" t="s">
        <v>366</v>
      </c>
      <c r="B27" s="397">
        <v>5.9</v>
      </c>
      <c r="C27" s="398">
        <v>214</v>
      </c>
      <c r="D27" s="398">
        <f t="shared" si="1"/>
        <v>107</v>
      </c>
      <c r="E27" s="398">
        <f>C27/(C27-D27)</f>
        <v>2</v>
      </c>
      <c r="F27" s="398">
        <v>35</v>
      </c>
      <c r="G27" s="398">
        <v>65</v>
      </c>
      <c r="H27" s="398">
        <v>8</v>
      </c>
      <c r="I27" s="414">
        <f t="shared" si="4"/>
        <v>4.2225826668958426</v>
      </c>
      <c r="J27" s="415">
        <f t="shared" si="5"/>
        <v>2.2113638026311735</v>
      </c>
      <c r="K27" s="397">
        <v>20</v>
      </c>
      <c r="L27" s="402">
        <f t="shared" si="3"/>
        <v>4.422727605262347</v>
      </c>
      <c r="M27" s="12"/>
      <c r="O27" s="396" t="s">
        <v>366</v>
      </c>
      <c r="P27" s="403">
        <f t="shared" si="0"/>
        <v>2.0412588947364676</v>
      </c>
      <c r="Q27" s="403">
        <f t="shared" si="0"/>
        <v>2.3814687105258789</v>
      </c>
      <c r="R27" s="403">
        <f t="shared" si="0"/>
        <v>2.7216785263152903</v>
      </c>
      <c r="S27" s="403">
        <f t="shared" si="0"/>
        <v>3.0618883421047021</v>
      </c>
      <c r="T27" s="403">
        <f t="shared" si="0"/>
        <v>3.402098157894113</v>
      </c>
    </row>
    <row r="28" spans="1:25" ht="46.5" customHeight="1">
      <c r="A28" s="396" t="s">
        <v>367</v>
      </c>
      <c r="B28" s="397">
        <v>5.9</v>
      </c>
      <c r="C28" s="398">
        <v>254</v>
      </c>
      <c r="D28" s="398">
        <f t="shared" si="1"/>
        <v>127</v>
      </c>
      <c r="E28" s="398">
        <f>C28/(C28-D28)</f>
        <v>2</v>
      </c>
      <c r="F28" s="398">
        <v>35</v>
      </c>
      <c r="G28" s="398">
        <v>65</v>
      </c>
      <c r="H28" s="398">
        <v>8</v>
      </c>
      <c r="I28" s="414">
        <f t="shared" si="4"/>
        <v>4.2225826668958426</v>
      </c>
      <c r="J28" s="415">
        <f t="shared" si="5"/>
        <v>2.2113638026311735</v>
      </c>
      <c r="K28" s="397">
        <v>20</v>
      </c>
      <c r="L28" s="402">
        <f t="shared" si="3"/>
        <v>4.422727605262347</v>
      </c>
      <c r="M28" s="12"/>
      <c r="O28" s="396" t="s">
        <v>367</v>
      </c>
      <c r="P28" s="403">
        <f t="shared" si="0"/>
        <v>2.0412588947364676</v>
      </c>
      <c r="Q28" s="403">
        <f t="shared" si="0"/>
        <v>2.3814687105258789</v>
      </c>
      <c r="R28" s="403">
        <f t="shared" si="0"/>
        <v>2.7216785263152903</v>
      </c>
      <c r="S28" s="403">
        <f t="shared" si="0"/>
        <v>3.0618883421047021</v>
      </c>
      <c r="T28" s="403">
        <f t="shared" si="0"/>
        <v>3.402098157894113</v>
      </c>
    </row>
    <row r="29" spans="1:25" ht="46.5" customHeight="1">
      <c r="A29" s="396" t="s">
        <v>368</v>
      </c>
      <c r="B29" s="397">
        <v>5.9</v>
      </c>
      <c r="C29" s="398">
        <v>294</v>
      </c>
      <c r="D29" s="398">
        <f t="shared" si="1"/>
        <v>147</v>
      </c>
      <c r="E29" s="398">
        <f>C29/(C29-D29)</f>
        <v>2</v>
      </c>
      <c r="F29" s="398">
        <v>35</v>
      </c>
      <c r="G29" s="398">
        <v>65</v>
      </c>
      <c r="H29" s="398">
        <v>8</v>
      </c>
      <c r="I29" s="414">
        <f t="shared" si="4"/>
        <v>4.2225826668958426</v>
      </c>
      <c r="J29" s="415">
        <f t="shared" si="5"/>
        <v>2.2113638026311735</v>
      </c>
      <c r="K29" s="397">
        <v>20</v>
      </c>
      <c r="L29" s="402">
        <f t="shared" si="3"/>
        <v>4.422727605262347</v>
      </c>
      <c r="M29" s="12"/>
      <c r="O29" s="396" t="s">
        <v>368</v>
      </c>
      <c r="P29" s="403">
        <f t="shared" si="0"/>
        <v>2.0412588947364676</v>
      </c>
      <c r="Q29" s="403">
        <f t="shared" si="0"/>
        <v>2.3814687105258789</v>
      </c>
      <c r="R29" s="403">
        <f t="shared" si="0"/>
        <v>2.7216785263152903</v>
      </c>
      <c r="S29" s="403">
        <f t="shared" si="0"/>
        <v>3.0618883421047021</v>
      </c>
      <c r="T29" s="403">
        <f t="shared" si="0"/>
        <v>3.402098157894113</v>
      </c>
    </row>
    <row r="30" spans="1:25">
      <c r="A30" s="21" t="s">
        <v>37</v>
      </c>
      <c r="B30" t="str">
        <f>B115</f>
        <v>GL24h</v>
      </c>
      <c r="D30" s="543"/>
      <c r="E30" s="543"/>
      <c r="F30" s="543"/>
      <c r="G30" s="543"/>
      <c r="H30" s="543"/>
      <c r="I30" s="544"/>
      <c r="J30" s="536"/>
      <c r="K30" s="542"/>
      <c r="L30" s="547"/>
      <c r="M30" s="115"/>
      <c r="N30" s="3"/>
      <c r="O30" s="418"/>
      <c r="P30" s="419"/>
      <c r="Q30" s="419"/>
      <c r="R30" s="419"/>
      <c r="S30" s="419"/>
      <c r="T30" s="419"/>
    </row>
    <row r="31" spans="1:25" ht="18">
      <c r="A31" s="23" t="s">
        <v>39</v>
      </c>
      <c r="B31" s="24">
        <f>VLOOKUP(B30,$V$7:$W$16,2,FALSE)</f>
        <v>385</v>
      </c>
      <c r="C31" t="s">
        <v>40</v>
      </c>
      <c r="D31" s="543"/>
      <c r="E31" s="543"/>
      <c r="F31" s="543"/>
      <c r="G31" s="543"/>
      <c r="H31" s="543"/>
      <c r="I31" s="544"/>
      <c r="J31" s="536"/>
      <c r="K31" s="542"/>
      <c r="L31" s="547"/>
      <c r="M31" s="115"/>
      <c r="N31" s="3"/>
      <c r="O31" s="418"/>
      <c r="P31" s="419"/>
      <c r="Q31" s="419"/>
      <c r="R31" s="419"/>
      <c r="S31" s="419"/>
      <c r="T31" s="419"/>
    </row>
    <row r="32" spans="1:25">
      <c r="A32" s="418"/>
      <c r="B32" s="542"/>
      <c r="C32" s="543"/>
      <c r="D32" s="543"/>
      <c r="E32" s="543"/>
      <c r="F32" s="543"/>
      <c r="G32" s="543"/>
      <c r="H32" s="543"/>
      <c r="I32" s="544"/>
      <c r="J32" s="536"/>
      <c r="K32" s="542"/>
      <c r="L32" s="547"/>
      <c r="M32" s="115"/>
      <c r="N32" s="3"/>
      <c r="O32" s="418"/>
      <c r="P32" s="419"/>
      <c r="Q32" s="419"/>
      <c r="R32" s="419"/>
      <c r="S32" s="419"/>
      <c r="T32" s="419"/>
    </row>
    <row r="33" spans="1:32" ht="18.75">
      <c r="A33" s="548" t="s">
        <v>656</v>
      </c>
      <c r="B33" s="542"/>
      <c r="C33" s="543"/>
      <c r="D33" s="543"/>
      <c r="E33" s="543"/>
      <c r="F33" s="543"/>
      <c r="G33" s="543"/>
      <c r="H33" s="543"/>
      <c r="I33" s="544"/>
      <c r="J33" s="536"/>
      <c r="K33" s="542"/>
      <c r="L33" s="547"/>
      <c r="M33" s="115"/>
      <c r="N33" s="3"/>
      <c r="O33" s="418"/>
      <c r="P33" s="419"/>
      <c r="Q33" s="419"/>
      <c r="R33" s="419"/>
      <c r="S33" s="419"/>
      <c r="T33" s="419"/>
    </row>
    <row r="34" spans="1:32">
      <c r="A34" s="418"/>
      <c r="B34" s="542"/>
      <c r="C34" s="543"/>
      <c r="D34" s="543"/>
      <c r="E34" s="543"/>
      <c r="F34" s="543"/>
      <c r="G34" s="543"/>
      <c r="H34" s="543"/>
      <c r="I34" s="544"/>
      <c r="J34" s="536"/>
      <c r="K34" s="542"/>
      <c r="L34" s="547"/>
      <c r="M34" s="115"/>
      <c r="N34" s="3"/>
      <c r="O34" s="418"/>
      <c r="P34" s="419"/>
      <c r="Q34" s="419"/>
      <c r="R34" s="419"/>
      <c r="S34" s="419"/>
      <c r="T34" s="419"/>
    </row>
    <row r="35" spans="1:32" ht="18">
      <c r="A35" s="4" t="s">
        <v>2</v>
      </c>
      <c r="B35" s="5" t="s">
        <v>3</v>
      </c>
      <c r="C35" s="5" t="s">
        <v>4</v>
      </c>
      <c r="D35" s="5" t="s">
        <v>5</v>
      </c>
      <c r="E35" s="5" t="s">
        <v>6</v>
      </c>
      <c r="F35" s="5" t="s">
        <v>7</v>
      </c>
      <c r="G35" s="5" t="s">
        <v>8</v>
      </c>
      <c r="H35" s="5" t="s">
        <v>9</v>
      </c>
      <c r="I35" s="5" t="s">
        <v>10</v>
      </c>
      <c r="J35" s="5" t="s">
        <v>11</v>
      </c>
      <c r="K35" s="5" t="s">
        <v>12</v>
      </c>
      <c r="L35" s="6" t="s">
        <v>13</v>
      </c>
      <c r="M35" s="115"/>
      <c r="O35" s="4" t="s">
        <v>2</v>
      </c>
      <c r="P35" s="710" t="s">
        <v>14</v>
      </c>
      <c r="Q35" s="711"/>
      <c r="R35" s="711"/>
      <c r="S35" s="711"/>
      <c r="T35" s="712"/>
    </row>
    <row r="36" spans="1:32">
      <c r="A36" s="8"/>
      <c r="B36" s="9" t="s">
        <v>17</v>
      </c>
      <c r="C36" s="9" t="s">
        <v>18</v>
      </c>
      <c r="D36" s="9" t="s">
        <v>18</v>
      </c>
      <c r="E36" s="9" t="s">
        <v>19</v>
      </c>
      <c r="F36" s="9" t="s">
        <v>18</v>
      </c>
      <c r="G36" s="9" t="s">
        <v>18</v>
      </c>
      <c r="H36" s="9" t="s">
        <v>18</v>
      </c>
      <c r="I36" s="9" t="s">
        <v>17</v>
      </c>
      <c r="J36" s="9" t="s">
        <v>17</v>
      </c>
      <c r="K36" s="9" t="s">
        <v>17</v>
      </c>
      <c r="L36" s="10" t="s">
        <v>17</v>
      </c>
      <c r="M36" s="115"/>
      <c r="O36" s="8"/>
      <c r="P36" s="11">
        <v>0.6</v>
      </c>
      <c r="Q36" s="11">
        <v>0.7</v>
      </c>
      <c r="R36" s="11">
        <v>0.8</v>
      </c>
      <c r="S36" s="11">
        <v>0.9</v>
      </c>
      <c r="T36" s="11">
        <v>1</v>
      </c>
    </row>
    <row r="37" spans="1:32" ht="30.75" customHeight="1">
      <c r="A37" s="424" t="s">
        <v>377</v>
      </c>
      <c r="B37" s="412">
        <v>9</v>
      </c>
      <c r="C37" s="413">
        <v>60</v>
      </c>
      <c r="D37" s="413">
        <f t="shared" si="1"/>
        <v>30</v>
      </c>
      <c r="E37" s="413">
        <f t="shared" ref="E37:E42" si="6">(2*C37)/(C37-D37)</f>
        <v>4</v>
      </c>
      <c r="F37" s="413">
        <f>80-10</f>
        <v>70</v>
      </c>
      <c r="G37" s="413">
        <f>160-10</f>
        <v>150</v>
      </c>
      <c r="H37" s="413">
        <v>8</v>
      </c>
      <c r="I37" s="414">
        <f t="shared" ref="I37:I42" si="7">(0.52*SQRT(H37)*(F37)^0.9*$B$44^0.8)/1000</f>
        <v>7.8796178754106014</v>
      </c>
      <c r="J37" s="415">
        <f t="shared" ref="J37:J42" si="8">($J$43*0.52*SQRT(H37)*G37^0.9*$B$44^0.8)/1000</f>
        <v>4.6937538287484974</v>
      </c>
      <c r="K37" s="412">
        <v>23</v>
      </c>
      <c r="L37" s="425">
        <f t="shared" si="3"/>
        <v>18.77501531499399</v>
      </c>
      <c r="M37" s="115"/>
      <c r="O37" s="424" t="s">
        <v>377</v>
      </c>
      <c r="P37" s="417">
        <f t="shared" si="0"/>
        <v>8.665391683843378</v>
      </c>
      <c r="Q37" s="417">
        <f t="shared" si="0"/>
        <v>10.10962363115061</v>
      </c>
      <c r="R37" s="417">
        <f t="shared" si="0"/>
        <v>11.55385557845784</v>
      </c>
      <c r="S37" s="417">
        <f t="shared" si="0"/>
        <v>12.998087525765071</v>
      </c>
      <c r="T37" s="417">
        <f t="shared" si="0"/>
        <v>14.442319473072299</v>
      </c>
    </row>
    <row r="38" spans="1:32" ht="30.75" customHeight="1">
      <c r="A38" s="342" t="s">
        <v>379</v>
      </c>
      <c r="B38" s="397">
        <v>9</v>
      </c>
      <c r="C38" s="398">
        <v>60</v>
      </c>
      <c r="D38" s="398">
        <f t="shared" si="1"/>
        <v>30</v>
      </c>
      <c r="E38" s="398">
        <f t="shared" si="6"/>
        <v>4</v>
      </c>
      <c r="F38" s="398">
        <f>80-10</f>
        <v>70</v>
      </c>
      <c r="G38" s="398">
        <f>240-10</f>
        <v>230</v>
      </c>
      <c r="H38" s="398">
        <v>8</v>
      </c>
      <c r="I38" s="399">
        <f t="shared" si="7"/>
        <v>7.8796178754106014</v>
      </c>
      <c r="J38" s="138">
        <f t="shared" si="8"/>
        <v>6.8959360897190116</v>
      </c>
      <c r="K38" s="397">
        <v>23</v>
      </c>
      <c r="L38" s="402">
        <f t="shared" si="3"/>
        <v>27.583744358876046</v>
      </c>
      <c r="M38" s="115"/>
      <c r="O38" s="342" t="s">
        <v>379</v>
      </c>
      <c r="P38" s="403">
        <f t="shared" ref="P38:T42" si="9">$E38*MIN($B38/1,$I38*P$6/1.3,$J38*P$6/1.3,$K38/1.25)</f>
        <v>12.730958934865866</v>
      </c>
      <c r="Q38" s="403">
        <f t="shared" si="9"/>
        <v>14.852785424010175</v>
      </c>
      <c r="R38" s="403">
        <f t="shared" si="9"/>
        <v>16.97461191315449</v>
      </c>
      <c r="S38" s="403">
        <f t="shared" si="9"/>
        <v>19.096438402298801</v>
      </c>
      <c r="T38" s="403">
        <f t="shared" si="9"/>
        <v>21.218264891443113</v>
      </c>
    </row>
    <row r="39" spans="1:32" ht="30.75" customHeight="1">
      <c r="A39" s="342" t="s">
        <v>380</v>
      </c>
      <c r="B39" s="397">
        <v>9</v>
      </c>
      <c r="C39" s="398">
        <v>120</v>
      </c>
      <c r="D39" s="398">
        <f t="shared" si="1"/>
        <v>60</v>
      </c>
      <c r="E39" s="398">
        <f t="shared" si="6"/>
        <v>4</v>
      </c>
      <c r="F39" s="398">
        <f>80-10</f>
        <v>70</v>
      </c>
      <c r="G39" s="398">
        <f>160-10</f>
        <v>150</v>
      </c>
      <c r="H39" s="398">
        <v>8</v>
      </c>
      <c r="I39" s="399">
        <f t="shared" si="7"/>
        <v>7.8796178754106014</v>
      </c>
      <c r="J39" s="138">
        <f t="shared" si="8"/>
        <v>4.6937538287484974</v>
      </c>
      <c r="K39" s="397">
        <v>23</v>
      </c>
      <c r="L39" s="402">
        <f t="shared" si="3"/>
        <v>18.77501531499399</v>
      </c>
      <c r="M39" s="115"/>
      <c r="O39" s="342" t="s">
        <v>380</v>
      </c>
      <c r="P39" s="403">
        <f t="shared" si="9"/>
        <v>8.665391683843378</v>
      </c>
      <c r="Q39" s="403">
        <f t="shared" si="9"/>
        <v>10.10962363115061</v>
      </c>
      <c r="R39" s="403">
        <f t="shared" si="9"/>
        <v>11.55385557845784</v>
      </c>
      <c r="S39" s="403">
        <f t="shared" si="9"/>
        <v>12.998087525765071</v>
      </c>
      <c r="T39" s="403">
        <f t="shared" si="9"/>
        <v>14.442319473072299</v>
      </c>
    </row>
    <row r="40" spans="1:32" ht="30.75" customHeight="1">
      <c r="A40" s="342" t="s">
        <v>381</v>
      </c>
      <c r="B40" s="397">
        <v>9</v>
      </c>
      <c r="C40" s="398">
        <v>120</v>
      </c>
      <c r="D40" s="398">
        <f t="shared" si="1"/>
        <v>60</v>
      </c>
      <c r="E40" s="398">
        <f t="shared" si="6"/>
        <v>4</v>
      </c>
      <c r="F40" s="398">
        <f>80-10</f>
        <v>70</v>
      </c>
      <c r="G40" s="398">
        <f>240-10</f>
        <v>230</v>
      </c>
      <c r="H40" s="398">
        <v>8</v>
      </c>
      <c r="I40" s="399">
        <f t="shared" si="7"/>
        <v>7.8796178754106014</v>
      </c>
      <c r="J40" s="138">
        <f t="shared" si="8"/>
        <v>6.8959360897190116</v>
      </c>
      <c r="K40" s="397">
        <v>23</v>
      </c>
      <c r="L40" s="402">
        <f t="shared" si="3"/>
        <v>27.583744358876046</v>
      </c>
      <c r="M40" s="115"/>
      <c r="O40" s="342" t="s">
        <v>381</v>
      </c>
      <c r="P40" s="403">
        <f t="shared" si="9"/>
        <v>12.730958934865866</v>
      </c>
      <c r="Q40" s="403">
        <f t="shared" si="9"/>
        <v>14.852785424010175</v>
      </c>
      <c r="R40" s="403">
        <f t="shared" si="9"/>
        <v>16.97461191315449</v>
      </c>
      <c r="S40" s="403">
        <f t="shared" si="9"/>
        <v>19.096438402298801</v>
      </c>
      <c r="T40" s="403">
        <f t="shared" si="9"/>
        <v>21.218264891443113</v>
      </c>
    </row>
    <row r="41" spans="1:32" ht="30.75" customHeight="1">
      <c r="A41" s="342" t="s">
        <v>383</v>
      </c>
      <c r="B41" s="420">
        <v>9</v>
      </c>
      <c r="C41" s="421">
        <v>120</v>
      </c>
      <c r="D41" s="421">
        <f t="shared" si="1"/>
        <v>60</v>
      </c>
      <c r="E41" s="421">
        <f t="shared" si="6"/>
        <v>4</v>
      </c>
      <c r="F41" s="421">
        <f>100-10</f>
        <v>90</v>
      </c>
      <c r="G41" s="421">
        <f>200-10</f>
        <v>190</v>
      </c>
      <c r="H41" s="421">
        <v>10</v>
      </c>
      <c r="I41" s="422">
        <f t="shared" si="7"/>
        <v>11.045622226154116</v>
      </c>
      <c r="J41" s="422">
        <f t="shared" si="8"/>
        <v>6.4918940417166029</v>
      </c>
      <c r="K41" s="420">
        <v>32</v>
      </c>
      <c r="L41" s="423">
        <f t="shared" si="3"/>
        <v>25.967576166866412</v>
      </c>
      <c r="M41" s="115"/>
      <c r="O41" s="342" t="s">
        <v>383</v>
      </c>
      <c r="P41" s="403">
        <f t="shared" si="9"/>
        <v>11.985035153938343</v>
      </c>
      <c r="Q41" s="403">
        <f t="shared" si="9"/>
        <v>13.982541012928067</v>
      </c>
      <c r="R41" s="403">
        <f t="shared" si="9"/>
        <v>15.980046871917793</v>
      </c>
      <c r="S41" s="403">
        <f t="shared" si="9"/>
        <v>17.977552730907515</v>
      </c>
      <c r="T41" s="403">
        <f t="shared" si="9"/>
        <v>19.975058589897237</v>
      </c>
    </row>
    <row r="42" spans="1:32" ht="30.75" customHeight="1">
      <c r="A42" s="342" t="s">
        <v>382</v>
      </c>
      <c r="B42" s="420">
        <v>9</v>
      </c>
      <c r="C42" s="421">
        <v>210</v>
      </c>
      <c r="D42" s="421">
        <f t="shared" si="1"/>
        <v>105</v>
      </c>
      <c r="E42" s="421">
        <f t="shared" si="6"/>
        <v>4</v>
      </c>
      <c r="F42" s="421">
        <f>100-10</f>
        <v>90</v>
      </c>
      <c r="G42" s="421">
        <f>200-10</f>
        <v>190</v>
      </c>
      <c r="H42" s="421">
        <v>10</v>
      </c>
      <c r="I42" s="422">
        <f t="shared" si="7"/>
        <v>11.045622226154116</v>
      </c>
      <c r="J42" s="422">
        <f t="shared" si="8"/>
        <v>6.4918940417166029</v>
      </c>
      <c r="K42" s="420">
        <v>32</v>
      </c>
      <c r="L42" s="423">
        <f t="shared" si="3"/>
        <v>25.967576166866412</v>
      </c>
      <c r="M42" s="115"/>
      <c r="O42" s="342" t="s">
        <v>382</v>
      </c>
      <c r="P42" s="403">
        <f t="shared" si="9"/>
        <v>11.985035153938343</v>
      </c>
      <c r="Q42" s="403">
        <f t="shared" si="9"/>
        <v>13.982541012928067</v>
      </c>
      <c r="R42" s="403">
        <f t="shared" si="9"/>
        <v>15.980046871917793</v>
      </c>
      <c r="S42" s="403">
        <f t="shared" si="9"/>
        <v>17.977552730907515</v>
      </c>
      <c r="T42" s="403">
        <f t="shared" si="9"/>
        <v>19.975058589897237</v>
      </c>
    </row>
    <row r="43" spans="1:32">
      <c r="A43" s="21" t="s">
        <v>37</v>
      </c>
      <c r="B43" t="str">
        <f>B184</f>
        <v>GL24h</v>
      </c>
      <c r="I43" s="390" t="s">
        <v>308</v>
      </c>
      <c r="J43" s="22">
        <v>0.3</v>
      </c>
      <c r="M43" s="115"/>
      <c r="O43" s="418"/>
      <c r="P43" s="419"/>
      <c r="Q43" s="419"/>
      <c r="R43" s="419"/>
      <c r="S43" s="419"/>
      <c r="T43" s="419"/>
    </row>
    <row r="44" spans="1:32" ht="18">
      <c r="A44" s="23" t="s">
        <v>39</v>
      </c>
      <c r="B44" s="24">
        <f>VLOOKUP(B43,$V$7:$W$16,2,FALSE)</f>
        <v>385</v>
      </c>
      <c r="C44" t="s">
        <v>40</v>
      </c>
      <c r="M44" s="115"/>
      <c r="O44" s="418"/>
      <c r="P44" s="419"/>
      <c r="Q44" s="419"/>
      <c r="R44" s="419"/>
      <c r="S44" s="419"/>
      <c r="T44" s="419"/>
    </row>
    <row r="45" spans="1:32" ht="30.75" customHeight="1">
      <c r="M45" s="115"/>
      <c r="O45" s="418"/>
      <c r="P45" s="419"/>
      <c r="Q45" s="419"/>
      <c r="R45" s="419"/>
      <c r="S45" s="419"/>
      <c r="T45" s="419"/>
    </row>
    <row r="47" spans="1:32" ht="24" thickBot="1">
      <c r="A47" s="1" t="s">
        <v>378</v>
      </c>
      <c r="V47" s="713" t="s">
        <v>38</v>
      </c>
      <c r="W47" s="713"/>
      <c r="X47" s="713"/>
      <c r="Y47" s="2"/>
      <c r="Z47" s="2"/>
    </row>
    <row r="48" spans="1:32">
      <c r="V48" s="714" t="s">
        <v>41</v>
      </c>
      <c r="W48" s="715"/>
      <c r="X48" s="715"/>
      <c r="Y48" s="715"/>
      <c r="Z48" s="715"/>
      <c r="AA48" s="25"/>
      <c r="AB48" s="715" t="s">
        <v>42</v>
      </c>
      <c r="AC48" s="715"/>
      <c r="AD48" s="715"/>
      <c r="AE48" s="715"/>
      <c r="AF48" s="716"/>
    </row>
    <row r="49" spans="1:32">
      <c r="V49" s="26"/>
      <c r="W49" s="54">
        <v>0.6</v>
      </c>
      <c r="X49" s="54">
        <v>0.7</v>
      </c>
      <c r="Y49" s="54">
        <v>0.8</v>
      </c>
      <c r="Z49" s="54">
        <v>0.9</v>
      </c>
      <c r="AA49" s="28"/>
      <c r="AB49" s="28"/>
      <c r="AC49" s="54">
        <v>0.6</v>
      </c>
      <c r="AD49" s="54">
        <v>0.7</v>
      </c>
      <c r="AE49" s="54">
        <v>0.8</v>
      </c>
      <c r="AF49" s="55">
        <v>0.9</v>
      </c>
    </row>
    <row r="50" spans="1:32" ht="18">
      <c r="A50" s="4" t="s">
        <v>2</v>
      </c>
      <c r="B50" s="5" t="s">
        <v>3</v>
      </c>
      <c r="C50" s="5" t="s">
        <v>43</v>
      </c>
      <c r="D50" s="5" t="s">
        <v>9</v>
      </c>
      <c r="E50" s="5" t="s">
        <v>44</v>
      </c>
      <c r="F50" s="5" t="s">
        <v>45</v>
      </c>
      <c r="G50" s="5" t="s">
        <v>12</v>
      </c>
      <c r="H50" s="5" t="s">
        <v>9</v>
      </c>
      <c r="I50" s="5" t="s">
        <v>46</v>
      </c>
      <c r="J50" s="5" t="s">
        <v>47</v>
      </c>
      <c r="K50" s="6" t="s">
        <v>48</v>
      </c>
      <c r="L50" s="717" t="s">
        <v>49</v>
      </c>
      <c r="O50" s="4" t="s">
        <v>2</v>
      </c>
      <c r="P50" s="710" t="s">
        <v>14</v>
      </c>
      <c r="Q50" s="711"/>
      <c r="R50" s="711"/>
      <c r="S50" s="711"/>
      <c r="T50" s="712"/>
      <c r="V50" s="26">
        <v>350</v>
      </c>
      <c r="W50" s="30">
        <v>2.9938688541772382</v>
      </c>
      <c r="X50" s="30">
        <v>3.4928469965401114</v>
      </c>
      <c r="Y50" s="30">
        <v>3.9918251389029846</v>
      </c>
      <c r="Z50" s="30">
        <v>4.4908032812658574</v>
      </c>
      <c r="AA50" s="28"/>
      <c r="AB50" s="28">
        <v>350</v>
      </c>
      <c r="AC50" s="30">
        <v>3.2659363540411106</v>
      </c>
      <c r="AD50" s="30">
        <v>3.8102590797146281</v>
      </c>
      <c r="AE50" s="30">
        <v>4.3545818053881478</v>
      </c>
      <c r="AF50" s="31">
        <v>4.8989045310616657</v>
      </c>
    </row>
    <row r="51" spans="1:32">
      <c r="A51" s="8"/>
      <c r="B51" s="9" t="s">
        <v>17</v>
      </c>
      <c r="C51" s="9" t="s">
        <v>19</v>
      </c>
      <c r="D51" s="9" t="s">
        <v>18</v>
      </c>
      <c r="E51" s="9" t="s">
        <v>18</v>
      </c>
      <c r="F51" s="9" t="s">
        <v>17</v>
      </c>
      <c r="G51" s="9" t="s">
        <v>17</v>
      </c>
      <c r="H51" s="9" t="s">
        <v>18</v>
      </c>
      <c r="I51" s="9" t="s">
        <v>18</v>
      </c>
      <c r="J51" s="9" t="s">
        <v>17</v>
      </c>
      <c r="K51" s="10" t="s">
        <v>17</v>
      </c>
      <c r="L51" s="717"/>
      <c r="M51" s="32"/>
      <c r="O51" s="8"/>
      <c r="P51" s="11">
        <v>0.6</v>
      </c>
      <c r="Q51" s="11">
        <v>0.7</v>
      </c>
      <c r="R51" s="11">
        <v>0.8</v>
      </c>
      <c r="S51" s="11">
        <v>0.9</v>
      </c>
      <c r="T51" s="11">
        <v>1</v>
      </c>
      <c r="V51" s="26">
        <v>380</v>
      </c>
      <c r="W51" s="30">
        <v>3.197460691061587</v>
      </c>
      <c r="X51" s="30">
        <v>3.7303708062385179</v>
      </c>
      <c r="Y51" s="30">
        <v>4.2632809214154497</v>
      </c>
      <c r="Z51" s="30">
        <v>4.796191036592381</v>
      </c>
      <c r="AA51" s="28"/>
      <c r="AB51" s="28">
        <v>380</v>
      </c>
      <c r="AC51" s="30">
        <v>3.4880295765077078</v>
      </c>
      <c r="AD51" s="30">
        <v>4.0693678392589918</v>
      </c>
      <c r="AE51" s="30">
        <v>4.6507061020102771</v>
      </c>
      <c r="AF51" s="31">
        <v>5.2320443647615615</v>
      </c>
    </row>
    <row r="52" spans="1:32">
      <c r="A52" s="33" t="s">
        <v>50</v>
      </c>
      <c r="B52" s="34">
        <v>9</v>
      </c>
      <c r="C52" s="35">
        <v>2</v>
      </c>
      <c r="D52" s="35">
        <v>6</v>
      </c>
      <c r="E52" s="35">
        <v>45</v>
      </c>
      <c r="F52" s="34">
        <f t="shared" ref="F52:F57" si="10">(0.52*SQRT(D52)*E52^0.9*$B$60^0.8)/1200</f>
        <v>3.5403273542111484</v>
      </c>
      <c r="G52" s="35">
        <v>10.5</v>
      </c>
      <c r="H52" s="35">
        <v>12</v>
      </c>
      <c r="I52" s="35">
        <v>49</v>
      </c>
      <c r="J52" s="34">
        <f t="shared" ref="J52:J57" si="11">(0.52*SQRT(H52)*I52^0.9*$B$60^0.8)/1000</f>
        <v>6.4867158507173501</v>
      </c>
      <c r="K52" s="36">
        <f t="shared" ref="K52:K57" si="12">MIN(C52*F52,C52*G52,J52,C52*B52)</f>
        <v>6.4867158507173501</v>
      </c>
      <c r="L52" s="37"/>
      <c r="M52" s="38"/>
      <c r="O52" s="33" t="s">
        <v>50</v>
      </c>
      <c r="P52" s="13">
        <f t="shared" ref="P52:T54" si="13">MIN($C52*$F52*P$51/1.3,$C52*$G52/1.25,$J52*P$51/1.3,$C52*$B52/1)</f>
        <v>2.9938688541772382</v>
      </c>
      <c r="Q52" s="13">
        <f t="shared" si="13"/>
        <v>3.4928469965401114</v>
      </c>
      <c r="R52" s="13">
        <f t="shared" si="13"/>
        <v>3.9918251389029846</v>
      </c>
      <c r="S52" s="13">
        <f t="shared" si="13"/>
        <v>4.4908032812658574</v>
      </c>
      <c r="T52" s="13">
        <f t="shared" si="13"/>
        <v>4.989781423628731</v>
      </c>
      <c r="V52" s="26">
        <v>410</v>
      </c>
      <c r="W52" s="30">
        <v>3.3978595400497134</v>
      </c>
      <c r="X52" s="30">
        <v>3.9641694633913325</v>
      </c>
      <c r="Y52" s="30">
        <v>4.5304793867329511</v>
      </c>
      <c r="Z52" s="30">
        <v>5.0967893100745707</v>
      </c>
      <c r="AA52" s="28"/>
      <c r="AB52" s="28">
        <v>410</v>
      </c>
      <c r="AC52" s="30">
        <v>3.7066396486573718</v>
      </c>
      <c r="AD52" s="30">
        <v>4.3244129234336004</v>
      </c>
      <c r="AE52" s="30">
        <v>4.9421861982098294</v>
      </c>
      <c r="AF52" s="31">
        <v>5.5599594729860575</v>
      </c>
    </row>
    <row r="53" spans="1:32" ht="15.75" thickBot="1">
      <c r="A53" s="39" t="s">
        <v>51</v>
      </c>
      <c r="B53" s="40">
        <v>9</v>
      </c>
      <c r="C53" s="41">
        <v>2</v>
      </c>
      <c r="D53" s="41">
        <v>6</v>
      </c>
      <c r="E53" s="41">
        <v>45</v>
      </c>
      <c r="F53" s="40">
        <f t="shared" si="10"/>
        <v>3.5403273542111484</v>
      </c>
      <c r="G53" s="41">
        <v>10.5</v>
      </c>
      <c r="H53" s="41">
        <v>12</v>
      </c>
      <c r="I53" s="41">
        <v>45</v>
      </c>
      <c r="J53" s="40">
        <f t="shared" si="11"/>
        <v>6.0081347514790338</v>
      </c>
      <c r="K53" s="42">
        <f t="shared" si="12"/>
        <v>6.0081347514790338</v>
      </c>
      <c r="L53" s="43">
        <f>K53/K52</f>
        <v>0.92622135603713995</v>
      </c>
      <c r="M53" s="38"/>
      <c r="O53" s="44"/>
      <c r="P53" s="13"/>
      <c r="Q53" s="13"/>
      <c r="R53" s="13"/>
      <c r="S53" s="13"/>
      <c r="T53" s="13"/>
      <c r="V53" s="26">
        <v>430</v>
      </c>
      <c r="W53" s="30">
        <v>3.5298244030214643</v>
      </c>
      <c r="X53" s="30">
        <v>4.1181284701917082</v>
      </c>
      <c r="Y53" s="30">
        <v>4.7064325373619527</v>
      </c>
      <c r="Z53" s="30">
        <v>5.2947366045321962</v>
      </c>
      <c r="AA53" s="28"/>
      <c r="AB53" s="28">
        <v>430</v>
      </c>
      <c r="AC53" s="30">
        <v>3.8505968039062237</v>
      </c>
      <c r="AD53" s="30">
        <v>4.4923629378905945</v>
      </c>
      <c r="AE53" s="30">
        <v>5.1341290718749653</v>
      </c>
      <c r="AF53" s="31">
        <v>5.7758952058593351</v>
      </c>
    </row>
    <row r="54" spans="1:32">
      <c r="A54" s="45" t="s">
        <v>52</v>
      </c>
      <c r="B54" s="46">
        <v>9</v>
      </c>
      <c r="C54" s="47">
        <v>2</v>
      </c>
      <c r="D54" s="47">
        <v>10</v>
      </c>
      <c r="E54" s="47">
        <v>50</v>
      </c>
      <c r="F54" s="46">
        <f t="shared" si="10"/>
        <v>5.0251558670694791</v>
      </c>
      <c r="G54" s="47">
        <v>28</v>
      </c>
      <c r="H54" s="47">
        <v>16</v>
      </c>
      <c r="I54" s="47">
        <v>46</v>
      </c>
      <c r="J54" s="46">
        <f t="shared" si="11"/>
        <v>7.0761954337557391</v>
      </c>
      <c r="K54" s="48">
        <f t="shared" si="12"/>
        <v>7.0761954337557391</v>
      </c>
      <c r="L54" s="49"/>
      <c r="M54" s="38"/>
      <c r="O54" s="45" t="s">
        <v>52</v>
      </c>
      <c r="P54" s="13">
        <f t="shared" si="13"/>
        <v>3.2659363540411106</v>
      </c>
      <c r="Q54" s="13">
        <f t="shared" si="13"/>
        <v>3.8102590797146281</v>
      </c>
      <c r="R54" s="13">
        <f t="shared" si="13"/>
        <v>4.3545818053881478</v>
      </c>
      <c r="S54" s="13">
        <f t="shared" si="13"/>
        <v>4.8989045310616657</v>
      </c>
      <c r="T54" s="13">
        <f t="shared" si="13"/>
        <v>5.4432272567351836</v>
      </c>
      <c r="V54" s="26">
        <v>450</v>
      </c>
      <c r="W54" s="30">
        <v>3.6605668950708412</v>
      </c>
      <c r="X54" s="30">
        <v>4.2706613775826483</v>
      </c>
      <c r="Y54" s="30">
        <v>4.8807558600944558</v>
      </c>
      <c r="Z54" s="30">
        <v>5.4908503426062625</v>
      </c>
      <c r="AA54" s="28"/>
      <c r="AB54" s="28">
        <v>450</v>
      </c>
      <c r="AC54" s="30">
        <v>3.9932205054107892</v>
      </c>
      <c r="AD54" s="30">
        <v>4.6587572563125876</v>
      </c>
      <c r="AE54" s="30">
        <v>5.3242940072143865</v>
      </c>
      <c r="AF54" s="31">
        <v>5.9898307581161854</v>
      </c>
    </row>
    <row r="55" spans="1:32">
      <c r="A55" s="33" t="s">
        <v>53</v>
      </c>
      <c r="B55" s="34">
        <v>9</v>
      </c>
      <c r="C55" s="35">
        <v>2</v>
      </c>
      <c r="D55" s="35">
        <v>10</v>
      </c>
      <c r="E55" s="35">
        <v>45</v>
      </c>
      <c r="F55" s="34">
        <f t="shared" si="10"/>
        <v>4.5705429609941151</v>
      </c>
      <c r="G55" s="35">
        <v>28</v>
      </c>
      <c r="H55" s="35">
        <v>16</v>
      </c>
      <c r="I55" s="35">
        <v>45</v>
      </c>
      <c r="J55" s="34">
        <f t="shared" si="11"/>
        <v>6.9375964321879318</v>
      </c>
      <c r="K55" s="36">
        <f t="shared" si="12"/>
        <v>6.9375964321879318</v>
      </c>
      <c r="L55" s="50">
        <f>K55/K54</f>
        <v>0.98041334459098661</v>
      </c>
      <c r="M55" s="38"/>
      <c r="P55" s="51"/>
      <c r="Q55" s="51"/>
      <c r="R55" s="51"/>
      <c r="S55" s="51"/>
      <c r="V55" s="26">
        <v>400</v>
      </c>
      <c r="W55" s="30">
        <v>3.3313965360014084</v>
      </c>
      <c r="X55" s="30">
        <v>3.886629292001643</v>
      </c>
      <c r="Y55" s="30">
        <v>4.4418620480018784</v>
      </c>
      <c r="Z55" s="30">
        <v>4.9970948040021135</v>
      </c>
      <c r="AA55" s="28"/>
      <c r="AB55" s="28">
        <v>400</v>
      </c>
      <c r="AC55" s="30">
        <v>3.6341368264922393</v>
      </c>
      <c r="AD55" s="30">
        <v>4.2398262975742789</v>
      </c>
      <c r="AE55" s="30">
        <v>4.8455157686563188</v>
      </c>
      <c r="AF55" s="31">
        <v>5.4512052397383588</v>
      </c>
    </row>
    <row r="56" spans="1:32">
      <c r="A56" s="33" t="s">
        <v>54</v>
      </c>
      <c r="B56" s="34">
        <v>9</v>
      </c>
      <c r="C56" s="35">
        <v>2</v>
      </c>
      <c r="D56" s="35">
        <v>10</v>
      </c>
      <c r="E56" s="35">
        <v>50</v>
      </c>
      <c r="F56" s="34">
        <f t="shared" si="10"/>
        <v>5.0251558670694791</v>
      </c>
      <c r="G56" s="35">
        <v>28</v>
      </c>
      <c r="H56" s="35">
        <v>10</v>
      </c>
      <c r="I56" s="35">
        <v>60</v>
      </c>
      <c r="J56" s="34">
        <f t="shared" si="11"/>
        <v>7.1054879039275578</v>
      </c>
      <c r="K56" s="36">
        <f t="shared" si="12"/>
        <v>7.1054879039275578</v>
      </c>
      <c r="L56" s="50">
        <f>K56/K54</f>
        <v>1.0041395790218122</v>
      </c>
      <c r="M56" s="38"/>
      <c r="P56" s="51"/>
      <c r="Q56" s="51"/>
      <c r="R56" s="51"/>
      <c r="S56" s="51"/>
      <c r="V56" s="26"/>
      <c r="W56" s="27"/>
      <c r="X56" s="27"/>
      <c r="Y56" s="27"/>
      <c r="Z56" s="27"/>
      <c r="AA56" s="28"/>
      <c r="AB56" s="28"/>
      <c r="AC56" s="28"/>
      <c r="AD56" s="28"/>
      <c r="AE56" s="28"/>
      <c r="AF56" s="52"/>
    </row>
    <row r="57" spans="1:32">
      <c r="A57" s="45" t="s">
        <v>52</v>
      </c>
      <c r="B57" s="46">
        <v>9</v>
      </c>
      <c r="C57" s="47">
        <v>2</v>
      </c>
      <c r="D57" s="47">
        <v>6</v>
      </c>
      <c r="E57" s="47">
        <v>45</v>
      </c>
      <c r="F57" s="46">
        <f t="shared" si="10"/>
        <v>3.5403273542111484</v>
      </c>
      <c r="G57" s="47">
        <v>28</v>
      </c>
      <c r="H57" s="47">
        <v>16</v>
      </c>
      <c r="I57" s="47">
        <v>46</v>
      </c>
      <c r="J57" s="46">
        <f t="shared" si="11"/>
        <v>7.0761954337557391</v>
      </c>
      <c r="K57" s="48">
        <f t="shared" si="12"/>
        <v>7.0761954337557391</v>
      </c>
      <c r="L57" s="53"/>
      <c r="V57" s="718" t="s">
        <v>55</v>
      </c>
      <c r="W57" s="719"/>
      <c r="X57" s="719"/>
      <c r="Y57" s="719"/>
      <c r="Z57" s="719"/>
      <c r="AA57" s="28"/>
      <c r="AB57" s="719" t="s">
        <v>56</v>
      </c>
      <c r="AC57" s="719"/>
      <c r="AD57" s="719"/>
      <c r="AE57" s="719"/>
      <c r="AF57" s="720"/>
    </row>
    <row r="58" spans="1:32">
      <c r="V58" s="26"/>
      <c r="W58" s="27">
        <v>0.6</v>
      </c>
      <c r="X58" s="27">
        <v>0.7</v>
      </c>
      <c r="Y58" s="27">
        <v>0.8</v>
      </c>
      <c r="Z58" s="27">
        <v>0.9</v>
      </c>
      <c r="AA58" s="28"/>
      <c r="AB58" s="28"/>
      <c r="AC58" s="27">
        <v>0.6</v>
      </c>
      <c r="AD58" s="27">
        <v>0.7</v>
      </c>
      <c r="AE58" s="27">
        <v>0.8</v>
      </c>
      <c r="AF58" s="29">
        <v>0.9</v>
      </c>
    </row>
    <row r="59" spans="1:32">
      <c r="A59" s="21" t="s">
        <v>37</v>
      </c>
      <c r="B59" s="22" t="s">
        <v>22</v>
      </c>
      <c r="V59" s="26">
        <v>350</v>
      </c>
      <c r="W59" s="30">
        <v>2.9938688541772382</v>
      </c>
      <c r="X59" s="30">
        <v>3.4928469965401114</v>
      </c>
      <c r="Y59" s="30">
        <v>3.9918251389029846</v>
      </c>
      <c r="Z59" s="30">
        <v>4.4908032812658574</v>
      </c>
      <c r="AA59" s="28"/>
      <c r="AB59" s="28">
        <v>350</v>
      </c>
      <c r="AC59" s="30">
        <v>3.2659363540411106</v>
      </c>
      <c r="AD59" s="30">
        <v>3.8102590797146281</v>
      </c>
      <c r="AE59" s="30">
        <v>4.3545818053881478</v>
      </c>
      <c r="AF59" s="31">
        <v>4.8989045310616657</v>
      </c>
    </row>
    <row r="60" spans="1:32" ht="18">
      <c r="A60" s="23" t="s">
        <v>39</v>
      </c>
      <c r="B60" s="24">
        <f>VLOOKUP(B59,$V$7:$W$16,2,FALSE)</f>
        <v>350</v>
      </c>
      <c r="C60" t="s">
        <v>40</v>
      </c>
      <c r="V60" s="26">
        <v>380</v>
      </c>
      <c r="W60" s="30">
        <v>3.197460691061587</v>
      </c>
      <c r="X60" s="30">
        <v>3.7303708062385179</v>
      </c>
      <c r="Y60" s="30">
        <v>4.2632809214154497</v>
      </c>
      <c r="Z60" s="30">
        <v>4.796191036592381</v>
      </c>
      <c r="AA60" s="28"/>
      <c r="AB60" s="28">
        <v>380</v>
      </c>
      <c r="AC60" s="30">
        <v>3.4880295765077078</v>
      </c>
      <c r="AD60" s="30">
        <v>4.0693678392589918</v>
      </c>
      <c r="AE60" s="30">
        <v>4.6507061020102771</v>
      </c>
      <c r="AF60" s="31">
        <v>5.2320443647615615</v>
      </c>
    </row>
    <row r="61" spans="1:32">
      <c r="V61" s="26">
        <v>410</v>
      </c>
      <c r="W61" s="30">
        <v>3.3978595400497134</v>
      </c>
      <c r="X61" s="30">
        <v>3.9641694633913325</v>
      </c>
      <c r="Y61" s="30">
        <v>4.5304793867329511</v>
      </c>
      <c r="Z61" s="30">
        <v>5.0967893100745707</v>
      </c>
      <c r="AA61" s="28"/>
      <c r="AB61" s="28">
        <v>410</v>
      </c>
      <c r="AC61" s="30">
        <v>3.7066396486573718</v>
      </c>
      <c r="AD61" s="30">
        <v>4.3244129234336004</v>
      </c>
      <c r="AE61" s="30">
        <v>4.9421861982098294</v>
      </c>
      <c r="AF61" s="31">
        <v>5.5599594729860575</v>
      </c>
    </row>
    <row r="62" spans="1:32" ht="26.25">
      <c r="A62" s="1" t="s">
        <v>57</v>
      </c>
      <c r="V62" s="26">
        <v>430</v>
      </c>
      <c r="W62" s="30">
        <v>3.5298244030214643</v>
      </c>
      <c r="X62" s="30">
        <v>4.1181284701917082</v>
      </c>
      <c r="Y62" s="30">
        <v>4.7064325373619527</v>
      </c>
      <c r="Z62" s="30">
        <v>5.2947366045321962</v>
      </c>
      <c r="AA62" s="28"/>
      <c r="AB62" s="28">
        <v>430</v>
      </c>
      <c r="AC62" s="30">
        <v>3.8505968039062237</v>
      </c>
      <c r="AD62" s="30">
        <v>4.4923629378905945</v>
      </c>
      <c r="AE62" s="30">
        <v>5.1341290718749653</v>
      </c>
      <c r="AF62" s="31">
        <v>5.7758952058593351</v>
      </c>
    </row>
    <row r="63" spans="1:32" ht="23.25">
      <c r="A63" s="1"/>
      <c r="V63" s="26">
        <v>450</v>
      </c>
      <c r="W63" s="30">
        <v>3.6605668950708412</v>
      </c>
      <c r="X63" s="30">
        <v>4.2706613775826483</v>
      </c>
      <c r="Y63" s="30">
        <v>4.8807558600944558</v>
      </c>
      <c r="Z63" s="30">
        <v>5.4908503426062625</v>
      </c>
      <c r="AA63" s="28"/>
      <c r="AB63" s="28">
        <v>450</v>
      </c>
      <c r="AC63" s="30">
        <v>3.9932205054107892</v>
      </c>
      <c r="AD63" s="30">
        <v>4.6587572563125876</v>
      </c>
      <c r="AE63" s="30">
        <v>5.3242940072143865</v>
      </c>
      <c r="AF63" s="31">
        <v>5.9898307581161854</v>
      </c>
    </row>
    <row r="64" spans="1:32" ht="19.5" thickBot="1">
      <c r="A64" s="56" t="s">
        <v>58</v>
      </c>
      <c r="V64" s="57">
        <v>400</v>
      </c>
      <c r="W64" s="58">
        <v>3.3313965360014084</v>
      </c>
      <c r="X64" s="58">
        <v>3.886629292001643</v>
      </c>
      <c r="Y64" s="58">
        <v>4.4418620480018784</v>
      </c>
      <c r="Z64" s="58">
        <v>4.9970948040021135</v>
      </c>
      <c r="AA64" s="59"/>
      <c r="AB64" s="59">
        <v>400</v>
      </c>
      <c r="AC64" s="58">
        <v>3.6341368264922393</v>
      </c>
      <c r="AD64" s="58">
        <v>4.2398262975742789</v>
      </c>
      <c r="AE64" s="58">
        <v>4.8455157686563188</v>
      </c>
      <c r="AF64" s="60">
        <v>5.4512052397383588</v>
      </c>
    </row>
    <row r="65" spans="1:30">
      <c r="AA65" s="61"/>
      <c r="AB65" s="61"/>
      <c r="AC65" s="61"/>
      <c r="AD65" s="61"/>
    </row>
    <row r="66" spans="1:30">
      <c r="A66" s="21" t="s">
        <v>37</v>
      </c>
      <c r="B66" t="str">
        <f>'Load bearing values_GIGANT_EN'!E5</f>
        <v>GL24h</v>
      </c>
      <c r="AA66" s="61"/>
      <c r="AB66" s="61"/>
      <c r="AC66" s="61"/>
      <c r="AD66" s="61"/>
    </row>
    <row r="67" spans="1:30" ht="18">
      <c r="A67" s="23" t="s">
        <v>39</v>
      </c>
      <c r="B67" s="24">
        <f>VLOOKUP(B66,$V$7:$W$16,2,FALSE)</f>
        <v>385</v>
      </c>
      <c r="C67" t="s">
        <v>40</v>
      </c>
      <c r="AA67" s="61"/>
      <c r="AB67" s="61"/>
      <c r="AC67" s="61"/>
      <c r="AD67" s="61"/>
    </row>
    <row r="68" spans="1:30" ht="18">
      <c r="A68" s="23" t="s">
        <v>62</v>
      </c>
      <c r="B68" s="24">
        <v>23900</v>
      </c>
      <c r="C68" t="s">
        <v>63</v>
      </c>
      <c r="AA68" s="61"/>
      <c r="AB68" s="61"/>
      <c r="AC68" s="61"/>
      <c r="AD68" s="61"/>
    </row>
    <row r="69" spans="1:30">
      <c r="A69" s="23" t="s">
        <v>64</v>
      </c>
      <c r="B69" s="24">
        <v>10</v>
      </c>
      <c r="C69" t="s">
        <v>65</v>
      </c>
      <c r="AA69" s="61"/>
      <c r="AB69" s="61"/>
      <c r="AC69" s="61"/>
      <c r="AD69" s="61"/>
    </row>
    <row r="70" spans="1:30" ht="18">
      <c r="A70" s="23" t="s">
        <v>66</v>
      </c>
      <c r="B70" s="75">
        <f>0.033*B67*B69^-0.3</f>
        <v>6.3675838032344938</v>
      </c>
      <c r="C70" t="s">
        <v>67</v>
      </c>
      <c r="AA70" s="61"/>
      <c r="AB70" s="61"/>
      <c r="AC70" s="61"/>
      <c r="AD70" s="61"/>
    </row>
    <row r="71" spans="1:30" ht="18">
      <c r="A71" s="23" t="s">
        <v>68</v>
      </c>
      <c r="B71" s="76">
        <f>0.082*B69^-0.3*B67</f>
        <v>15.822480965612984</v>
      </c>
      <c r="C71" t="s">
        <v>67</v>
      </c>
      <c r="AA71" s="61"/>
      <c r="AB71" s="61"/>
      <c r="AC71" s="61"/>
      <c r="AD71" s="61"/>
    </row>
    <row r="72" spans="1:30">
      <c r="AA72" s="61"/>
      <c r="AB72" s="61"/>
      <c r="AC72" s="61"/>
      <c r="AD72" s="61"/>
    </row>
    <row r="73" spans="1:30" ht="18">
      <c r="A73" s="4" t="s">
        <v>2</v>
      </c>
      <c r="B73" s="5" t="s">
        <v>43</v>
      </c>
      <c r="C73" s="5" t="s">
        <v>44</v>
      </c>
      <c r="D73" s="5" t="s">
        <v>59</v>
      </c>
      <c r="E73" s="5" t="s">
        <v>60</v>
      </c>
      <c r="F73" s="5" t="s">
        <v>43</v>
      </c>
      <c r="G73" s="5" t="s">
        <v>44</v>
      </c>
      <c r="H73" s="5" t="s">
        <v>59</v>
      </c>
      <c r="I73" s="5" t="s">
        <v>60</v>
      </c>
      <c r="J73" s="5" t="s">
        <v>61</v>
      </c>
      <c r="P73"/>
      <c r="Q73"/>
      <c r="AA73" s="61"/>
      <c r="AB73" s="61"/>
      <c r="AC73" s="61"/>
      <c r="AD73" s="61"/>
    </row>
    <row r="74" spans="1:30">
      <c r="A74" s="8"/>
      <c r="B74" s="9" t="s">
        <v>19</v>
      </c>
      <c r="C74" s="9" t="s">
        <v>18</v>
      </c>
      <c r="D74" s="9" t="s">
        <v>17</v>
      </c>
      <c r="E74" s="9" t="s">
        <v>17</v>
      </c>
      <c r="F74" s="9" t="s">
        <v>19</v>
      </c>
      <c r="G74" s="9" t="s">
        <v>18</v>
      </c>
      <c r="H74" s="9" t="s">
        <v>17</v>
      </c>
      <c r="I74" s="9" t="s">
        <v>17</v>
      </c>
      <c r="J74" s="62" t="s">
        <v>17</v>
      </c>
      <c r="P74"/>
      <c r="Q74"/>
      <c r="AA74" s="61"/>
      <c r="AB74" s="61"/>
      <c r="AC74" s="61"/>
      <c r="AD74" s="61"/>
    </row>
    <row r="75" spans="1:30" ht="45">
      <c r="A75" s="68" t="s">
        <v>372</v>
      </c>
      <c r="B75" s="69">
        <v>1</v>
      </c>
      <c r="C75" s="63">
        <v>84</v>
      </c>
      <c r="D75" s="64">
        <f t="shared" ref="D75:D82" si="14">($H$83*0.52*SQRT($B$69)*C75^0.9*$B$67^0.8)/1000</f>
        <v>6.2283718772573966</v>
      </c>
      <c r="E75" s="64">
        <f t="shared" ref="E75:E82" si="15">MIN((2.3*SQRT($B$68*$B$70*$B$69))/1000+D75/4,C75*$B$70*$B$69/1000,C75*$B$70*$B$69/1000*(SQRT(2+4*$B$68/$B$70/$B$69/C75^2)-1)+D75/4)</f>
        <v>4.1648356039773766</v>
      </c>
      <c r="F75" s="69">
        <v>2</v>
      </c>
      <c r="G75" s="63">
        <v>84</v>
      </c>
      <c r="H75" s="64">
        <f t="shared" ref="H75:H82" si="16">($H$83*0.52*SQRT($B$69)*G75^0.9*$B$67^0.8)/1000</f>
        <v>6.2283718772573966</v>
      </c>
      <c r="I75" s="64">
        <f t="shared" ref="I75:I82" si="17">MIN((2.3*SQRT($B$68*$B$70*$B$69))/1000+H75/4,G75*$B$70*$B$69/1000,G75*$B$70*$B$69/1000*(SQRT(2+4*$B$68/$B$70/$B$69/G75^2)-1)+H75/4)</f>
        <v>4.1648356039773766</v>
      </c>
      <c r="J75" s="64">
        <f t="shared" ref="J75:J82" si="18">E75*B75+F75*I75</f>
        <v>12.49450681193213</v>
      </c>
      <c r="P75"/>
      <c r="Q75"/>
      <c r="AA75" s="61"/>
      <c r="AB75" s="61"/>
      <c r="AC75" s="61"/>
      <c r="AD75" s="61"/>
    </row>
    <row r="76" spans="1:30" ht="45">
      <c r="A76" s="68" t="s">
        <v>754</v>
      </c>
      <c r="B76" s="69">
        <v>1</v>
      </c>
      <c r="C76" s="63">
        <v>164</v>
      </c>
      <c r="D76" s="64">
        <f t="shared" si="14"/>
        <v>11.373199070320702</v>
      </c>
      <c r="E76" s="64">
        <f t="shared" si="15"/>
        <v>5.6806576720870083</v>
      </c>
      <c r="F76" s="69">
        <v>2</v>
      </c>
      <c r="G76" s="63">
        <v>164</v>
      </c>
      <c r="H76" s="64">
        <f t="shared" si="16"/>
        <v>11.373199070320702</v>
      </c>
      <c r="I76" s="64">
        <f t="shared" si="17"/>
        <v>5.6806576720870083</v>
      </c>
      <c r="J76" s="64">
        <f t="shared" si="18"/>
        <v>17.041973016261025</v>
      </c>
      <c r="P76"/>
      <c r="Q76"/>
      <c r="AA76" s="61"/>
      <c r="AB76" s="61"/>
      <c r="AC76" s="61"/>
      <c r="AD76" s="61"/>
    </row>
    <row r="77" spans="1:30" ht="60" customHeight="1">
      <c r="A77" s="67" t="s">
        <v>373</v>
      </c>
      <c r="B77" s="69">
        <v>1</v>
      </c>
      <c r="C77" s="63">
        <v>84</v>
      </c>
      <c r="D77" s="64">
        <f t="shared" si="14"/>
        <v>6.2283718772573966</v>
      </c>
      <c r="E77" s="64">
        <f t="shared" si="15"/>
        <v>4.1648356039773766</v>
      </c>
      <c r="F77" s="69">
        <v>3</v>
      </c>
      <c r="G77" s="63">
        <v>84</v>
      </c>
      <c r="H77" s="64">
        <f t="shared" si="16"/>
        <v>6.2283718772573966</v>
      </c>
      <c r="I77" s="64">
        <f t="shared" si="17"/>
        <v>4.1648356039773766</v>
      </c>
      <c r="J77" s="64">
        <f t="shared" si="18"/>
        <v>16.659342415909506</v>
      </c>
      <c r="P77"/>
      <c r="Q77"/>
      <c r="AA77" s="61"/>
      <c r="AB77" s="61"/>
      <c r="AC77" s="61"/>
      <c r="AD77" s="61"/>
    </row>
    <row r="78" spans="1:30" ht="60" customHeight="1">
      <c r="A78" s="67" t="s">
        <v>755</v>
      </c>
      <c r="B78" s="69">
        <v>1</v>
      </c>
      <c r="C78" s="63">
        <v>164</v>
      </c>
      <c r="D78" s="64">
        <f t="shared" si="14"/>
        <v>11.373199070320702</v>
      </c>
      <c r="E78" s="64">
        <f t="shared" si="15"/>
        <v>5.6806576720870083</v>
      </c>
      <c r="F78" s="69">
        <v>3</v>
      </c>
      <c r="G78" s="63">
        <v>164</v>
      </c>
      <c r="H78" s="64">
        <f t="shared" si="16"/>
        <v>11.373199070320702</v>
      </c>
      <c r="I78" s="64">
        <f t="shared" si="17"/>
        <v>5.6806576720870083</v>
      </c>
      <c r="J78" s="64">
        <f t="shared" si="18"/>
        <v>22.722630688348033</v>
      </c>
      <c r="P78"/>
      <c r="Q78"/>
      <c r="AA78" s="61"/>
      <c r="AB78" s="61"/>
      <c r="AC78" s="61"/>
      <c r="AD78" s="61"/>
    </row>
    <row r="79" spans="1:30" ht="63" customHeight="1">
      <c r="A79" s="67" t="s">
        <v>374</v>
      </c>
      <c r="B79" s="69">
        <v>1</v>
      </c>
      <c r="C79" s="63">
        <v>84</v>
      </c>
      <c r="D79" s="64">
        <f t="shared" si="14"/>
        <v>6.2283718772573966</v>
      </c>
      <c r="E79" s="64">
        <f t="shared" si="15"/>
        <v>4.1648356039773766</v>
      </c>
      <c r="F79" s="69">
        <v>3</v>
      </c>
      <c r="G79" s="63">
        <v>84</v>
      </c>
      <c r="H79" s="64">
        <f t="shared" si="16"/>
        <v>6.2283718772573966</v>
      </c>
      <c r="I79" s="64">
        <f t="shared" si="17"/>
        <v>4.1648356039773766</v>
      </c>
      <c r="J79" s="64">
        <f t="shared" si="18"/>
        <v>16.659342415909506</v>
      </c>
      <c r="P79"/>
      <c r="Q79"/>
      <c r="AA79" s="61"/>
      <c r="AB79" s="61"/>
      <c r="AC79" s="61"/>
      <c r="AD79" s="61"/>
    </row>
    <row r="80" spans="1:30" ht="60">
      <c r="A80" s="67" t="s">
        <v>375</v>
      </c>
      <c r="B80" s="69">
        <v>1</v>
      </c>
      <c r="C80" s="63">
        <v>84</v>
      </c>
      <c r="D80" s="64">
        <f t="shared" si="14"/>
        <v>6.2283718772573966</v>
      </c>
      <c r="E80" s="64">
        <f t="shared" si="15"/>
        <v>4.1648356039773766</v>
      </c>
      <c r="F80" s="69">
        <v>5</v>
      </c>
      <c r="G80" s="63">
        <v>84</v>
      </c>
      <c r="H80" s="64">
        <f t="shared" si="16"/>
        <v>6.2283718772573966</v>
      </c>
      <c r="I80" s="64">
        <f t="shared" si="17"/>
        <v>4.1648356039773766</v>
      </c>
      <c r="J80" s="64">
        <f t="shared" si="18"/>
        <v>24.98901362386426</v>
      </c>
      <c r="P80"/>
      <c r="Q80"/>
      <c r="AA80" s="61"/>
      <c r="AB80" s="61"/>
      <c r="AC80" s="61"/>
      <c r="AD80" s="61"/>
    </row>
    <row r="81" spans="1:30" ht="60">
      <c r="A81" s="67" t="s">
        <v>756</v>
      </c>
      <c r="B81" s="69">
        <v>1</v>
      </c>
      <c r="C81" s="63">
        <v>164</v>
      </c>
      <c r="D81" s="64">
        <f t="shared" si="14"/>
        <v>11.373199070320702</v>
      </c>
      <c r="E81" s="64">
        <f t="shared" si="15"/>
        <v>5.6806576720870083</v>
      </c>
      <c r="F81" s="69">
        <v>5</v>
      </c>
      <c r="G81" s="63">
        <v>164</v>
      </c>
      <c r="H81" s="64">
        <f t="shared" si="16"/>
        <v>11.373199070320702</v>
      </c>
      <c r="I81" s="64">
        <f t="shared" si="17"/>
        <v>5.6806576720870083</v>
      </c>
      <c r="J81" s="64">
        <f t="shared" si="18"/>
        <v>34.08394603252205</v>
      </c>
      <c r="P81"/>
      <c r="Q81"/>
      <c r="AA81" s="61"/>
      <c r="AB81" s="61"/>
      <c r="AC81" s="61"/>
      <c r="AD81" s="61"/>
    </row>
    <row r="82" spans="1:30" ht="60">
      <c r="A82" s="67" t="s">
        <v>376</v>
      </c>
      <c r="B82" s="69">
        <v>1</v>
      </c>
      <c r="C82" s="63">
        <v>84</v>
      </c>
      <c r="D82" s="64">
        <f t="shared" si="14"/>
        <v>6.2283718772573966</v>
      </c>
      <c r="E82" s="64">
        <f t="shared" si="15"/>
        <v>4.1648356039773766</v>
      </c>
      <c r="F82" s="69">
        <v>4</v>
      </c>
      <c r="G82" s="63">
        <v>84</v>
      </c>
      <c r="H82" s="64">
        <f t="shared" si="16"/>
        <v>6.2283718772573966</v>
      </c>
      <c r="I82" s="64">
        <f t="shared" si="17"/>
        <v>4.1648356039773766</v>
      </c>
      <c r="J82" s="64">
        <f t="shared" si="18"/>
        <v>20.824178019886883</v>
      </c>
      <c r="P82"/>
      <c r="Q82"/>
      <c r="R82"/>
      <c r="S82"/>
      <c r="AA82" s="61"/>
      <c r="AB82" s="61"/>
      <c r="AC82" s="61"/>
      <c r="AD82" s="61"/>
    </row>
    <row r="83" spans="1:30">
      <c r="A83" s="70"/>
      <c r="B83" s="71"/>
      <c r="C83" s="72"/>
      <c r="D83" s="73"/>
      <c r="E83" s="73"/>
      <c r="F83" s="71"/>
      <c r="G83" s="72" t="s">
        <v>308</v>
      </c>
      <c r="H83" s="391">
        <v>0.6</v>
      </c>
      <c r="I83" s="73"/>
      <c r="J83" s="73"/>
      <c r="P83"/>
      <c r="Q83"/>
      <c r="R83"/>
      <c r="S83"/>
      <c r="AA83" s="61"/>
      <c r="AB83" s="61"/>
      <c r="AC83" s="61"/>
      <c r="AD83" s="61"/>
    </row>
    <row r="84" spans="1:30">
      <c r="A84" s="74"/>
      <c r="B84" s="71"/>
      <c r="C84" s="72"/>
      <c r="D84" s="73"/>
      <c r="E84" s="73"/>
      <c r="F84" s="71"/>
      <c r="G84" s="72"/>
      <c r="H84" s="73"/>
      <c r="I84" s="73"/>
      <c r="J84" s="73"/>
      <c r="P84"/>
      <c r="Q84"/>
      <c r="R84"/>
      <c r="S84"/>
      <c r="AA84" s="61"/>
      <c r="AB84" s="61"/>
      <c r="AC84" s="61"/>
      <c r="AD84" s="61"/>
    </row>
    <row r="85" spans="1:30">
      <c r="P85"/>
      <c r="Q85"/>
      <c r="R85"/>
      <c r="S85"/>
      <c r="AA85" s="61"/>
      <c r="AB85" s="61"/>
      <c r="AC85" s="61"/>
      <c r="AD85" s="61"/>
    </row>
    <row r="86" spans="1:30">
      <c r="F86" s="24"/>
      <c r="G86" s="24"/>
      <c r="H86" s="24"/>
      <c r="I86" s="24"/>
      <c r="J86" s="24"/>
      <c r="K86" s="24"/>
      <c r="P86"/>
      <c r="Q86"/>
      <c r="R86"/>
      <c r="S86"/>
      <c r="AA86" s="61"/>
      <c r="AB86" s="61"/>
      <c r="AC86" s="61"/>
      <c r="AD86" s="61"/>
    </row>
    <row r="87" spans="1:30" ht="18">
      <c r="A87" s="4" t="s">
        <v>2</v>
      </c>
      <c r="B87" s="5" t="s">
        <v>43</v>
      </c>
      <c r="C87" s="5" t="s">
        <v>44</v>
      </c>
      <c r="D87" s="5" t="s">
        <v>69</v>
      </c>
      <c r="E87" s="5" t="s">
        <v>70</v>
      </c>
      <c r="F87" s="5" t="s">
        <v>43</v>
      </c>
      <c r="G87" s="5" t="s">
        <v>44</v>
      </c>
      <c r="H87" s="5" t="s">
        <v>69</v>
      </c>
      <c r="I87" s="5" t="s">
        <v>70</v>
      </c>
      <c r="J87" s="5" t="s">
        <v>71</v>
      </c>
    </row>
    <row r="88" spans="1:30">
      <c r="A88" s="8"/>
      <c r="B88" s="9" t="s">
        <v>19</v>
      </c>
      <c r="C88" s="9" t="s">
        <v>18</v>
      </c>
      <c r="D88" s="9" t="s">
        <v>17</v>
      </c>
      <c r="E88" s="9" t="s">
        <v>17</v>
      </c>
      <c r="F88" s="9" t="s">
        <v>19</v>
      </c>
      <c r="G88" s="9" t="s">
        <v>18</v>
      </c>
      <c r="H88" s="9" t="s">
        <v>17</v>
      </c>
      <c r="I88" s="9" t="s">
        <v>17</v>
      </c>
      <c r="J88" s="62" t="s">
        <v>17</v>
      </c>
    </row>
    <row r="89" spans="1:30" ht="45">
      <c r="A89" s="68" t="s">
        <v>372</v>
      </c>
      <c r="B89" s="69">
        <v>1</v>
      </c>
      <c r="C89" s="63">
        <v>54</v>
      </c>
      <c r="D89" s="64">
        <f t="shared" ref="D89:D96" si="19">(0.52*SQRT($B$69)*C89^0.9*$B$67^0.8)/1000</f>
        <v>6.974712508553587</v>
      </c>
      <c r="E89" s="64">
        <f t="shared" ref="E89:E96" si="20">MIN((2.3*SQRT($B$68*$B$71*$B$69))/1000+D89/4,$B$71*C89*$B$69/1000,$B$71*C89*$B$69/1000*(SQRT(2+4*$B$68/$B$71/$B$69/C89^2)-1)+D89/4)</f>
        <v>5.8932746154210731</v>
      </c>
      <c r="F89" s="69">
        <v>2</v>
      </c>
      <c r="G89" s="63">
        <v>54</v>
      </c>
      <c r="H89" s="64">
        <f t="shared" ref="H89:H96" si="21">(0.52*SQRT($B$69)*G89^0.9*$B$67^0.8)/1000</f>
        <v>6.974712508553587</v>
      </c>
      <c r="I89" s="64">
        <f t="shared" ref="I89:I96" si="22">MIN((2.3*SQRT($B$68*$B$71*$B$69))/1000+H89/4,$B$71*G89*$B$69/1000,$B$71*G89*$B$69/1000*(SQRT(2+4*$B$68/$B$71/$B$69/G89^2)-1)+H89/4)</f>
        <v>5.8932746154210731</v>
      </c>
      <c r="J89" s="64">
        <f t="shared" ref="J89:J96" si="23">E89*B89+F89*I89</f>
        <v>17.679823846263218</v>
      </c>
    </row>
    <row r="90" spans="1:30" ht="45">
      <c r="A90" s="68" t="s">
        <v>754</v>
      </c>
      <c r="B90" s="69">
        <v>1</v>
      </c>
      <c r="C90" s="63">
        <v>54</v>
      </c>
      <c r="D90" s="64">
        <f t="shared" si="19"/>
        <v>6.974712508553587</v>
      </c>
      <c r="E90" s="64">
        <f t="shared" si="20"/>
        <v>5.8932746154210731</v>
      </c>
      <c r="F90" s="69">
        <v>2</v>
      </c>
      <c r="G90" s="63">
        <v>54</v>
      </c>
      <c r="H90" s="64">
        <f t="shared" si="21"/>
        <v>6.974712508553587</v>
      </c>
      <c r="I90" s="64">
        <f t="shared" si="22"/>
        <v>5.8932746154210731</v>
      </c>
      <c r="J90" s="64">
        <f t="shared" si="23"/>
        <v>17.679823846263218</v>
      </c>
    </row>
    <row r="91" spans="1:30" ht="58.9" customHeight="1">
      <c r="A91" s="67" t="s">
        <v>373</v>
      </c>
      <c r="B91" s="69">
        <v>1</v>
      </c>
      <c r="C91" s="63">
        <v>54</v>
      </c>
      <c r="D91" s="64">
        <f t="shared" si="19"/>
        <v>6.974712508553587</v>
      </c>
      <c r="E91" s="64">
        <f t="shared" si="20"/>
        <v>5.8932746154210731</v>
      </c>
      <c r="F91" s="69">
        <v>3</v>
      </c>
      <c r="G91" s="63">
        <v>54</v>
      </c>
      <c r="H91" s="64">
        <f t="shared" si="21"/>
        <v>6.974712508553587</v>
      </c>
      <c r="I91" s="64">
        <f t="shared" si="22"/>
        <v>5.8932746154210731</v>
      </c>
      <c r="J91" s="64">
        <f t="shared" si="23"/>
        <v>23.573098461684292</v>
      </c>
    </row>
    <row r="92" spans="1:30" ht="58.9" customHeight="1">
      <c r="A92" s="67" t="s">
        <v>755</v>
      </c>
      <c r="B92" s="69">
        <v>1</v>
      </c>
      <c r="C92" s="63">
        <v>54</v>
      </c>
      <c r="D92" s="64">
        <f t="shared" si="19"/>
        <v>6.974712508553587</v>
      </c>
      <c r="E92" s="64">
        <f t="shared" si="20"/>
        <v>5.8932746154210731</v>
      </c>
      <c r="F92" s="69">
        <v>3</v>
      </c>
      <c r="G92" s="63">
        <v>54</v>
      </c>
      <c r="H92" s="64">
        <f t="shared" si="21"/>
        <v>6.974712508553587</v>
      </c>
      <c r="I92" s="64">
        <f t="shared" si="22"/>
        <v>5.8932746154210731</v>
      </c>
      <c r="J92" s="64">
        <f t="shared" si="23"/>
        <v>23.573098461684292</v>
      </c>
    </row>
    <row r="93" spans="1:30" ht="55.9" customHeight="1">
      <c r="A93" s="67" t="s">
        <v>374</v>
      </c>
      <c r="B93" s="69">
        <v>1</v>
      </c>
      <c r="C93" s="63">
        <v>54</v>
      </c>
      <c r="D93" s="64">
        <f t="shared" si="19"/>
        <v>6.974712508553587</v>
      </c>
      <c r="E93" s="64">
        <f t="shared" si="20"/>
        <v>5.8932746154210731</v>
      </c>
      <c r="F93" s="69">
        <v>3</v>
      </c>
      <c r="G93" s="63">
        <v>54</v>
      </c>
      <c r="H93" s="64">
        <f t="shared" si="21"/>
        <v>6.974712508553587</v>
      </c>
      <c r="I93" s="64">
        <f t="shared" si="22"/>
        <v>5.8932746154210731</v>
      </c>
      <c r="J93" s="64">
        <f t="shared" si="23"/>
        <v>23.573098461684292</v>
      </c>
    </row>
    <row r="94" spans="1:30" ht="60">
      <c r="A94" s="67" t="s">
        <v>375</v>
      </c>
      <c r="B94" s="69">
        <v>1</v>
      </c>
      <c r="C94" s="63">
        <v>54</v>
      </c>
      <c r="D94" s="64">
        <f t="shared" si="19"/>
        <v>6.974712508553587</v>
      </c>
      <c r="E94" s="64">
        <f t="shared" si="20"/>
        <v>5.8932746154210731</v>
      </c>
      <c r="F94" s="69">
        <v>5</v>
      </c>
      <c r="G94" s="63">
        <v>54</v>
      </c>
      <c r="H94" s="64">
        <f t="shared" si="21"/>
        <v>6.974712508553587</v>
      </c>
      <c r="I94" s="64">
        <f t="shared" si="22"/>
        <v>5.8932746154210731</v>
      </c>
      <c r="J94" s="64">
        <f t="shared" si="23"/>
        <v>35.359647692526437</v>
      </c>
    </row>
    <row r="95" spans="1:30" ht="60">
      <c r="A95" s="67" t="s">
        <v>756</v>
      </c>
      <c r="B95" s="69">
        <v>1</v>
      </c>
      <c r="C95" s="63">
        <v>54</v>
      </c>
      <c r="D95" s="64">
        <f t="shared" si="19"/>
        <v>6.974712508553587</v>
      </c>
      <c r="E95" s="64">
        <f t="shared" si="20"/>
        <v>5.8932746154210731</v>
      </c>
      <c r="F95" s="69">
        <v>5</v>
      </c>
      <c r="G95" s="63">
        <v>54</v>
      </c>
      <c r="H95" s="64">
        <f t="shared" si="21"/>
        <v>6.974712508553587</v>
      </c>
      <c r="I95" s="64">
        <f t="shared" si="22"/>
        <v>5.8932746154210731</v>
      </c>
      <c r="J95" s="64">
        <f t="shared" si="23"/>
        <v>35.359647692526437</v>
      </c>
    </row>
    <row r="96" spans="1:30" ht="60">
      <c r="A96" s="67" t="s">
        <v>376</v>
      </c>
      <c r="B96" s="69">
        <v>1</v>
      </c>
      <c r="C96" s="63">
        <v>54</v>
      </c>
      <c r="D96" s="64">
        <f t="shared" si="19"/>
        <v>6.974712508553587</v>
      </c>
      <c r="E96" s="64">
        <f t="shared" si="20"/>
        <v>5.8932746154210731</v>
      </c>
      <c r="F96" s="69">
        <v>5</v>
      </c>
      <c r="G96" s="63">
        <v>54</v>
      </c>
      <c r="H96" s="64">
        <f t="shared" si="21"/>
        <v>6.974712508553587</v>
      </c>
      <c r="I96" s="64">
        <f t="shared" si="22"/>
        <v>5.8932746154210731</v>
      </c>
      <c r="J96" s="64">
        <f t="shared" si="23"/>
        <v>35.359647692526437</v>
      </c>
    </row>
    <row r="97" spans="1:20">
      <c r="A97" s="23"/>
      <c r="B97" s="77"/>
    </row>
    <row r="98" spans="1:20">
      <c r="A98" s="23"/>
      <c r="B98" s="77"/>
      <c r="F98" t="s">
        <v>72</v>
      </c>
      <c r="G98" s="3"/>
    </row>
    <row r="99" spans="1:20" ht="18">
      <c r="A99" s="4" t="s">
        <v>2</v>
      </c>
      <c r="B99" s="78" t="s">
        <v>61</v>
      </c>
      <c r="C99" s="78" t="s">
        <v>73</v>
      </c>
      <c r="D99" s="5" t="s">
        <v>74</v>
      </c>
      <c r="E99" s="78" t="s">
        <v>75</v>
      </c>
      <c r="F99" s="79" t="s">
        <v>76</v>
      </c>
      <c r="G99" s="80"/>
      <c r="O99" s="4" t="s">
        <v>2</v>
      </c>
      <c r="P99" s="710" t="s">
        <v>77</v>
      </c>
      <c r="Q99" s="711"/>
      <c r="R99" s="711"/>
      <c r="S99" s="711"/>
      <c r="T99" s="712"/>
    </row>
    <row r="100" spans="1:20">
      <c r="A100" s="8"/>
      <c r="B100" s="81" t="s">
        <v>17</v>
      </c>
      <c r="C100" s="82" t="s">
        <v>17</v>
      </c>
      <c r="D100" s="9" t="s">
        <v>78</v>
      </c>
      <c r="E100" s="82" t="s">
        <v>17</v>
      </c>
      <c r="F100" s="83" t="s">
        <v>17</v>
      </c>
      <c r="G100" s="84"/>
      <c r="O100" s="8"/>
      <c r="P100" s="11">
        <v>0.6</v>
      </c>
      <c r="Q100" s="11">
        <v>0.7</v>
      </c>
      <c r="R100" s="11">
        <v>0.8</v>
      </c>
      <c r="S100" s="11">
        <v>0.9</v>
      </c>
      <c r="T100" s="11">
        <v>1</v>
      </c>
    </row>
    <row r="101" spans="1:20" ht="45">
      <c r="A101" s="68" t="s">
        <v>372</v>
      </c>
      <c r="B101" s="64">
        <f t="shared" ref="B101:B108" si="24">J75</f>
        <v>12.49450681193213</v>
      </c>
      <c r="C101" s="64">
        <v>17</v>
      </c>
      <c r="D101" s="85">
        <v>2.5499999999999998</v>
      </c>
      <c r="E101" s="64">
        <f t="shared" ref="E101:E108" si="25">1/(SQRT((1/J89)^2+(1/(D101*D89))^2))</f>
        <v>12.538724423543149</v>
      </c>
      <c r="F101" s="141">
        <f t="shared" ref="F101:F108" si="26">MIN(B101,E101)</f>
        <v>12.49450681193213</v>
      </c>
      <c r="G101" s="87"/>
      <c r="O101" s="68" t="s">
        <v>372</v>
      </c>
      <c r="P101" s="88">
        <f t="shared" ref="P101:T108" si="27">MIN(P$100*$B101/1.3,$C101/1,P$100*$E101/1.3)</f>
        <v>5.7666954516609827</v>
      </c>
      <c r="Q101" s="88">
        <f t="shared" si="27"/>
        <v>6.7278113602711462</v>
      </c>
      <c r="R101" s="88">
        <f t="shared" si="27"/>
        <v>7.6889272688813115</v>
      </c>
      <c r="S101" s="88">
        <f t="shared" si="27"/>
        <v>8.6500431774914741</v>
      </c>
      <c r="T101" s="88">
        <f t="shared" si="27"/>
        <v>9.6111590861016385</v>
      </c>
    </row>
    <row r="102" spans="1:20" ht="45">
      <c r="A102" s="68" t="s">
        <v>754</v>
      </c>
      <c r="B102" s="64">
        <f t="shared" si="24"/>
        <v>17.041973016261025</v>
      </c>
      <c r="C102" s="64">
        <v>17</v>
      </c>
      <c r="D102" s="85">
        <v>2.5499999999999998</v>
      </c>
      <c r="E102" s="64">
        <f t="shared" si="25"/>
        <v>12.538724423543149</v>
      </c>
      <c r="F102" s="141">
        <f t="shared" si="26"/>
        <v>12.538724423543149</v>
      </c>
      <c r="G102" s="87"/>
      <c r="O102" s="68" t="s">
        <v>754</v>
      </c>
      <c r="P102" s="88">
        <f t="shared" si="27"/>
        <v>5.7871035800968373</v>
      </c>
      <c r="Q102" s="88">
        <f t="shared" si="27"/>
        <v>6.751620843446311</v>
      </c>
      <c r="R102" s="88">
        <f t="shared" si="27"/>
        <v>7.7161381067957846</v>
      </c>
      <c r="S102" s="88">
        <f t="shared" si="27"/>
        <v>8.6806553701452565</v>
      </c>
      <c r="T102" s="88">
        <f t="shared" si="27"/>
        <v>9.6451726334947292</v>
      </c>
    </row>
    <row r="103" spans="1:20" ht="58.15" customHeight="1">
      <c r="A103" s="67" t="s">
        <v>373</v>
      </c>
      <c r="B103" s="64">
        <f t="shared" si="24"/>
        <v>16.659342415909506</v>
      </c>
      <c r="C103" s="64">
        <v>24</v>
      </c>
      <c r="D103" s="85">
        <v>4.74</v>
      </c>
      <c r="E103" s="64">
        <f t="shared" si="25"/>
        <v>19.193549266365359</v>
      </c>
      <c r="F103" s="141">
        <f t="shared" si="26"/>
        <v>16.659342415909506</v>
      </c>
      <c r="G103" s="87"/>
      <c r="O103" s="67" t="s">
        <v>373</v>
      </c>
      <c r="P103" s="88">
        <f t="shared" si="27"/>
        <v>7.6889272688813097</v>
      </c>
      <c r="Q103" s="88">
        <f t="shared" si="27"/>
        <v>8.970415147028195</v>
      </c>
      <c r="R103" s="88">
        <f t="shared" si="27"/>
        <v>10.251903025175082</v>
      </c>
      <c r="S103" s="88">
        <f t="shared" si="27"/>
        <v>11.533390903321965</v>
      </c>
      <c r="T103" s="88">
        <f t="shared" si="27"/>
        <v>12.814878781468851</v>
      </c>
    </row>
    <row r="104" spans="1:20" ht="58.15" customHeight="1">
      <c r="A104" s="67" t="s">
        <v>755</v>
      </c>
      <c r="B104" s="64">
        <f t="shared" si="24"/>
        <v>22.722630688348033</v>
      </c>
      <c r="C104" s="64">
        <v>24</v>
      </c>
      <c r="D104" s="85">
        <v>4.74</v>
      </c>
      <c r="E104" s="64">
        <f t="shared" si="25"/>
        <v>19.193549266365359</v>
      </c>
      <c r="F104" s="141">
        <f t="shared" si="26"/>
        <v>19.193549266365359</v>
      </c>
      <c r="G104" s="87"/>
      <c r="O104" s="67" t="s">
        <v>755</v>
      </c>
      <c r="P104" s="88">
        <f t="shared" si="27"/>
        <v>8.858561199860933</v>
      </c>
      <c r="Q104" s="88">
        <f t="shared" si="27"/>
        <v>10.334988066504424</v>
      </c>
      <c r="R104" s="88">
        <f t="shared" si="27"/>
        <v>11.811414933147914</v>
      </c>
      <c r="S104" s="88">
        <f t="shared" si="27"/>
        <v>13.287841799791401</v>
      </c>
      <c r="T104" s="88">
        <f t="shared" si="27"/>
        <v>14.764268666434891</v>
      </c>
    </row>
    <row r="105" spans="1:20" ht="58.15" customHeight="1">
      <c r="A105" s="67" t="s">
        <v>374</v>
      </c>
      <c r="B105" s="64">
        <f t="shared" si="24"/>
        <v>16.659342415909506</v>
      </c>
      <c r="C105" s="64">
        <v>24</v>
      </c>
      <c r="D105" s="85">
        <v>4.95</v>
      </c>
      <c r="E105" s="64">
        <f t="shared" si="25"/>
        <v>19.467956736265833</v>
      </c>
      <c r="F105" s="141">
        <f t="shared" si="26"/>
        <v>16.659342415909506</v>
      </c>
      <c r="G105" s="87"/>
      <c r="O105" s="67" t="s">
        <v>374</v>
      </c>
      <c r="P105" s="88">
        <f t="shared" si="27"/>
        <v>7.6889272688813097</v>
      </c>
      <c r="Q105" s="88">
        <f t="shared" si="27"/>
        <v>8.970415147028195</v>
      </c>
      <c r="R105" s="88">
        <f t="shared" si="27"/>
        <v>10.251903025175082</v>
      </c>
      <c r="S105" s="88">
        <f t="shared" si="27"/>
        <v>11.533390903321965</v>
      </c>
      <c r="T105" s="88">
        <f t="shared" si="27"/>
        <v>12.814878781468851</v>
      </c>
    </row>
    <row r="106" spans="1:20" ht="60">
      <c r="A106" s="67" t="s">
        <v>375</v>
      </c>
      <c r="B106" s="64">
        <f t="shared" si="24"/>
        <v>24.98901362386426</v>
      </c>
      <c r="C106" s="64">
        <v>33</v>
      </c>
      <c r="D106" s="85">
        <v>8.84</v>
      </c>
      <c r="E106" s="64">
        <f t="shared" si="25"/>
        <v>30.673435303237074</v>
      </c>
      <c r="F106" s="141">
        <f t="shared" si="26"/>
        <v>24.98901362386426</v>
      </c>
      <c r="G106" s="89"/>
      <c r="O106" s="67" t="s">
        <v>375</v>
      </c>
      <c r="P106" s="88">
        <f t="shared" si="27"/>
        <v>11.533390903321965</v>
      </c>
      <c r="Q106" s="88">
        <f t="shared" si="27"/>
        <v>13.455622720542292</v>
      </c>
      <c r="R106" s="88">
        <f t="shared" si="27"/>
        <v>15.377854537762623</v>
      </c>
      <c r="S106" s="88">
        <f t="shared" si="27"/>
        <v>17.300086354982948</v>
      </c>
      <c r="T106" s="88">
        <f t="shared" si="27"/>
        <v>19.222318172203277</v>
      </c>
    </row>
    <row r="107" spans="1:20" ht="60">
      <c r="A107" s="67" t="s">
        <v>756</v>
      </c>
      <c r="B107" s="64">
        <f t="shared" si="24"/>
        <v>34.08394603252205</v>
      </c>
      <c r="C107" s="64">
        <v>33</v>
      </c>
      <c r="D107" s="85">
        <v>8.84</v>
      </c>
      <c r="E107" s="64">
        <f t="shared" si="25"/>
        <v>30.673435303237074</v>
      </c>
      <c r="F107" s="141">
        <f t="shared" si="26"/>
        <v>30.673435303237074</v>
      </c>
      <c r="G107" s="89"/>
      <c r="O107" s="67" t="s">
        <v>756</v>
      </c>
      <c r="P107" s="88">
        <f t="shared" si="27"/>
        <v>14.156970139955572</v>
      </c>
      <c r="Q107" s="88">
        <f t="shared" si="27"/>
        <v>16.516465163281499</v>
      </c>
      <c r="R107" s="88">
        <f t="shared" si="27"/>
        <v>18.875960186607433</v>
      </c>
      <c r="S107" s="88">
        <f t="shared" si="27"/>
        <v>21.23545520993336</v>
      </c>
      <c r="T107" s="88">
        <f t="shared" si="27"/>
        <v>23.594950233259286</v>
      </c>
    </row>
    <row r="108" spans="1:20" ht="60">
      <c r="A108" s="67" t="s">
        <v>376</v>
      </c>
      <c r="B108" s="64">
        <f t="shared" si="24"/>
        <v>20.824178019886883</v>
      </c>
      <c r="C108" s="64">
        <v>33</v>
      </c>
      <c r="D108" s="85">
        <v>8.15</v>
      </c>
      <c r="E108" s="64">
        <f t="shared" si="25"/>
        <v>30.024686389656786</v>
      </c>
      <c r="F108" s="141">
        <f t="shared" si="26"/>
        <v>20.824178019886883</v>
      </c>
      <c r="G108" s="89"/>
      <c r="O108" s="67" t="s">
        <v>376</v>
      </c>
      <c r="P108" s="88">
        <f t="shared" si="27"/>
        <v>9.6111590861016385</v>
      </c>
      <c r="Q108" s="88">
        <f t="shared" si="27"/>
        <v>11.213018933785243</v>
      </c>
      <c r="R108" s="88">
        <f t="shared" si="27"/>
        <v>12.814878781468851</v>
      </c>
      <c r="S108" s="88">
        <f t="shared" si="27"/>
        <v>14.416738629152459</v>
      </c>
      <c r="T108" s="88">
        <f t="shared" si="27"/>
        <v>16.018598476836065</v>
      </c>
    </row>
    <row r="109" spans="1:20">
      <c r="A109" s="23"/>
      <c r="B109" s="77"/>
    </row>
    <row r="110" spans="1:20">
      <c r="A110" s="23"/>
      <c r="B110" s="77"/>
    </row>
    <row r="111" spans="1:20">
      <c r="A111" s="23"/>
      <c r="B111" s="77"/>
    </row>
    <row r="112" spans="1:20">
      <c r="A112" s="23"/>
      <c r="B112" s="77"/>
    </row>
    <row r="113" spans="1:12" ht="18.75">
      <c r="A113" s="56" t="s">
        <v>79</v>
      </c>
      <c r="B113" s="77"/>
    </row>
    <row r="115" spans="1:12">
      <c r="A115" s="21" t="s">
        <v>37</v>
      </c>
      <c r="B115" t="str">
        <f>'Load bearing values_RICON_EN'!F5</f>
        <v>GL24h</v>
      </c>
    </row>
    <row r="116" spans="1:12" ht="18">
      <c r="A116" s="23" t="s">
        <v>39</v>
      </c>
      <c r="B116" s="24">
        <f>VLOOKUP(B115,$V$7:$W$18,2,FALSE)</f>
        <v>385</v>
      </c>
      <c r="C116" t="s">
        <v>40</v>
      </c>
    </row>
    <row r="117" spans="1:12" ht="18">
      <c r="A117" s="23" t="s">
        <v>62</v>
      </c>
      <c r="B117" s="90">
        <v>13000</v>
      </c>
      <c r="C117" s="90">
        <v>3900</v>
      </c>
      <c r="D117" t="s">
        <v>63</v>
      </c>
    </row>
    <row r="118" spans="1:12">
      <c r="A118" s="23" t="s">
        <v>64</v>
      </c>
      <c r="B118" s="90">
        <v>8</v>
      </c>
      <c r="C118" s="90">
        <v>5</v>
      </c>
      <c r="D118" t="s">
        <v>65</v>
      </c>
    </row>
    <row r="119" spans="1:12" ht="18">
      <c r="A119" s="23" t="s">
        <v>66</v>
      </c>
      <c r="B119" s="539">
        <f>0.082*$B$116*B118^-0.3/2.5</f>
        <v>6.767177642454155</v>
      </c>
      <c r="C119" s="539">
        <f>0.082*$B$116*C118^-0.3/2.5</f>
        <v>7.7919036184282815</v>
      </c>
      <c r="D119" t="s">
        <v>67</v>
      </c>
    </row>
    <row r="120" spans="1:12" ht="18">
      <c r="A120" s="23" t="s">
        <v>68</v>
      </c>
      <c r="B120" s="76">
        <f>0.082*B118^-0.3*$B$116</f>
        <v>16.917944106135387</v>
      </c>
      <c r="C120" s="76">
        <f>0.082*C118^-0.3*$B$116</f>
        <v>19.479759046070704</v>
      </c>
      <c r="D120" t="s">
        <v>67</v>
      </c>
    </row>
    <row r="121" spans="1:12">
      <c r="A121" s="23"/>
      <c r="B121" s="77"/>
    </row>
    <row r="122" spans="1:12">
      <c r="A122" s="23"/>
      <c r="B122" s="77"/>
    </row>
    <row r="123" spans="1:12" ht="18">
      <c r="A123" s="4" t="s">
        <v>2</v>
      </c>
      <c r="B123" s="5" t="s">
        <v>43</v>
      </c>
      <c r="C123" s="5" t="s">
        <v>9</v>
      </c>
      <c r="D123" s="5" t="s">
        <v>44</v>
      </c>
      <c r="E123" s="5" t="s">
        <v>59</v>
      </c>
      <c r="F123" s="5" t="s">
        <v>60</v>
      </c>
      <c r="G123" s="5" t="s">
        <v>43</v>
      </c>
      <c r="H123" s="5" t="s">
        <v>9</v>
      </c>
      <c r="I123" s="5" t="s">
        <v>44</v>
      </c>
      <c r="J123" s="5" t="s">
        <v>59</v>
      </c>
      <c r="K123" s="5" t="s">
        <v>60</v>
      </c>
      <c r="L123" s="5" t="s">
        <v>61</v>
      </c>
    </row>
    <row r="124" spans="1:12">
      <c r="A124" s="8"/>
      <c r="B124" s="9" t="s">
        <v>19</v>
      </c>
      <c r="C124" s="9" t="s">
        <v>18</v>
      </c>
      <c r="D124" s="9" t="s">
        <v>18</v>
      </c>
      <c r="E124" s="9" t="s">
        <v>17</v>
      </c>
      <c r="F124" s="9" t="s">
        <v>17</v>
      </c>
      <c r="G124" s="9" t="s">
        <v>19</v>
      </c>
      <c r="H124" s="9" t="s">
        <v>18</v>
      </c>
      <c r="I124" s="9" t="s">
        <v>18</v>
      </c>
      <c r="J124" s="9" t="s">
        <v>17</v>
      </c>
      <c r="K124" s="9" t="s">
        <v>17</v>
      </c>
      <c r="L124" s="62" t="s">
        <v>17</v>
      </c>
    </row>
    <row r="125" spans="1:12" ht="45">
      <c r="A125" s="396" t="s">
        <v>356</v>
      </c>
      <c r="B125" s="304">
        <v>1</v>
      </c>
      <c r="C125" s="304">
        <v>8</v>
      </c>
      <c r="D125" s="407">
        <v>65</v>
      </c>
      <c r="E125" s="447">
        <f t="shared" ref="E125:E130" si="28">($E$140*0.52*SQRT($C125)*D125^0.9*$B$116^0.8)/1000</f>
        <v>2.2113638026311735</v>
      </c>
      <c r="F125" s="447">
        <f t="shared" ref="F125:F139" si="29">MIN($B$119*$D125*$B$118/1000,(2.3*SQRT($B$117*$B$119*$B$118))/1000+(E125/4),$B$119*$D125*$B$118*(SQRT(2+4*$B$117/($B$119*$D125^2*$B$118))-1)/1000+E125/4)</f>
        <v>2.2856621890337152</v>
      </c>
      <c r="G125" s="304">
        <v>2</v>
      </c>
      <c r="H125" s="304">
        <v>5</v>
      </c>
      <c r="I125" s="407">
        <v>70</v>
      </c>
      <c r="J125" s="447">
        <f t="shared" ref="J125:J139" si="30">($E$140*0.52*SQRT($H125)*I125^0.9*$B$116^0.8)/1000</f>
        <v>1.8688154683555778</v>
      </c>
      <c r="K125" s="447">
        <f t="shared" ref="K125:K139" si="31">MIN($C$119*$I125*$C$118/1000,(2.3*SQRT($C$117*$C$119*$C$118))/1000+(J125/4),$C$119*$I125*$C$119*(SQRT(2+4*$C$117/($C$119*$I125^2*$C$118))-1)/1000+J125/4)</f>
        <v>1.3637382042779223</v>
      </c>
      <c r="L125" s="447">
        <f>B125*F125+G125*K125</f>
        <v>5.0131385975895597</v>
      </c>
    </row>
    <row r="126" spans="1:12" ht="45">
      <c r="A126" s="396" t="s">
        <v>360</v>
      </c>
      <c r="B126" s="304">
        <v>2</v>
      </c>
      <c r="C126" s="304">
        <v>8</v>
      </c>
      <c r="D126" s="407">
        <v>65</v>
      </c>
      <c r="E126" s="447">
        <f t="shared" si="28"/>
        <v>2.2113638026311735</v>
      </c>
      <c r="F126" s="447">
        <f t="shared" si="29"/>
        <v>2.2856621890337152</v>
      </c>
      <c r="G126" s="304">
        <v>2</v>
      </c>
      <c r="H126" s="304">
        <v>5</v>
      </c>
      <c r="I126" s="407">
        <v>70</v>
      </c>
      <c r="J126" s="447">
        <f t="shared" si="30"/>
        <v>1.8688154683555778</v>
      </c>
      <c r="K126" s="447">
        <f t="shared" si="31"/>
        <v>1.3637382042779223</v>
      </c>
      <c r="L126" s="447">
        <f t="shared" ref="L126:L139" si="32">B126*F126+G126*K126</f>
        <v>7.2988007866232749</v>
      </c>
    </row>
    <row r="127" spans="1:12" ht="45">
      <c r="A127" s="396" t="s">
        <v>357</v>
      </c>
      <c r="B127" s="304">
        <v>2</v>
      </c>
      <c r="C127" s="304">
        <v>8</v>
      </c>
      <c r="D127" s="407">
        <v>65</v>
      </c>
      <c r="E127" s="447">
        <f t="shared" si="28"/>
        <v>2.2113638026311735</v>
      </c>
      <c r="F127" s="447">
        <f t="shared" si="29"/>
        <v>2.2856621890337152</v>
      </c>
      <c r="G127" s="304">
        <v>4</v>
      </c>
      <c r="H127" s="304">
        <v>5</v>
      </c>
      <c r="I127" s="407">
        <v>70</v>
      </c>
      <c r="J127" s="447">
        <f t="shared" si="30"/>
        <v>1.8688154683555778</v>
      </c>
      <c r="K127" s="447">
        <f t="shared" si="31"/>
        <v>1.3637382042779223</v>
      </c>
      <c r="L127" s="447">
        <f t="shared" si="32"/>
        <v>10.026277195179119</v>
      </c>
    </row>
    <row r="128" spans="1:12" ht="45">
      <c r="A128" s="396" t="s">
        <v>359</v>
      </c>
      <c r="B128" s="304">
        <v>2</v>
      </c>
      <c r="C128" s="304">
        <v>8</v>
      </c>
      <c r="D128" s="407">
        <v>65</v>
      </c>
      <c r="E128" s="447">
        <f t="shared" si="28"/>
        <v>2.2113638026311735</v>
      </c>
      <c r="F128" s="447">
        <f t="shared" si="29"/>
        <v>2.2856621890337152</v>
      </c>
      <c r="G128" s="304">
        <v>6</v>
      </c>
      <c r="H128" s="304">
        <v>5</v>
      </c>
      <c r="I128" s="407">
        <v>70</v>
      </c>
      <c r="J128" s="447">
        <f t="shared" si="30"/>
        <v>1.8688154683555778</v>
      </c>
      <c r="K128" s="447">
        <f t="shared" si="31"/>
        <v>1.3637382042779223</v>
      </c>
      <c r="L128" s="447">
        <f t="shared" si="32"/>
        <v>12.753753603734964</v>
      </c>
    </row>
    <row r="129" spans="1:12" ht="45">
      <c r="A129" s="396" t="s">
        <v>358</v>
      </c>
      <c r="B129" s="304">
        <v>2</v>
      </c>
      <c r="C129" s="304">
        <v>8</v>
      </c>
      <c r="D129" s="407">
        <v>65</v>
      </c>
      <c r="E129" s="447">
        <f t="shared" si="28"/>
        <v>2.2113638026311735</v>
      </c>
      <c r="F129" s="447">
        <f t="shared" si="29"/>
        <v>2.2856621890337152</v>
      </c>
      <c r="G129" s="304">
        <v>8</v>
      </c>
      <c r="H129" s="304">
        <v>5</v>
      </c>
      <c r="I129" s="407">
        <v>70</v>
      </c>
      <c r="J129" s="447">
        <f t="shared" si="30"/>
        <v>1.8688154683555778</v>
      </c>
      <c r="K129" s="447">
        <f t="shared" si="31"/>
        <v>1.3637382042779223</v>
      </c>
      <c r="L129" s="447">
        <f t="shared" si="32"/>
        <v>15.481230012290808</v>
      </c>
    </row>
    <row r="130" spans="1:12" ht="45">
      <c r="A130" s="396" t="s">
        <v>361</v>
      </c>
      <c r="B130" s="304">
        <v>2</v>
      </c>
      <c r="C130" s="304">
        <v>8</v>
      </c>
      <c r="D130" s="407">
        <v>65</v>
      </c>
      <c r="E130" s="447">
        <f t="shared" si="28"/>
        <v>2.2113638026311735</v>
      </c>
      <c r="F130" s="447">
        <f t="shared" si="29"/>
        <v>2.2856621890337152</v>
      </c>
      <c r="G130" s="304">
        <v>10</v>
      </c>
      <c r="H130" s="304">
        <v>5</v>
      </c>
      <c r="I130" s="407">
        <v>70</v>
      </c>
      <c r="J130" s="447">
        <f t="shared" si="30"/>
        <v>1.8688154683555778</v>
      </c>
      <c r="K130" s="447">
        <f t="shared" si="31"/>
        <v>1.3637382042779223</v>
      </c>
      <c r="L130" s="447">
        <f t="shared" si="32"/>
        <v>18.208706420846653</v>
      </c>
    </row>
    <row r="131" spans="1:12" ht="45">
      <c r="A131" s="408" t="s">
        <v>788</v>
      </c>
      <c r="B131" s="304">
        <v>2</v>
      </c>
      <c r="C131" s="304">
        <v>8</v>
      </c>
      <c r="D131" s="410">
        <f>160-15</f>
        <v>145</v>
      </c>
      <c r="E131" s="447">
        <f>($E$141*0.52*SQRT($C131)*D131^0.9*$B$116^0.8)/1000</f>
        <v>9.1054072130615449</v>
      </c>
      <c r="F131" s="447">
        <f t="shared" si="29"/>
        <v>4.2058674035580026</v>
      </c>
      <c r="G131" s="304">
        <v>4</v>
      </c>
      <c r="H131" s="304">
        <v>5</v>
      </c>
      <c r="I131" s="407">
        <v>70</v>
      </c>
      <c r="J131" s="447">
        <f t="shared" si="30"/>
        <v>1.8688154683555778</v>
      </c>
      <c r="K131" s="447">
        <f t="shared" si="31"/>
        <v>1.3637382042779223</v>
      </c>
      <c r="L131" s="447">
        <f t="shared" si="32"/>
        <v>13.866687624227694</v>
      </c>
    </row>
    <row r="132" spans="1:12" ht="45">
      <c r="A132" s="408" t="s">
        <v>757</v>
      </c>
      <c r="B132" s="304">
        <v>2</v>
      </c>
      <c r="C132" s="304">
        <v>8</v>
      </c>
      <c r="D132" s="410">
        <f>160-15</f>
        <v>145</v>
      </c>
      <c r="E132" s="447">
        <f>($E$141*0.52*SQRT($C132)*D132^0.9*$B$116^0.8)/1000</f>
        <v>9.1054072130615449</v>
      </c>
      <c r="F132" s="447">
        <f t="shared" ref="F132" si="33">MIN($B$119*$D132*$B$118/1000,(2.3*SQRT($B$117*$B$119*$B$118))/1000+(E132/4),$B$119*$D132*$B$118*(SQRT(2+4*$B$117/($B$119*$D132^2*$B$118))-1)/1000+E132/4)</f>
        <v>4.2058674035580026</v>
      </c>
      <c r="G132" s="304">
        <v>6</v>
      </c>
      <c r="H132" s="304">
        <v>5</v>
      </c>
      <c r="I132" s="407">
        <v>70</v>
      </c>
      <c r="J132" s="447">
        <f t="shared" si="30"/>
        <v>1.8688154683555778</v>
      </c>
      <c r="K132" s="447">
        <f t="shared" ref="K132" si="34">MIN($C$119*$I132*$C$118/1000,(2.3*SQRT($C$117*$C$119*$C$118))/1000+(J132/4),$C$119*$I132*$C$119*(SQRT(2+4*$C$117/($C$119*$I132^2*$C$118))-1)/1000+J132/4)</f>
        <v>1.3637382042779223</v>
      </c>
      <c r="L132" s="447">
        <f t="shared" ref="L132" si="35">B132*F132+G132*K132</f>
        <v>16.594164032783539</v>
      </c>
    </row>
    <row r="133" spans="1:12" ht="45">
      <c r="A133" s="408" t="s">
        <v>362</v>
      </c>
      <c r="B133" s="304">
        <v>2</v>
      </c>
      <c r="C133" s="304">
        <v>8</v>
      </c>
      <c r="D133" s="410">
        <f>160-15</f>
        <v>145</v>
      </c>
      <c r="E133" s="447">
        <f>($E$141*0.52*SQRT($C133)*D133^0.9*$B$116^0.8)/1000</f>
        <v>9.1054072130615449</v>
      </c>
      <c r="F133" s="447">
        <f t="shared" si="29"/>
        <v>4.2058674035580026</v>
      </c>
      <c r="G133" s="304">
        <v>8</v>
      </c>
      <c r="H133" s="304">
        <v>5</v>
      </c>
      <c r="I133" s="407">
        <v>70</v>
      </c>
      <c r="J133" s="447">
        <f t="shared" si="30"/>
        <v>1.8688154683555778</v>
      </c>
      <c r="K133" s="447">
        <f t="shared" si="31"/>
        <v>1.3637382042779223</v>
      </c>
      <c r="L133" s="447">
        <f t="shared" si="32"/>
        <v>19.321640441339383</v>
      </c>
    </row>
    <row r="134" spans="1:12" ht="45">
      <c r="A134" s="408" t="s">
        <v>363</v>
      </c>
      <c r="B134" s="304">
        <v>2</v>
      </c>
      <c r="C134" s="304">
        <v>8</v>
      </c>
      <c r="D134" s="410">
        <f>160-15</f>
        <v>145</v>
      </c>
      <c r="E134" s="447">
        <f>($E$141*0.52*SQRT($C134)*D134^0.9*$B$116^0.8)/1000</f>
        <v>9.1054072130615449</v>
      </c>
      <c r="F134" s="447">
        <f t="shared" si="29"/>
        <v>4.2058674035580026</v>
      </c>
      <c r="G134" s="304">
        <v>10</v>
      </c>
      <c r="H134" s="304">
        <v>5</v>
      </c>
      <c r="I134" s="407">
        <v>70</v>
      </c>
      <c r="J134" s="447">
        <f t="shared" si="30"/>
        <v>1.8688154683555778</v>
      </c>
      <c r="K134" s="447">
        <f t="shared" si="31"/>
        <v>1.3637382042779223</v>
      </c>
      <c r="L134" s="447">
        <f t="shared" si="32"/>
        <v>22.049116849895228</v>
      </c>
    </row>
    <row r="135" spans="1:12" ht="45">
      <c r="A135" s="396" t="s">
        <v>364</v>
      </c>
      <c r="B135" s="304">
        <v>3</v>
      </c>
      <c r="C135" s="304">
        <v>8</v>
      </c>
      <c r="D135" s="407">
        <v>65</v>
      </c>
      <c r="E135" s="447">
        <f>($E$140*0.52*SQRT($C135)*D135^0.9*$B$116^0.8)/1000</f>
        <v>2.2113638026311735</v>
      </c>
      <c r="F135" s="447">
        <f t="shared" si="29"/>
        <v>2.2856621890337152</v>
      </c>
      <c r="G135" s="304">
        <v>4</v>
      </c>
      <c r="H135" s="304">
        <v>5</v>
      </c>
      <c r="I135" s="407">
        <v>70</v>
      </c>
      <c r="J135" s="447">
        <f t="shared" si="30"/>
        <v>1.8688154683555778</v>
      </c>
      <c r="K135" s="447">
        <f t="shared" si="31"/>
        <v>1.3637382042779223</v>
      </c>
      <c r="L135" s="447">
        <f t="shared" si="32"/>
        <v>12.311939384212835</v>
      </c>
    </row>
    <row r="136" spans="1:12" ht="43.5" customHeight="1">
      <c r="A136" s="396" t="s">
        <v>365</v>
      </c>
      <c r="B136" s="304">
        <v>3</v>
      </c>
      <c r="C136" s="304">
        <v>8</v>
      </c>
      <c r="D136" s="407">
        <v>65</v>
      </c>
      <c r="E136" s="447">
        <f>($E$140*0.52*SQRT($C136)*D136^0.9*$B$116^0.8)/1000</f>
        <v>2.2113638026311735</v>
      </c>
      <c r="F136" s="447">
        <f t="shared" si="29"/>
        <v>2.2856621890337152</v>
      </c>
      <c r="G136" s="304">
        <v>8</v>
      </c>
      <c r="H136" s="304">
        <v>5</v>
      </c>
      <c r="I136" s="407">
        <v>70</v>
      </c>
      <c r="J136" s="447">
        <f t="shared" si="30"/>
        <v>1.8688154683555778</v>
      </c>
      <c r="K136" s="447">
        <f t="shared" si="31"/>
        <v>1.3637382042779223</v>
      </c>
      <c r="L136" s="447">
        <f t="shared" si="32"/>
        <v>17.766892201324524</v>
      </c>
    </row>
    <row r="137" spans="1:12" ht="43.5" customHeight="1">
      <c r="A137" s="396" t="s">
        <v>366</v>
      </c>
      <c r="B137" s="304">
        <v>3</v>
      </c>
      <c r="C137" s="304">
        <v>8</v>
      </c>
      <c r="D137" s="407">
        <v>65</v>
      </c>
      <c r="E137" s="447">
        <f>($E$140*0.52*SQRT($C137)*D137^0.9*$B$116^0.8)/1000</f>
        <v>2.2113638026311735</v>
      </c>
      <c r="F137" s="447">
        <f t="shared" si="29"/>
        <v>2.2856621890337152</v>
      </c>
      <c r="G137" s="304">
        <v>12</v>
      </c>
      <c r="H137" s="304">
        <v>5</v>
      </c>
      <c r="I137" s="407">
        <v>70</v>
      </c>
      <c r="J137" s="447">
        <f t="shared" si="30"/>
        <v>1.8688154683555778</v>
      </c>
      <c r="K137" s="447">
        <f t="shared" si="31"/>
        <v>1.3637382042779223</v>
      </c>
      <c r="L137" s="447">
        <f t="shared" si="32"/>
        <v>23.221845018436213</v>
      </c>
    </row>
    <row r="138" spans="1:12" ht="43.5" customHeight="1">
      <c r="A138" s="396" t="s">
        <v>367</v>
      </c>
      <c r="B138" s="304">
        <v>3</v>
      </c>
      <c r="C138" s="304">
        <v>8</v>
      </c>
      <c r="D138" s="407">
        <v>65</v>
      </c>
      <c r="E138" s="447">
        <f>($E$140*0.52*SQRT($C138)*D138^0.9*$B$116^0.8)/1000</f>
        <v>2.2113638026311735</v>
      </c>
      <c r="F138" s="447">
        <f t="shared" si="29"/>
        <v>2.2856621890337152</v>
      </c>
      <c r="G138" s="304">
        <v>16</v>
      </c>
      <c r="H138" s="304">
        <v>5</v>
      </c>
      <c r="I138" s="407">
        <v>70</v>
      </c>
      <c r="J138" s="447">
        <f t="shared" si="30"/>
        <v>1.8688154683555778</v>
      </c>
      <c r="K138" s="447">
        <f t="shared" si="31"/>
        <v>1.3637382042779223</v>
      </c>
      <c r="L138" s="447">
        <f t="shared" si="32"/>
        <v>28.676797835547902</v>
      </c>
    </row>
    <row r="139" spans="1:12" ht="43.5" customHeight="1">
      <c r="A139" s="396" t="s">
        <v>368</v>
      </c>
      <c r="B139" s="304">
        <v>3</v>
      </c>
      <c r="C139" s="304">
        <v>8</v>
      </c>
      <c r="D139" s="407">
        <v>65</v>
      </c>
      <c r="E139" s="447">
        <f>($E$140*0.52*SQRT($C139)*D139^0.9*$B$116^0.8)/1000</f>
        <v>2.2113638026311735</v>
      </c>
      <c r="F139" s="447">
        <f t="shared" si="29"/>
        <v>2.2856621890337152</v>
      </c>
      <c r="G139" s="304">
        <v>20</v>
      </c>
      <c r="H139" s="304">
        <v>5</v>
      </c>
      <c r="I139" s="407">
        <v>70</v>
      </c>
      <c r="J139" s="447">
        <f t="shared" si="30"/>
        <v>1.8688154683555778</v>
      </c>
      <c r="K139" s="447">
        <f t="shared" si="31"/>
        <v>1.3637382042779223</v>
      </c>
      <c r="L139" s="447">
        <f t="shared" si="32"/>
        <v>34.131750652659591</v>
      </c>
    </row>
    <row r="140" spans="1:12">
      <c r="A140" s="111"/>
      <c r="B140" s="376"/>
      <c r="C140" s="376"/>
      <c r="D140" s="377" t="s">
        <v>355</v>
      </c>
      <c r="E140" s="395">
        <v>0.3</v>
      </c>
      <c r="G140" s="376"/>
      <c r="H140" s="376"/>
      <c r="I140" s="392"/>
      <c r="J140" s="377"/>
      <c r="K140" s="377"/>
      <c r="L140" s="377"/>
    </row>
    <row r="141" spans="1:12">
      <c r="A141" s="132"/>
      <c r="B141" s="122"/>
      <c r="C141" s="122"/>
      <c r="D141" s="123" t="s">
        <v>355</v>
      </c>
      <c r="E141" s="405">
        <v>0.6</v>
      </c>
      <c r="F141" s="123"/>
      <c r="G141" s="122"/>
      <c r="H141" s="122"/>
      <c r="I141" s="314"/>
      <c r="J141" s="123"/>
      <c r="K141" s="123"/>
      <c r="L141" s="123"/>
    </row>
    <row r="142" spans="1:12">
      <c r="A142" s="247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</row>
    <row r="143" spans="1:12">
      <c r="A143" s="393"/>
      <c r="B143" s="394"/>
      <c r="C143" s="394"/>
      <c r="D143" s="394"/>
      <c r="E143" s="394"/>
      <c r="F143" s="394"/>
      <c r="G143" s="394"/>
      <c r="H143" s="394"/>
      <c r="I143" s="394"/>
      <c r="J143" s="394"/>
      <c r="K143" s="394"/>
      <c r="L143" s="394"/>
    </row>
    <row r="144" spans="1:12" ht="18">
      <c r="A144" s="4" t="s">
        <v>2</v>
      </c>
      <c r="B144" s="92" t="s">
        <v>43</v>
      </c>
      <c r="C144" s="92" t="s">
        <v>9</v>
      </c>
      <c r="D144" s="92" t="s">
        <v>80</v>
      </c>
      <c r="E144" s="92" t="s">
        <v>81</v>
      </c>
      <c r="F144" s="92" t="s">
        <v>82</v>
      </c>
      <c r="G144" s="92" t="s">
        <v>43</v>
      </c>
      <c r="H144" s="92" t="s">
        <v>9</v>
      </c>
      <c r="I144" s="92" t="s">
        <v>80</v>
      </c>
      <c r="J144" s="92" t="s">
        <v>81</v>
      </c>
      <c r="K144" s="92" t="s">
        <v>82</v>
      </c>
      <c r="L144" s="92" t="s">
        <v>83</v>
      </c>
    </row>
    <row r="145" spans="1:12">
      <c r="A145" s="8"/>
      <c r="B145" s="93" t="s">
        <v>19</v>
      </c>
      <c r="C145" s="93" t="s">
        <v>18</v>
      </c>
      <c r="D145" s="93" t="s">
        <v>18</v>
      </c>
      <c r="E145" s="93" t="s">
        <v>17</v>
      </c>
      <c r="F145" s="93" t="s">
        <v>17</v>
      </c>
      <c r="G145" s="93" t="s">
        <v>19</v>
      </c>
      <c r="H145" s="93" t="s">
        <v>18</v>
      </c>
      <c r="I145" s="93" t="s">
        <v>18</v>
      </c>
      <c r="J145" s="93" t="s">
        <v>17</v>
      </c>
      <c r="K145" s="93" t="s">
        <v>17</v>
      </c>
      <c r="L145" s="94" t="s">
        <v>17</v>
      </c>
    </row>
    <row r="146" spans="1:12" ht="45">
      <c r="A146" s="396" t="s">
        <v>356</v>
      </c>
      <c r="B146" s="304">
        <v>1</v>
      </c>
      <c r="C146" s="304">
        <v>8</v>
      </c>
      <c r="D146" s="407">
        <v>35</v>
      </c>
      <c r="E146" s="447">
        <f>(0.52*SQRT($C146)*D146^0.9*$B$116^0.8)/1000</f>
        <v>4.2225826668958426</v>
      </c>
      <c r="F146" s="447">
        <f t="shared" ref="F146:F160" si="36">MIN($B$120*$B$118*D146/1000,2.3*SQRT($B$117*$B$120*$B$118)/1000+(E146/4),$B$120*$B$118*D146/1000*(SQRT(2+4*$B$117/($B$120*$B$118*D146^2))-1)+E146/4)</f>
        <v>3.5239432478980408</v>
      </c>
      <c r="G146" s="304">
        <v>2</v>
      </c>
      <c r="H146" s="304">
        <v>5</v>
      </c>
      <c r="I146" s="407">
        <v>40</v>
      </c>
      <c r="J146" s="447">
        <f>(0.52*SQRT($C$118)*I146^0.9*$B$116^0.8)/1000</f>
        <v>3.7645313796964266</v>
      </c>
      <c r="K146" s="447">
        <f t="shared" ref="K146:K160" si="37">MIN($C$120*$C$118*I146/1000,2.3*SQRT($C$117*$C$120*$C$118)/1000+(J146/4),$C$120*$C$118*I146/1000*(SQRT(2+4*$C$117/($C$120*$C$118*I146^2))-1)+J146/4)</f>
        <v>2.3586780979574704</v>
      </c>
      <c r="L146" s="447">
        <f>B146*F146+G146*K146</f>
        <v>8.2412994438129807</v>
      </c>
    </row>
    <row r="147" spans="1:12" ht="45">
      <c r="A147" s="396" t="s">
        <v>360</v>
      </c>
      <c r="B147" s="304">
        <v>2</v>
      </c>
      <c r="C147" s="304">
        <v>8</v>
      </c>
      <c r="D147" s="407">
        <v>35</v>
      </c>
      <c r="E147" s="447">
        <f t="shared" ref="E147:E160" si="38">(0.52*SQRT($C147)*D147^0.9*$B$116^0.8)/1000</f>
        <v>4.2225826668958426</v>
      </c>
      <c r="F147" s="447">
        <f t="shared" si="36"/>
        <v>3.5239432478980408</v>
      </c>
      <c r="G147" s="304">
        <v>2</v>
      </c>
      <c r="H147" s="304">
        <v>5</v>
      </c>
      <c r="I147" s="407">
        <v>40</v>
      </c>
      <c r="J147" s="447">
        <f t="shared" ref="J147:J160" si="39">(0.52*SQRT($C$118)*I147^0.9*$B$116^0.8)/1000</f>
        <v>3.7645313796964266</v>
      </c>
      <c r="K147" s="447">
        <f t="shared" si="37"/>
        <v>2.3586780979574704</v>
      </c>
      <c r="L147" s="447">
        <f t="shared" ref="L147:L160" si="40">B147*F147+G147*K147</f>
        <v>11.765242691711023</v>
      </c>
    </row>
    <row r="148" spans="1:12" ht="45">
      <c r="A148" s="396" t="s">
        <v>357</v>
      </c>
      <c r="B148" s="304">
        <v>2</v>
      </c>
      <c r="C148" s="304">
        <v>8</v>
      </c>
      <c r="D148" s="407">
        <v>35</v>
      </c>
      <c r="E148" s="447">
        <f t="shared" si="38"/>
        <v>4.2225826668958426</v>
      </c>
      <c r="F148" s="447">
        <f t="shared" si="36"/>
        <v>3.5239432478980408</v>
      </c>
      <c r="G148" s="304">
        <v>4</v>
      </c>
      <c r="H148" s="304">
        <v>5</v>
      </c>
      <c r="I148" s="407">
        <v>40</v>
      </c>
      <c r="J148" s="447">
        <f t="shared" si="39"/>
        <v>3.7645313796964266</v>
      </c>
      <c r="K148" s="447">
        <f t="shared" si="37"/>
        <v>2.3586780979574704</v>
      </c>
      <c r="L148" s="447">
        <f t="shared" si="40"/>
        <v>16.482598887625961</v>
      </c>
    </row>
    <row r="149" spans="1:12" ht="45">
      <c r="A149" s="396" t="s">
        <v>359</v>
      </c>
      <c r="B149" s="304">
        <v>2</v>
      </c>
      <c r="C149" s="304">
        <v>8</v>
      </c>
      <c r="D149" s="407">
        <v>35</v>
      </c>
      <c r="E149" s="447">
        <f t="shared" si="38"/>
        <v>4.2225826668958426</v>
      </c>
      <c r="F149" s="447">
        <f t="shared" si="36"/>
        <v>3.5239432478980408</v>
      </c>
      <c r="G149" s="304">
        <v>6</v>
      </c>
      <c r="H149" s="304">
        <v>5</v>
      </c>
      <c r="I149" s="407">
        <v>40</v>
      </c>
      <c r="J149" s="447">
        <f t="shared" si="39"/>
        <v>3.7645313796964266</v>
      </c>
      <c r="K149" s="447">
        <f t="shared" si="37"/>
        <v>2.3586780979574704</v>
      </c>
      <c r="L149" s="447">
        <f t="shared" si="40"/>
        <v>21.199955083540903</v>
      </c>
    </row>
    <row r="150" spans="1:12" ht="45">
      <c r="A150" s="396" t="s">
        <v>358</v>
      </c>
      <c r="B150" s="304">
        <v>2</v>
      </c>
      <c r="C150" s="304">
        <v>8</v>
      </c>
      <c r="D150" s="407">
        <v>35</v>
      </c>
      <c r="E150" s="447">
        <f t="shared" si="38"/>
        <v>4.2225826668958426</v>
      </c>
      <c r="F150" s="447">
        <f t="shared" si="36"/>
        <v>3.5239432478980408</v>
      </c>
      <c r="G150" s="304">
        <v>8</v>
      </c>
      <c r="H150" s="304">
        <v>5</v>
      </c>
      <c r="I150" s="407">
        <v>40</v>
      </c>
      <c r="J150" s="447">
        <f t="shared" si="39"/>
        <v>3.7645313796964266</v>
      </c>
      <c r="K150" s="447">
        <f t="shared" si="37"/>
        <v>2.3586780979574704</v>
      </c>
      <c r="L150" s="447">
        <f t="shared" si="40"/>
        <v>25.917311279455845</v>
      </c>
    </row>
    <row r="151" spans="1:12" ht="45">
      <c r="A151" s="396" t="s">
        <v>361</v>
      </c>
      <c r="B151" s="304">
        <v>2</v>
      </c>
      <c r="C151" s="304">
        <v>8</v>
      </c>
      <c r="D151" s="407">
        <v>35</v>
      </c>
      <c r="E151" s="447">
        <f t="shared" si="38"/>
        <v>4.2225826668958426</v>
      </c>
      <c r="F151" s="447">
        <f t="shared" si="36"/>
        <v>3.5239432478980408</v>
      </c>
      <c r="G151" s="304">
        <v>10</v>
      </c>
      <c r="H151" s="304">
        <v>5</v>
      </c>
      <c r="I151" s="407">
        <v>40</v>
      </c>
      <c r="J151" s="447">
        <f t="shared" si="39"/>
        <v>3.7645313796964266</v>
      </c>
      <c r="K151" s="447">
        <f t="shared" si="37"/>
        <v>2.3586780979574704</v>
      </c>
      <c r="L151" s="447">
        <f t="shared" si="40"/>
        <v>30.634667475370787</v>
      </c>
    </row>
    <row r="152" spans="1:12" ht="45">
      <c r="A152" s="408" t="s">
        <v>788</v>
      </c>
      <c r="B152" s="304">
        <v>2</v>
      </c>
      <c r="C152" s="304">
        <v>8</v>
      </c>
      <c r="D152" s="407">
        <v>35</v>
      </c>
      <c r="E152" s="447">
        <f t="shared" si="38"/>
        <v>4.2225826668958426</v>
      </c>
      <c r="F152" s="447">
        <f t="shared" si="36"/>
        <v>3.5239432478980408</v>
      </c>
      <c r="G152" s="304">
        <v>4</v>
      </c>
      <c r="H152" s="304">
        <v>5</v>
      </c>
      <c r="I152" s="407">
        <v>70</v>
      </c>
      <c r="J152" s="447">
        <f t="shared" si="39"/>
        <v>6.229384894518593</v>
      </c>
      <c r="K152" s="447">
        <f t="shared" si="37"/>
        <v>2.9748914766630117</v>
      </c>
      <c r="L152" s="447">
        <f t="shared" si="40"/>
        <v>18.947452402448128</v>
      </c>
    </row>
    <row r="153" spans="1:12" ht="45">
      <c r="A153" s="408" t="s">
        <v>757</v>
      </c>
      <c r="B153" s="304">
        <v>2</v>
      </c>
      <c r="C153" s="304">
        <v>8</v>
      </c>
      <c r="D153" s="407">
        <v>35</v>
      </c>
      <c r="E153" s="447">
        <f t="shared" ref="E153" si="41">(0.52*SQRT($C153)*D153^0.9*$B$116^0.8)/1000</f>
        <v>4.2225826668958426</v>
      </c>
      <c r="F153" s="447">
        <f t="shared" ref="F153" si="42">MIN($B$120*$B$118*D153/1000,2.3*SQRT($B$117*$B$120*$B$118)/1000+(E153/4),$B$120*$B$118*D153/1000*(SQRT(2+4*$B$117/($B$120*$B$118*D153^2))-1)+E153/4)</f>
        <v>3.5239432478980408</v>
      </c>
      <c r="G153" s="304">
        <v>6</v>
      </c>
      <c r="H153" s="304">
        <v>5</v>
      </c>
      <c r="I153" s="407">
        <v>70</v>
      </c>
      <c r="J153" s="447">
        <f t="shared" ref="J153" si="43">(0.52*SQRT($C$118)*I153^0.9*$B$116^0.8)/1000</f>
        <v>6.229384894518593</v>
      </c>
      <c r="K153" s="447">
        <f t="shared" ref="K153" si="44">MIN($C$120*$C$118*I153/1000,2.3*SQRT($C$117*$C$120*$C$118)/1000+(J153/4),$C$120*$C$118*I153/1000*(SQRT(2+4*$C$117/($C$120*$C$118*I153^2))-1)+J153/4)</f>
        <v>2.9748914766630117</v>
      </c>
      <c r="L153" s="447">
        <f t="shared" ref="L153" si="45">B153*F153+G153*K153</f>
        <v>24.897235355774153</v>
      </c>
    </row>
    <row r="154" spans="1:12" ht="45">
      <c r="A154" s="408" t="s">
        <v>362</v>
      </c>
      <c r="B154" s="304">
        <v>2</v>
      </c>
      <c r="C154" s="304">
        <v>8</v>
      </c>
      <c r="D154" s="407">
        <v>35</v>
      </c>
      <c r="E154" s="447">
        <f t="shared" si="38"/>
        <v>4.2225826668958426</v>
      </c>
      <c r="F154" s="447">
        <f t="shared" si="36"/>
        <v>3.5239432478980408</v>
      </c>
      <c r="G154" s="304">
        <v>8</v>
      </c>
      <c r="H154" s="304">
        <v>5</v>
      </c>
      <c r="I154" s="407">
        <v>70</v>
      </c>
      <c r="J154" s="447">
        <f t="shared" si="39"/>
        <v>6.229384894518593</v>
      </c>
      <c r="K154" s="447">
        <f t="shared" si="37"/>
        <v>2.9748914766630117</v>
      </c>
      <c r="L154" s="447">
        <f t="shared" si="40"/>
        <v>30.847018309100175</v>
      </c>
    </row>
    <row r="155" spans="1:12" ht="45">
      <c r="A155" s="408" t="s">
        <v>363</v>
      </c>
      <c r="B155" s="304">
        <v>2</v>
      </c>
      <c r="C155" s="304">
        <v>8</v>
      </c>
      <c r="D155" s="407">
        <v>35</v>
      </c>
      <c r="E155" s="447">
        <f t="shared" si="38"/>
        <v>4.2225826668958426</v>
      </c>
      <c r="F155" s="447">
        <f t="shared" si="36"/>
        <v>3.5239432478980408</v>
      </c>
      <c r="G155" s="304">
        <v>10</v>
      </c>
      <c r="H155" s="304">
        <v>5</v>
      </c>
      <c r="I155" s="407">
        <v>70</v>
      </c>
      <c r="J155" s="447">
        <f t="shared" si="39"/>
        <v>6.229384894518593</v>
      </c>
      <c r="K155" s="447">
        <f t="shared" si="37"/>
        <v>2.9748914766630117</v>
      </c>
      <c r="L155" s="447">
        <f t="shared" si="40"/>
        <v>36.7968012624262</v>
      </c>
    </row>
    <row r="156" spans="1:12" ht="45">
      <c r="A156" s="396" t="s">
        <v>364</v>
      </c>
      <c r="B156" s="304">
        <v>3</v>
      </c>
      <c r="C156" s="304">
        <v>8</v>
      </c>
      <c r="D156" s="407">
        <v>35</v>
      </c>
      <c r="E156" s="447">
        <f t="shared" si="38"/>
        <v>4.2225826668958426</v>
      </c>
      <c r="F156" s="447">
        <f t="shared" si="36"/>
        <v>3.5239432478980408</v>
      </c>
      <c r="G156" s="304">
        <v>4</v>
      </c>
      <c r="H156" s="304">
        <v>5</v>
      </c>
      <c r="I156" s="407">
        <v>40</v>
      </c>
      <c r="J156" s="447">
        <f t="shared" si="39"/>
        <v>3.7645313796964266</v>
      </c>
      <c r="K156" s="447">
        <f t="shared" si="37"/>
        <v>2.3586780979574704</v>
      </c>
      <c r="L156" s="447">
        <f t="shared" si="40"/>
        <v>20.006542135524004</v>
      </c>
    </row>
    <row r="157" spans="1:12" ht="45.75" customHeight="1">
      <c r="A157" s="396" t="s">
        <v>365</v>
      </c>
      <c r="B157" s="304">
        <v>3</v>
      </c>
      <c r="C157" s="304">
        <v>8</v>
      </c>
      <c r="D157" s="407">
        <v>35</v>
      </c>
      <c r="E157" s="447">
        <f t="shared" si="38"/>
        <v>4.2225826668958426</v>
      </c>
      <c r="F157" s="447">
        <f t="shared" si="36"/>
        <v>3.5239432478980408</v>
      </c>
      <c r="G157" s="304">
        <v>8</v>
      </c>
      <c r="H157" s="304">
        <v>5</v>
      </c>
      <c r="I157" s="407">
        <v>40</v>
      </c>
      <c r="J157" s="447">
        <f t="shared" si="39"/>
        <v>3.7645313796964266</v>
      </c>
      <c r="K157" s="447">
        <f t="shared" si="37"/>
        <v>2.3586780979574704</v>
      </c>
      <c r="L157" s="447">
        <f t="shared" si="40"/>
        <v>29.441254527353884</v>
      </c>
    </row>
    <row r="158" spans="1:12" ht="45.75" customHeight="1">
      <c r="A158" s="396" t="s">
        <v>366</v>
      </c>
      <c r="B158" s="304">
        <v>3</v>
      </c>
      <c r="C158" s="304">
        <v>8</v>
      </c>
      <c r="D158" s="407">
        <v>35</v>
      </c>
      <c r="E158" s="447">
        <f t="shared" si="38"/>
        <v>4.2225826668958426</v>
      </c>
      <c r="F158" s="447">
        <f t="shared" si="36"/>
        <v>3.5239432478980408</v>
      </c>
      <c r="G158" s="304">
        <v>12</v>
      </c>
      <c r="H158" s="304">
        <v>5</v>
      </c>
      <c r="I158" s="407">
        <v>40</v>
      </c>
      <c r="J158" s="447">
        <f t="shared" si="39"/>
        <v>3.7645313796964266</v>
      </c>
      <c r="K158" s="447">
        <f t="shared" si="37"/>
        <v>2.3586780979574704</v>
      </c>
      <c r="L158" s="447">
        <f t="shared" si="40"/>
        <v>38.875966919183767</v>
      </c>
    </row>
    <row r="159" spans="1:12" ht="45.75" customHeight="1">
      <c r="A159" s="396" t="s">
        <v>367</v>
      </c>
      <c r="B159" s="304">
        <v>3</v>
      </c>
      <c r="C159" s="304">
        <v>8</v>
      </c>
      <c r="D159" s="407">
        <v>35</v>
      </c>
      <c r="E159" s="447">
        <f t="shared" si="38"/>
        <v>4.2225826668958426</v>
      </c>
      <c r="F159" s="447">
        <f t="shared" si="36"/>
        <v>3.5239432478980408</v>
      </c>
      <c r="G159" s="304">
        <v>16</v>
      </c>
      <c r="H159" s="304">
        <v>5</v>
      </c>
      <c r="I159" s="407">
        <v>40</v>
      </c>
      <c r="J159" s="447">
        <f t="shared" si="39"/>
        <v>3.7645313796964266</v>
      </c>
      <c r="K159" s="447">
        <f t="shared" si="37"/>
        <v>2.3586780979574704</v>
      </c>
      <c r="L159" s="447">
        <f t="shared" si="40"/>
        <v>48.310679311013651</v>
      </c>
    </row>
    <row r="160" spans="1:12" ht="45.75" customHeight="1">
      <c r="A160" s="396" t="s">
        <v>368</v>
      </c>
      <c r="B160" s="304">
        <v>3</v>
      </c>
      <c r="C160" s="304">
        <v>8</v>
      </c>
      <c r="D160" s="407">
        <v>35</v>
      </c>
      <c r="E160" s="447">
        <f t="shared" si="38"/>
        <v>4.2225826668958426</v>
      </c>
      <c r="F160" s="447">
        <f t="shared" si="36"/>
        <v>3.5239432478980408</v>
      </c>
      <c r="G160" s="304">
        <v>20</v>
      </c>
      <c r="H160" s="304">
        <v>5</v>
      </c>
      <c r="I160" s="407">
        <v>40</v>
      </c>
      <c r="J160" s="447">
        <f t="shared" si="39"/>
        <v>3.7645313796964266</v>
      </c>
      <c r="K160" s="447">
        <f t="shared" si="37"/>
        <v>2.3586780979574704</v>
      </c>
      <c r="L160" s="447">
        <f t="shared" si="40"/>
        <v>57.745391702843534</v>
      </c>
    </row>
    <row r="161" spans="1:20">
      <c r="A161" s="3"/>
    </row>
    <row r="162" spans="1:20">
      <c r="A162" s="3"/>
      <c r="B162" s="77"/>
      <c r="F162" t="s">
        <v>72</v>
      </c>
    </row>
    <row r="163" spans="1:20" ht="18">
      <c r="A163" s="4" t="s">
        <v>2</v>
      </c>
      <c r="B163" s="78" t="s">
        <v>61</v>
      </c>
      <c r="C163" s="78" t="s">
        <v>73</v>
      </c>
      <c r="D163" s="5" t="s">
        <v>74</v>
      </c>
      <c r="E163" s="78" t="s">
        <v>75</v>
      </c>
      <c r="F163" s="79" t="s">
        <v>76</v>
      </c>
      <c r="G163" s="80"/>
      <c r="O163" s="4" t="s">
        <v>2</v>
      </c>
      <c r="P163" s="710" t="s">
        <v>77</v>
      </c>
      <c r="Q163" s="711"/>
      <c r="R163" s="711"/>
      <c r="S163" s="711"/>
      <c r="T163" s="712"/>
    </row>
    <row r="164" spans="1:20">
      <c r="A164" s="8"/>
      <c r="B164" s="81" t="s">
        <v>17</v>
      </c>
      <c r="C164" s="82" t="s">
        <v>17</v>
      </c>
      <c r="D164" s="9" t="s">
        <v>78</v>
      </c>
      <c r="E164" s="82" t="s">
        <v>17</v>
      </c>
      <c r="F164" s="83" t="s">
        <v>17</v>
      </c>
      <c r="G164" s="84"/>
      <c r="O164" s="8"/>
      <c r="P164" s="95">
        <v>0.6</v>
      </c>
      <c r="Q164" s="95">
        <v>0.7</v>
      </c>
      <c r="R164" s="95">
        <v>0.8</v>
      </c>
      <c r="S164" s="95">
        <v>0.9</v>
      </c>
      <c r="T164" s="95">
        <v>1</v>
      </c>
    </row>
    <row r="165" spans="1:20" ht="45">
      <c r="A165" s="396" t="s">
        <v>356</v>
      </c>
      <c r="B165" s="138">
        <f t="shared" ref="B165:B179" si="46">L125</f>
        <v>5.0131385975895597</v>
      </c>
      <c r="C165" s="138">
        <v>6</v>
      </c>
      <c r="D165" s="400">
        <v>2.2999999999999998</v>
      </c>
      <c r="E165" s="404">
        <f t="shared" ref="E165:E179" si="47">1/(SQRT((1/L146)^2+(1/(D165*E146)^2)))</f>
        <v>6.2837898803493735</v>
      </c>
      <c r="F165" s="458">
        <f>MIN(B165,E165)</f>
        <v>5.0131385975895597</v>
      </c>
      <c r="G165" s="97"/>
      <c r="O165" s="396" t="s">
        <v>356</v>
      </c>
      <c r="P165" s="88">
        <f>MIN(P$164*$B165/1.3,$C165/1,P$164*$E165/1.3)</f>
        <v>2.3137562758105656</v>
      </c>
      <c r="Q165" s="88">
        <f>MIN(Q$164*$B165/1.3,$C165/1,Q$164*$E165/1.3)</f>
        <v>2.6993823217789936</v>
      </c>
      <c r="R165" s="88">
        <f>MIN(R$164*$B165/1.3,$C165/1,R$164*$E165/1.3)</f>
        <v>3.0850083677474216</v>
      </c>
      <c r="S165" s="88">
        <f>MIN(S$164*$B165/1.3,$C165/1,S$164*$E165/1.3)</f>
        <v>3.4706344137158487</v>
      </c>
      <c r="T165" s="88">
        <f>MIN(T$164*$B165/1.3,$C165/1,T$164*$E165/1.3)</f>
        <v>3.8562604596842767</v>
      </c>
    </row>
    <row r="166" spans="1:20" ht="45">
      <c r="A166" s="396" t="s">
        <v>360</v>
      </c>
      <c r="B166" s="138">
        <f t="shared" si="46"/>
        <v>7.2988007866232749</v>
      </c>
      <c r="C166" s="138">
        <v>11</v>
      </c>
      <c r="D166" s="400">
        <v>5.09</v>
      </c>
      <c r="E166" s="404">
        <f t="shared" si="47"/>
        <v>10.320201821419344</v>
      </c>
      <c r="F166" s="458">
        <f t="shared" ref="F166:F179" si="48">MIN(B166,E166)</f>
        <v>7.2988007866232749</v>
      </c>
      <c r="G166" s="97"/>
      <c r="O166" s="396" t="s">
        <v>360</v>
      </c>
      <c r="P166" s="88">
        <f t="shared" ref="P166:T179" si="49">MIN(P$164*$B166/1.3,$C166/1,P$164*$E166/1.3)</f>
        <v>3.3686772861338188</v>
      </c>
      <c r="Q166" s="88">
        <f t="shared" si="49"/>
        <v>3.9301235004894552</v>
      </c>
      <c r="R166" s="88">
        <f t="shared" si="49"/>
        <v>4.4915697148450926</v>
      </c>
      <c r="S166" s="88">
        <f t="shared" si="49"/>
        <v>5.0530159292007291</v>
      </c>
      <c r="T166" s="88">
        <f t="shared" si="49"/>
        <v>5.6144621435563655</v>
      </c>
    </row>
    <row r="167" spans="1:20" ht="45">
      <c r="A167" s="396" t="s">
        <v>357</v>
      </c>
      <c r="B167" s="138">
        <f t="shared" si="46"/>
        <v>10.026277195179119</v>
      </c>
      <c r="C167" s="138">
        <v>14</v>
      </c>
      <c r="D167" s="400">
        <v>10.9</v>
      </c>
      <c r="E167" s="404">
        <f t="shared" si="47"/>
        <v>15.517576285479718</v>
      </c>
      <c r="F167" s="458">
        <f t="shared" si="48"/>
        <v>10.026277195179119</v>
      </c>
      <c r="G167" s="97"/>
      <c r="O167" s="396" t="s">
        <v>357</v>
      </c>
      <c r="P167" s="88">
        <f t="shared" si="49"/>
        <v>4.6275125516211313</v>
      </c>
      <c r="Q167" s="88">
        <f t="shared" si="49"/>
        <v>5.3987646435579872</v>
      </c>
      <c r="R167" s="88">
        <f t="shared" si="49"/>
        <v>6.1700167354948432</v>
      </c>
      <c r="S167" s="88">
        <f t="shared" si="49"/>
        <v>6.9412688274316974</v>
      </c>
      <c r="T167" s="88">
        <f t="shared" si="49"/>
        <v>7.7125209193685533</v>
      </c>
    </row>
    <row r="168" spans="1:20" ht="45">
      <c r="A168" s="396" t="s">
        <v>359</v>
      </c>
      <c r="B168" s="138">
        <f t="shared" si="46"/>
        <v>12.753753603734964</v>
      </c>
      <c r="C168" s="138">
        <v>18</v>
      </c>
      <c r="D168" s="400">
        <v>19.100000000000001</v>
      </c>
      <c r="E168" s="404">
        <f t="shared" si="47"/>
        <v>20.503442515936641</v>
      </c>
      <c r="F168" s="458">
        <f t="shared" si="48"/>
        <v>12.753753603734964</v>
      </c>
      <c r="G168" s="97"/>
      <c r="O168" s="396" t="s">
        <v>359</v>
      </c>
      <c r="P168" s="88">
        <f t="shared" si="49"/>
        <v>5.8863478171084447</v>
      </c>
      <c r="Q168" s="88">
        <f t="shared" si="49"/>
        <v>6.8674057866265183</v>
      </c>
      <c r="R168" s="88">
        <f t="shared" si="49"/>
        <v>7.8484637561445938</v>
      </c>
      <c r="S168" s="88">
        <f t="shared" si="49"/>
        <v>8.8295217256626675</v>
      </c>
      <c r="T168" s="88">
        <f t="shared" si="49"/>
        <v>9.810579695180742</v>
      </c>
    </row>
    <row r="169" spans="1:20" ht="45">
      <c r="A169" s="396" t="s">
        <v>358</v>
      </c>
      <c r="B169" s="138">
        <f t="shared" si="46"/>
        <v>15.481230012290808</v>
      </c>
      <c r="C169" s="138">
        <v>18</v>
      </c>
      <c r="D169" s="400">
        <v>29.6</v>
      </c>
      <c r="E169" s="404">
        <f t="shared" si="47"/>
        <v>25.37747298728587</v>
      </c>
      <c r="F169" s="458">
        <f t="shared" si="48"/>
        <v>15.481230012290808</v>
      </c>
      <c r="G169" s="97"/>
      <c r="O169" s="396" t="s">
        <v>358</v>
      </c>
      <c r="P169" s="88">
        <f t="shared" si="49"/>
        <v>7.1451830825957581</v>
      </c>
      <c r="Q169" s="88">
        <f t="shared" si="49"/>
        <v>8.3360469296950495</v>
      </c>
      <c r="R169" s="88">
        <f t="shared" si="49"/>
        <v>9.5269107767943435</v>
      </c>
      <c r="S169" s="88">
        <f t="shared" si="49"/>
        <v>10.717774623893636</v>
      </c>
      <c r="T169" s="88">
        <f t="shared" si="49"/>
        <v>11.90863847099293</v>
      </c>
    </row>
    <row r="170" spans="1:20" ht="45">
      <c r="A170" s="396" t="s">
        <v>361</v>
      </c>
      <c r="B170" s="138">
        <f t="shared" si="46"/>
        <v>18.208706420846653</v>
      </c>
      <c r="C170" s="138">
        <v>18</v>
      </c>
      <c r="D170" s="400">
        <v>42.6</v>
      </c>
      <c r="E170" s="404">
        <f t="shared" si="47"/>
        <v>30.199846731059701</v>
      </c>
      <c r="F170" s="458">
        <f t="shared" si="48"/>
        <v>18.208706420846653</v>
      </c>
      <c r="G170" s="97"/>
      <c r="O170" s="396" t="s">
        <v>361</v>
      </c>
      <c r="P170" s="88">
        <f t="shared" si="49"/>
        <v>8.4040183480830706</v>
      </c>
      <c r="Q170" s="88">
        <f t="shared" si="49"/>
        <v>9.8046880727635806</v>
      </c>
      <c r="R170" s="88">
        <f t="shared" si="49"/>
        <v>11.205357797444094</v>
      </c>
      <c r="S170" s="88">
        <f t="shared" si="49"/>
        <v>12.606027522124606</v>
      </c>
      <c r="T170" s="88">
        <f t="shared" si="49"/>
        <v>14.006697246805118</v>
      </c>
    </row>
    <row r="171" spans="1:20" ht="45">
      <c r="A171" s="408" t="s">
        <v>788</v>
      </c>
      <c r="B171" s="138">
        <f t="shared" si="46"/>
        <v>13.866687624227694</v>
      </c>
      <c r="C171" s="138">
        <v>14</v>
      </c>
      <c r="D171" s="400">
        <v>10.9</v>
      </c>
      <c r="E171" s="404">
        <f t="shared" si="47"/>
        <v>17.520896253158739</v>
      </c>
      <c r="F171" s="458">
        <f t="shared" ref="F171" si="50">MIN(B171,E171)</f>
        <v>13.866687624227694</v>
      </c>
      <c r="G171" s="97"/>
      <c r="O171" s="408" t="s">
        <v>788</v>
      </c>
      <c r="P171" s="88">
        <f t="shared" si="49"/>
        <v>6.4000096727204738</v>
      </c>
      <c r="Q171" s="88">
        <f t="shared" si="49"/>
        <v>7.4666779515072186</v>
      </c>
      <c r="R171" s="88">
        <f t="shared" si="49"/>
        <v>8.5333462302939669</v>
      </c>
      <c r="S171" s="88">
        <f t="shared" si="49"/>
        <v>9.6000145090807116</v>
      </c>
      <c r="T171" s="88">
        <f t="shared" si="49"/>
        <v>10.666682787867456</v>
      </c>
    </row>
    <row r="172" spans="1:20" ht="45">
      <c r="A172" s="408" t="s">
        <v>757</v>
      </c>
      <c r="B172" s="138">
        <f t="shared" si="46"/>
        <v>16.594164032783539</v>
      </c>
      <c r="C172" s="138">
        <v>18</v>
      </c>
      <c r="D172" s="400">
        <v>19.100000000000001</v>
      </c>
      <c r="E172" s="404">
        <f t="shared" si="47"/>
        <v>23.78949249234692</v>
      </c>
      <c r="F172" s="458">
        <f t="shared" si="48"/>
        <v>16.594164032783539</v>
      </c>
      <c r="G172" s="97"/>
      <c r="O172" s="408" t="s">
        <v>757</v>
      </c>
      <c r="P172" s="88">
        <f t="shared" si="49"/>
        <v>7.6588449382077863</v>
      </c>
      <c r="Q172" s="88">
        <f t="shared" si="49"/>
        <v>8.9353190945757497</v>
      </c>
      <c r="R172" s="88">
        <f t="shared" si="49"/>
        <v>10.211793250943717</v>
      </c>
      <c r="S172" s="88">
        <f t="shared" si="49"/>
        <v>11.48826740731168</v>
      </c>
      <c r="T172" s="88">
        <f t="shared" si="49"/>
        <v>12.764741563679644</v>
      </c>
    </row>
    <row r="173" spans="1:20" ht="45">
      <c r="A173" s="408" t="s">
        <v>362</v>
      </c>
      <c r="B173" s="138">
        <f t="shared" si="46"/>
        <v>19.321640441339383</v>
      </c>
      <c r="C173" s="138">
        <v>18</v>
      </c>
      <c r="D173" s="400">
        <v>29.6</v>
      </c>
      <c r="E173" s="404">
        <f t="shared" si="47"/>
        <v>29.948424200011651</v>
      </c>
      <c r="F173" s="458">
        <f t="shared" si="48"/>
        <v>19.321640441339383</v>
      </c>
      <c r="G173" s="97"/>
      <c r="O173" s="408" t="s">
        <v>362</v>
      </c>
      <c r="P173" s="88">
        <f t="shared" si="49"/>
        <v>8.9176802036950988</v>
      </c>
      <c r="Q173" s="88">
        <f t="shared" si="49"/>
        <v>10.403960237644283</v>
      </c>
      <c r="R173" s="88">
        <f t="shared" si="49"/>
        <v>11.890240271593468</v>
      </c>
      <c r="S173" s="88">
        <f t="shared" si="49"/>
        <v>13.37652030554265</v>
      </c>
      <c r="T173" s="88">
        <f t="shared" si="49"/>
        <v>14.862800339491832</v>
      </c>
    </row>
    <row r="174" spans="1:20" ht="45">
      <c r="A174" s="408" t="s">
        <v>363</v>
      </c>
      <c r="B174" s="138">
        <f t="shared" si="46"/>
        <v>22.049116849895228</v>
      </c>
      <c r="C174" s="138">
        <v>18</v>
      </c>
      <c r="D174" s="400">
        <v>42.6</v>
      </c>
      <c r="E174" s="404">
        <f t="shared" si="47"/>
        <v>36.050267394696462</v>
      </c>
      <c r="F174" s="458">
        <f t="shared" si="48"/>
        <v>22.049116849895228</v>
      </c>
      <c r="G174" s="97"/>
      <c r="O174" s="408" t="s">
        <v>363</v>
      </c>
      <c r="P174" s="88">
        <f t="shared" si="49"/>
        <v>10.176515469182412</v>
      </c>
      <c r="Q174" s="88">
        <f t="shared" si="49"/>
        <v>11.872601380712814</v>
      </c>
      <c r="R174" s="88">
        <f t="shared" si="49"/>
        <v>13.568687292243217</v>
      </c>
      <c r="S174" s="88">
        <f t="shared" si="49"/>
        <v>15.264773203773618</v>
      </c>
      <c r="T174" s="88">
        <f t="shared" si="49"/>
        <v>16.960859115304022</v>
      </c>
    </row>
    <row r="175" spans="1:20" ht="45">
      <c r="A175" s="396" t="s">
        <v>364</v>
      </c>
      <c r="B175" s="138">
        <f t="shared" si="46"/>
        <v>12.311939384212835</v>
      </c>
      <c r="C175" s="138">
        <v>11</v>
      </c>
      <c r="D175" s="400">
        <v>27.6</v>
      </c>
      <c r="E175" s="404">
        <f t="shared" si="47"/>
        <v>19.718112337749027</v>
      </c>
      <c r="F175" s="458">
        <f t="shared" si="48"/>
        <v>12.311939384212835</v>
      </c>
      <c r="G175" s="97"/>
      <c r="O175" s="396" t="s">
        <v>364</v>
      </c>
      <c r="P175" s="88">
        <f t="shared" si="49"/>
        <v>5.6824335619443849</v>
      </c>
      <c r="Q175" s="88">
        <f t="shared" si="49"/>
        <v>6.6295058222684489</v>
      </c>
      <c r="R175" s="88">
        <f t="shared" si="49"/>
        <v>7.5765780825925138</v>
      </c>
      <c r="S175" s="88">
        <f t="shared" si="49"/>
        <v>8.5236503429165786</v>
      </c>
      <c r="T175" s="88">
        <f t="shared" si="49"/>
        <v>9.4707226032406417</v>
      </c>
    </row>
    <row r="176" spans="1:20" ht="46.5" customHeight="1">
      <c r="A176" s="396" t="s">
        <v>365</v>
      </c>
      <c r="B176" s="138">
        <f t="shared" si="46"/>
        <v>17.766892201324524</v>
      </c>
      <c r="C176" s="138">
        <v>14</v>
      </c>
      <c r="D176" s="400">
        <v>56.5</v>
      </c>
      <c r="E176" s="404">
        <f t="shared" si="47"/>
        <v>29.21960860471922</v>
      </c>
      <c r="F176" s="458">
        <f t="shared" si="48"/>
        <v>17.766892201324524</v>
      </c>
      <c r="G176" s="97"/>
      <c r="O176" s="396" t="s">
        <v>365</v>
      </c>
      <c r="P176" s="88">
        <f t="shared" si="49"/>
        <v>8.2001040929190108</v>
      </c>
      <c r="Q176" s="88">
        <f t="shared" si="49"/>
        <v>9.5667881084055111</v>
      </c>
      <c r="R176" s="88">
        <f t="shared" si="49"/>
        <v>10.933472123892015</v>
      </c>
      <c r="S176" s="88">
        <f t="shared" si="49"/>
        <v>12.300156139378517</v>
      </c>
      <c r="T176" s="88">
        <f t="shared" si="49"/>
        <v>13.666840154865017</v>
      </c>
    </row>
    <row r="177" spans="1:20" ht="46.5" customHeight="1">
      <c r="A177" s="396" t="s">
        <v>366</v>
      </c>
      <c r="B177" s="138">
        <f t="shared" si="46"/>
        <v>23.221845018436213</v>
      </c>
      <c r="C177" s="138">
        <v>18</v>
      </c>
      <c r="D177" s="400">
        <v>94.8</v>
      </c>
      <c r="E177" s="404">
        <f t="shared" si="47"/>
        <v>38.693920674875599</v>
      </c>
      <c r="F177" s="458">
        <f t="shared" si="48"/>
        <v>23.221845018436213</v>
      </c>
      <c r="G177" s="97"/>
      <c r="O177" s="396" t="s">
        <v>366</v>
      </c>
      <c r="P177" s="88">
        <f t="shared" si="49"/>
        <v>10.717774623893636</v>
      </c>
      <c r="Q177" s="88">
        <f t="shared" si="49"/>
        <v>12.504070394542575</v>
      </c>
      <c r="R177" s="88">
        <f t="shared" si="49"/>
        <v>14.290366165191516</v>
      </c>
      <c r="S177" s="88">
        <f t="shared" si="49"/>
        <v>16.076661935840455</v>
      </c>
      <c r="T177" s="88">
        <f t="shared" si="49"/>
        <v>17.862957706489393</v>
      </c>
    </row>
    <row r="178" spans="1:20" ht="46.5" customHeight="1">
      <c r="A178" s="396" t="s">
        <v>367</v>
      </c>
      <c r="B178" s="138">
        <f t="shared" si="46"/>
        <v>28.676797835547902</v>
      </c>
      <c r="C178" s="138">
        <v>18</v>
      </c>
      <c r="D178" s="400">
        <v>94.8</v>
      </c>
      <c r="E178" s="404">
        <f t="shared" si="47"/>
        <v>47.962651727427655</v>
      </c>
      <c r="F178" s="458">
        <f t="shared" si="48"/>
        <v>28.676797835547902</v>
      </c>
      <c r="G178" s="98"/>
      <c r="O178" s="396" t="s">
        <v>367</v>
      </c>
      <c r="P178" s="88">
        <f t="shared" si="49"/>
        <v>13.235445154868261</v>
      </c>
      <c r="Q178" s="88">
        <f t="shared" si="49"/>
        <v>15.441352680679639</v>
      </c>
      <c r="R178" s="88">
        <f t="shared" si="49"/>
        <v>17.647260206491016</v>
      </c>
      <c r="S178" s="88">
        <f t="shared" si="49"/>
        <v>18</v>
      </c>
      <c r="T178" s="88">
        <f t="shared" si="49"/>
        <v>18</v>
      </c>
    </row>
    <row r="179" spans="1:20" ht="46.5" customHeight="1">
      <c r="A179" s="396" t="s">
        <v>368</v>
      </c>
      <c r="B179" s="138">
        <f t="shared" si="46"/>
        <v>34.131750652659591</v>
      </c>
      <c r="C179" s="138">
        <v>18</v>
      </c>
      <c r="D179" s="400">
        <v>94.8</v>
      </c>
      <c r="E179" s="404">
        <f t="shared" si="47"/>
        <v>57.153782775838984</v>
      </c>
      <c r="F179" s="458">
        <f t="shared" si="48"/>
        <v>34.131750652659591</v>
      </c>
      <c r="G179" s="98"/>
      <c r="O179" s="396" t="s">
        <v>368</v>
      </c>
      <c r="P179" s="88">
        <f t="shared" si="49"/>
        <v>15.753115685842886</v>
      </c>
      <c r="Q179" s="88">
        <f t="shared" si="49"/>
        <v>18</v>
      </c>
      <c r="R179" s="88">
        <f t="shared" si="49"/>
        <v>18</v>
      </c>
      <c r="S179" s="88">
        <f t="shared" si="49"/>
        <v>18</v>
      </c>
      <c r="T179" s="88">
        <f t="shared" si="49"/>
        <v>18</v>
      </c>
    </row>
    <row r="180" spans="1:20">
      <c r="A180" s="91"/>
      <c r="D180" s="99"/>
    </row>
    <row r="181" spans="1:20">
      <c r="A181" s="3"/>
      <c r="D181" s="100"/>
    </row>
    <row r="182" spans="1:20" ht="18.75">
      <c r="A182" s="56" t="s">
        <v>799</v>
      </c>
      <c r="D182" s="100"/>
    </row>
    <row r="183" spans="1:20" ht="18.75">
      <c r="A183" s="56"/>
      <c r="D183" s="100"/>
    </row>
    <row r="184" spans="1:20">
      <c r="A184" s="21" t="s">
        <v>37</v>
      </c>
      <c r="B184" t="str">
        <f>'Load bearing values_RICON-S_EN'!E6</f>
        <v>GL24h</v>
      </c>
      <c r="D184" s="100"/>
    </row>
    <row r="185" spans="1:20" ht="18">
      <c r="A185" s="23" t="s">
        <v>39</v>
      </c>
      <c r="B185" s="24">
        <f>VLOOKUP(B184,$V$7:$W$17,2,FALSE)</f>
        <v>385</v>
      </c>
      <c r="C185" t="s">
        <v>40</v>
      </c>
    </row>
    <row r="186" spans="1:20" ht="18">
      <c r="A186" s="23" t="s">
        <v>62</v>
      </c>
      <c r="B186" s="90">
        <v>35000</v>
      </c>
      <c r="C186" s="90">
        <v>20000</v>
      </c>
      <c r="D186" t="s">
        <v>63</v>
      </c>
    </row>
    <row r="187" spans="1:20">
      <c r="A187" s="23" t="s">
        <v>64</v>
      </c>
      <c r="B187" s="90">
        <v>10</v>
      </c>
      <c r="C187" s="90">
        <v>8</v>
      </c>
      <c r="D187" t="s">
        <v>65</v>
      </c>
    </row>
    <row r="188" spans="1:20" ht="18">
      <c r="A188" s="23" t="s">
        <v>66</v>
      </c>
      <c r="B188" s="101">
        <f>0.033*$B$185*B187^-0.3</f>
        <v>6.3675838032344938</v>
      </c>
      <c r="C188" s="101">
        <f>0.033*$B$185*C187^-0.3</f>
        <v>6.808440920761802</v>
      </c>
      <c r="D188" t="s">
        <v>67</v>
      </c>
    </row>
    <row r="189" spans="1:20" ht="18">
      <c r="A189" s="23" t="s">
        <v>68</v>
      </c>
      <c r="B189" s="102">
        <f>0.082*B187^-0.3*$B$185</f>
        <v>15.822480965612984</v>
      </c>
      <c r="C189" s="102">
        <f>0.082*C187^-0.3*$B$185</f>
        <v>16.917944106135387</v>
      </c>
      <c r="D189" t="s">
        <v>67</v>
      </c>
    </row>
    <row r="191" spans="1:20">
      <c r="A191" s="3"/>
      <c r="D191" s="100"/>
    </row>
    <row r="192" spans="1:20">
      <c r="A192" s="3"/>
    </row>
    <row r="193" spans="1:19" ht="18">
      <c r="A193" s="4" t="s">
        <v>2</v>
      </c>
      <c r="B193" s="5" t="s">
        <v>43</v>
      </c>
      <c r="C193" s="5" t="s">
        <v>9</v>
      </c>
      <c r="D193" s="5" t="s">
        <v>44</v>
      </c>
      <c r="E193" s="5" t="s">
        <v>59</v>
      </c>
      <c r="F193" s="5" t="s">
        <v>60</v>
      </c>
      <c r="G193" s="5" t="s">
        <v>61</v>
      </c>
      <c r="H193" s="181"/>
      <c r="I193" s="165"/>
      <c r="J193" s="165"/>
      <c r="K193" s="165"/>
    </row>
    <row r="194" spans="1:19">
      <c r="A194" s="8"/>
      <c r="B194" s="9" t="s">
        <v>19</v>
      </c>
      <c r="C194" s="9" t="s">
        <v>18</v>
      </c>
      <c r="D194" s="9" t="s">
        <v>18</v>
      </c>
      <c r="E194" s="9" t="s">
        <v>17</v>
      </c>
      <c r="F194" s="9" t="s">
        <v>17</v>
      </c>
      <c r="G194" s="62" t="s">
        <v>17</v>
      </c>
      <c r="H194" s="181"/>
      <c r="I194" s="165"/>
      <c r="J194" s="165"/>
      <c r="K194" s="165"/>
    </row>
    <row r="195" spans="1:19" hidden="1">
      <c r="A195" s="14" t="s">
        <v>29</v>
      </c>
      <c r="B195" s="66">
        <v>1</v>
      </c>
      <c r="C195" s="66">
        <v>8</v>
      </c>
      <c r="D195" s="34">
        <v>137</v>
      </c>
      <c r="E195" s="65">
        <f>(0.3*0.52*SQRT(C195)*D195^0.9*$B$185^0.8)/1000</f>
        <v>4.3260017012857244</v>
      </c>
      <c r="F195" s="65">
        <f>MIN($C$187*$C$188*D195/1000,(2.3*SQRT($C$186*$C$187*$C$188))/1000+(E195/4),$C$187*$C$188*D195/1000*(SQRT(2+4*$C$186/($C$187*$C$188*D195^2))-1)+E195/4)</f>
        <v>3.482055443506348</v>
      </c>
      <c r="G195" s="65" t="e">
        <f>B195*F195+#REF!*K195</f>
        <v>#REF!</v>
      </c>
      <c r="H195" s="386"/>
      <c r="I195" s="314"/>
      <c r="J195" s="123"/>
      <c r="K195" s="123"/>
    </row>
    <row r="196" spans="1:19" hidden="1">
      <c r="A196" s="44" t="s">
        <v>30</v>
      </c>
      <c r="B196" s="66">
        <v>1</v>
      </c>
      <c r="C196" s="66">
        <v>8</v>
      </c>
      <c r="D196" s="34">
        <v>137</v>
      </c>
      <c r="E196" s="65">
        <f t="shared" ref="E196:E202" si="51">(0.3*0.52*SQRT(C196)*D196^0.9*$B$185^0.8)/1000</f>
        <v>4.3260017012857244</v>
      </c>
      <c r="F196" s="65">
        <f>MIN($C$187*$C$188*D196/1000,(2.3*SQRT($C$186*$C$187*$C$188))/1000+(E196/4),$C$187*$C$188*D196/1000*(SQRT(2+4*$C$186/($C$187*$C$188*D196^2))-1)+E196/4)</f>
        <v>3.482055443506348</v>
      </c>
      <c r="G196" s="65" t="e">
        <f>B196*F196+#REF!*K196</f>
        <v>#REF!</v>
      </c>
      <c r="H196" s="386"/>
      <c r="I196" s="314"/>
      <c r="J196" s="123"/>
      <c r="K196" s="123"/>
    </row>
    <row r="197" spans="1:19" hidden="1">
      <c r="A197" s="14" t="s">
        <v>31</v>
      </c>
      <c r="B197" s="66">
        <v>1</v>
      </c>
      <c r="C197" s="66">
        <v>8</v>
      </c>
      <c r="D197" s="34">
        <v>137</v>
      </c>
      <c r="E197" s="65">
        <f t="shared" si="51"/>
        <v>4.3260017012857244</v>
      </c>
      <c r="F197" s="65">
        <f>MIN($C$187*$C$188*D197/1000,(2.3*SQRT($C$186*$C$187*$C$188))/1000+(E197/4),$C$187*$C$188*D197/1000*(SQRT(2+4*$C$186/($C$187*$C$188*D197^2))-1)+E197/4)</f>
        <v>3.482055443506348</v>
      </c>
      <c r="G197" s="65" t="e">
        <f>B197*F197+#REF!*K197</f>
        <v>#REF!</v>
      </c>
      <c r="H197" s="386"/>
      <c r="I197" s="314"/>
      <c r="J197" s="123"/>
      <c r="K197" s="123"/>
      <c r="P197"/>
      <c r="Q197"/>
      <c r="R197"/>
      <c r="S197"/>
    </row>
    <row r="198" spans="1:19" hidden="1">
      <c r="A198" s="44" t="s">
        <v>32</v>
      </c>
      <c r="B198" s="66">
        <v>1</v>
      </c>
      <c r="C198" s="66">
        <v>8</v>
      </c>
      <c r="D198" s="34">
        <v>137</v>
      </c>
      <c r="E198" s="65">
        <f t="shared" si="51"/>
        <v>4.3260017012857244</v>
      </c>
      <c r="F198" s="65">
        <f>MIN($C$187*$C$188*D198/1000,(2.3*SQRT($C$186*$C$187*$C$188))/1000+(E198/4),$C$187*$C$188*D198/1000*(SQRT(2+4*$C$186/($C$187*$C$188*D198^2))-1)+E198/4)</f>
        <v>3.482055443506348</v>
      </c>
      <c r="G198" s="65" t="e">
        <f>B198*F198+#REF!*K198</f>
        <v>#REF!</v>
      </c>
      <c r="H198" s="386"/>
      <c r="I198" s="314"/>
      <c r="J198" s="123"/>
      <c r="K198" s="123"/>
      <c r="P198"/>
      <c r="Q198"/>
      <c r="R198"/>
      <c r="S198"/>
    </row>
    <row r="199" spans="1:19" hidden="1">
      <c r="A199" s="14" t="s">
        <v>33</v>
      </c>
      <c r="B199" s="66">
        <v>1</v>
      </c>
      <c r="C199" s="66">
        <v>10</v>
      </c>
      <c r="D199" s="34">
        <v>175</v>
      </c>
      <c r="E199" s="65">
        <f t="shared" si="51"/>
        <v>6.0287520940422592</v>
      </c>
      <c r="F199" s="65">
        <f>MIN($B$187*$B$188*D199/1000,(2.3*SQRT($B$186*$B$187*$B$188))/1000+(E199/4),$B$187*$B$188*D199/1000*(SQRT(2+4*$B$186/($B$187*$B$188*D199^2))-1)+E199/4)</f>
        <v>4.9407840119298001</v>
      </c>
      <c r="G199" s="65" t="e">
        <f>B199*F199+#REF!*K199</f>
        <v>#REF!</v>
      </c>
      <c r="H199" s="386"/>
      <c r="I199" s="314"/>
      <c r="J199" s="123"/>
      <c r="K199" s="123"/>
      <c r="P199"/>
      <c r="Q199"/>
      <c r="R199"/>
      <c r="S199"/>
    </row>
    <row r="200" spans="1:19" hidden="1">
      <c r="A200" s="44" t="s">
        <v>34</v>
      </c>
      <c r="B200" s="66">
        <v>1</v>
      </c>
      <c r="C200" s="66">
        <v>10</v>
      </c>
      <c r="D200" s="34">
        <v>175</v>
      </c>
      <c r="E200" s="65">
        <f t="shared" si="51"/>
        <v>6.0287520940422592</v>
      </c>
      <c r="F200" s="65">
        <f>MIN($B$187*$B$188*D200/1000,(2.3*SQRT($B$186*$B$187*$B$188))/1000+(E200/4),$B$187*$B$188*D200/1000*(SQRT(2+4*$B$186/($B$187*$B$188*D200^2))-1)+E200/4)</f>
        <v>4.9407840119298001</v>
      </c>
      <c r="G200" s="65" t="e">
        <f>B200*F200+#REF!*K200</f>
        <v>#REF!</v>
      </c>
      <c r="H200" s="386"/>
      <c r="I200" s="314"/>
      <c r="J200" s="123"/>
      <c r="K200" s="123"/>
      <c r="P200"/>
      <c r="Q200"/>
      <c r="R200"/>
      <c r="S200"/>
    </row>
    <row r="201" spans="1:19" hidden="1">
      <c r="A201" s="44" t="s">
        <v>35</v>
      </c>
      <c r="B201" s="66">
        <v>1</v>
      </c>
      <c r="C201" s="66">
        <v>10</v>
      </c>
      <c r="D201" s="34">
        <v>175</v>
      </c>
      <c r="E201" s="65">
        <f t="shared" si="51"/>
        <v>6.0287520940422592</v>
      </c>
      <c r="F201" s="65">
        <f>MIN($B$187*$B$188*D201/1000,(2.3*SQRT($B$186*$B$187*$B$188))/1000+(E201/4),$B$187*$B$188*D201/1000*(SQRT(2+4*$B$186/($B$187*$B$188*D201^2))-1)+E201/4)</f>
        <v>4.9407840119298001</v>
      </c>
      <c r="G201" s="65" t="e">
        <f>B201*F201+#REF!*K201</f>
        <v>#REF!</v>
      </c>
      <c r="H201" s="386"/>
      <c r="I201" s="314"/>
      <c r="J201" s="123"/>
      <c r="K201" s="123"/>
      <c r="P201"/>
      <c r="Q201"/>
      <c r="R201"/>
      <c r="S201"/>
    </row>
    <row r="202" spans="1:19" hidden="1">
      <c r="A202" s="14" t="s">
        <v>36</v>
      </c>
      <c r="B202" s="66">
        <v>1</v>
      </c>
      <c r="C202" s="66">
        <v>10</v>
      </c>
      <c r="D202" s="34">
        <v>175</v>
      </c>
      <c r="E202" s="65">
        <f t="shared" si="51"/>
        <v>6.0287520940422592</v>
      </c>
      <c r="F202" s="65">
        <f>MIN($B$187*$B$188*D202/1000,(2.3*SQRT($B$186*$B$187*$B$188))/1000+(E202/4),$B$187*$B$188*D202/1000*(SQRT(2+4*$B$186/($B$187*$B$188*D202^2))-1)+E202/4)</f>
        <v>4.9407840119298001</v>
      </c>
      <c r="G202" s="65" t="e">
        <f>B202*F202+#REF!*K202</f>
        <v>#REF!</v>
      </c>
      <c r="H202" s="386"/>
      <c r="I202" s="314"/>
      <c r="J202" s="123"/>
      <c r="K202" s="123"/>
      <c r="P202"/>
      <c r="Q202"/>
      <c r="R202"/>
      <c r="S202"/>
    </row>
    <row r="203" spans="1:19" ht="30">
      <c r="A203" s="424" t="s">
        <v>800</v>
      </c>
      <c r="B203" s="63">
        <v>7</v>
      </c>
      <c r="C203" s="63">
        <v>8</v>
      </c>
      <c r="D203" s="303">
        <v>145</v>
      </c>
      <c r="E203" s="64">
        <f t="shared" ref="E203:E212" si="52">($E$213*0.52*SQRT(C203)*D203^0.9*$B$185^0.8)/1000</f>
        <v>9.1054072130615449</v>
      </c>
      <c r="F203" s="64">
        <f t="shared" ref="F203:F208" si="53">MIN($C$187*$C$188*D203/1000,(2.3*SQRT($C$186*$C$187*$C$188))/1000+(E203/4),$C$187*$C$188*D203/1000*(SQRT(2+4*$C$186/($C$187*$C$188*D203^2))-1)+E203/4)</f>
        <v>4.6769068214503031</v>
      </c>
      <c r="G203" s="64">
        <f t="shared" ref="G203" si="54">B203^0.9*F203</f>
        <v>26.949266771153084</v>
      </c>
      <c r="H203" s="238" t="s">
        <v>310</v>
      </c>
      <c r="I203" s="314"/>
      <c r="J203" s="123"/>
      <c r="K203" s="123"/>
      <c r="P203"/>
      <c r="Q203"/>
      <c r="R203"/>
      <c r="S203"/>
    </row>
    <row r="204" spans="1:19" ht="30">
      <c r="A204" s="424" t="s">
        <v>801</v>
      </c>
      <c r="B204" s="63">
        <v>10</v>
      </c>
      <c r="C204" s="63">
        <v>8</v>
      </c>
      <c r="D204" s="303">
        <v>145</v>
      </c>
      <c r="E204" s="64">
        <f t="shared" si="52"/>
        <v>9.1054072130615449</v>
      </c>
      <c r="F204" s="64">
        <f t="shared" si="53"/>
        <v>4.6769068214503031</v>
      </c>
      <c r="G204" s="64">
        <f t="shared" ref="G204:G212" si="55">B204^0.9*F204</f>
        <v>37.149991394525706</v>
      </c>
      <c r="H204" s="238" t="s">
        <v>310</v>
      </c>
      <c r="I204" s="314"/>
      <c r="K204" s="123"/>
      <c r="P204"/>
      <c r="Q204"/>
      <c r="R204"/>
      <c r="S204"/>
    </row>
    <row r="205" spans="1:19" ht="30">
      <c r="A205" s="342" t="s">
        <v>379</v>
      </c>
      <c r="B205" s="63">
        <v>10</v>
      </c>
      <c r="C205" s="63">
        <v>8</v>
      </c>
      <c r="D205" s="303">
        <v>225</v>
      </c>
      <c r="E205" s="64">
        <f t="shared" si="52"/>
        <v>13.521735531614226</v>
      </c>
      <c r="F205" s="64">
        <f t="shared" si="53"/>
        <v>5.7809889010884739</v>
      </c>
      <c r="G205" s="64">
        <f t="shared" si="55"/>
        <v>45.920027087622728</v>
      </c>
      <c r="H205" s="238" t="s">
        <v>310</v>
      </c>
      <c r="I205" s="314"/>
      <c r="J205" s="123"/>
      <c r="K205" s="123"/>
      <c r="P205"/>
      <c r="Q205"/>
      <c r="R205"/>
      <c r="S205"/>
    </row>
    <row r="206" spans="1:19" ht="30">
      <c r="A206" s="342" t="s">
        <v>802</v>
      </c>
      <c r="B206" s="63">
        <v>8</v>
      </c>
      <c r="C206" s="63">
        <v>8</v>
      </c>
      <c r="D206" s="303">
        <v>145</v>
      </c>
      <c r="E206" s="64">
        <f t="shared" si="52"/>
        <v>9.1054072130615449</v>
      </c>
      <c r="F206" s="64">
        <f t="shared" si="53"/>
        <v>4.6769068214503031</v>
      </c>
      <c r="G206" s="64">
        <f t="shared" ref="G206" si="56">B206^0.9*F206</f>
        <v>30.390630186062658</v>
      </c>
      <c r="H206" s="238" t="s">
        <v>310</v>
      </c>
      <c r="I206" s="314"/>
      <c r="J206" s="123"/>
      <c r="K206" s="123"/>
      <c r="P206"/>
      <c r="Q206"/>
      <c r="R206"/>
      <c r="S206"/>
    </row>
    <row r="207" spans="1:19" ht="30">
      <c r="A207" s="342" t="s">
        <v>803</v>
      </c>
      <c r="B207" s="63">
        <v>16</v>
      </c>
      <c r="C207" s="63">
        <v>8</v>
      </c>
      <c r="D207" s="303">
        <v>145</v>
      </c>
      <c r="E207" s="64">
        <f t="shared" si="52"/>
        <v>9.1054072130615449</v>
      </c>
      <c r="F207" s="64">
        <f t="shared" si="53"/>
        <v>4.6769068214503031</v>
      </c>
      <c r="G207" s="64">
        <f t="shared" si="55"/>
        <v>56.710921194381697</v>
      </c>
      <c r="H207" s="238" t="s">
        <v>310</v>
      </c>
      <c r="I207" s="314"/>
      <c r="J207" s="123"/>
      <c r="K207" s="123"/>
      <c r="P207"/>
      <c r="Q207"/>
      <c r="R207"/>
      <c r="S207"/>
    </row>
    <row r="208" spans="1:19" ht="30">
      <c r="A208" s="342" t="s">
        <v>381</v>
      </c>
      <c r="B208" s="63">
        <v>16</v>
      </c>
      <c r="C208" s="63">
        <v>8</v>
      </c>
      <c r="D208" s="303">
        <v>225</v>
      </c>
      <c r="E208" s="64">
        <f t="shared" si="52"/>
        <v>13.521735531614226</v>
      </c>
      <c r="F208" s="64">
        <f t="shared" si="53"/>
        <v>5.7809889010884739</v>
      </c>
      <c r="G208" s="64">
        <f t="shared" si="55"/>
        <v>70.098725185540317</v>
      </c>
      <c r="H208" s="238" t="s">
        <v>310</v>
      </c>
      <c r="I208" s="314"/>
      <c r="J208" s="123"/>
      <c r="K208" s="123"/>
      <c r="P208"/>
      <c r="Q208"/>
      <c r="R208"/>
      <c r="S208"/>
    </row>
    <row r="209" spans="1:19" ht="30">
      <c r="A209" s="342" t="s">
        <v>804</v>
      </c>
      <c r="B209" s="63">
        <v>8</v>
      </c>
      <c r="C209" s="63">
        <v>10</v>
      </c>
      <c r="D209" s="303">
        <v>180</v>
      </c>
      <c r="E209" s="64">
        <f t="shared" si="52"/>
        <v>12.367115938864831</v>
      </c>
      <c r="F209" s="64">
        <f>MIN($B$187*$B$188*D209/1000,(2.3*SQRT($B$186*$B$187*$B$188))/1000+(E209/4),$B$187*$B$188*D209/1000*(SQRT(2+4*$B$186/($B$187*$B$188*D209^2))-1)+E209/4)</f>
        <v>6.5253749731354436</v>
      </c>
      <c r="G209" s="64">
        <f t="shared" ref="G209" si="57">B209^0.9*F209</f>
        <v>42.402011672418155</v>
      </c>
      <c r="H209" s="238" t="s">
        <v>310</v>
      </c>
      <c r="I209" s="314"/>
      <c r="J209" s="123"/>
      <c r="K209" s="123"/>
      <c r="P209"/>
      <c r="Q209"/>
      <c r="R209"/>
      <c r="S209"/>
    </row>
    <row r="210" spans="1:19" ht="30">
      <c r="A210" s="342" t="s">
        <v>805</v>
      </c>
      <c r="B210" s="63">
        <v>16</v>
      </c>
      <c r="C210" s="63">
        <v>10</v>
      </c>
      <c r="D210" s="303">
        <v>180</v>
      </c>
      <c r="E210" s="64">
        <f t="shared" si="52"/>
        <v>12.367115938864831</v>
      </c>
      <c r="F210" s="64">
        <f>MIN($B$187*$B$188*D210/1000,(2.3*SQRT($B$186*$B$187*$B$188))/1000+(E210/4),$B$187*$B$188*D210/1000*(SQRT(2+4*$B$186/($B$187*$B$188*D210^2))-1)+E210/4)</f>
        <v>6.5253749731354436</v>
      </c>
      <c r="G210" s="64">
        <f t="shared" si="55"/>
        <v>79.124951595789881</v>
      </c>
      <c r="H210" s="238" t="s">
        <v>310</v>
      </c>
      <c r="I210" s="314"/>
      <c r="J210" s="123"/>
      <c r="K210" s="123"/>
      <c r="P210"/>
      <c r="Q210"/>
      <c r="R210"/>
      <c r="S210"/>
    </row>
    <row r="211" spans="1:19" ht="30">
      <c r="A211" s="342" t="s">
        <v>807</v>
      </c>
      <c r="B211" s="63">
        <v>8</v>
      </c>
      <c r="C211" s="63">
        <v>10</v>
      </c>
      <c r="D211" s="303">
        <v>180</v>
      </c>
      <c r="E211" s="64">
        <f t="shared" si="52"/>
        <v>12.367115938864831</v>
      </c>
      <c r="F211" s="64">
        <f>MIN($B$187*$B$188*D211/1000,(2.3*SQRT($B$186*$B$187*$B$188))/1000+(E211/4),$B$187*$B$188*D211/1000*(SQRT(2+4*$B$186/($B$187*$B$188*D211^2))-1)+E211/4)</f>
        <v>6.5253749731354436</v>
      </c>
      <c r="G211" s="64">
        <f t="shared" ref="G211" si="58">B211^0.9*F211</f>
        <v>42.402011672418155</v>
      </c>
      <c r="H211" s="238" t="s">
        <v>806</v>
      </c>
      <c r="I211" s="314"/>
      <c r="J211" s="123"/>
      <c r="K211" s="123"/>
      <c r="P211"/>
      <c r="Q211"/>
      <c r="R211"/>
      <c r="S211"/>
    </row>
    <row r="212" spans="1:19" ht="30">
      <c r="A212" s="342" t="s">
        <v>422</v>
      </c>
      <c r="B212" s="63">
        <v>20</v>
      </c>
      <c r="C212" s="63">
        <v>10</v>
      </c>
      <c r="D212" s="303">
        <v>180</v>
      </c>
      <c r="E212" s="64">
        <f t="shared" si="52"/>
        <v>12.367115938864831</v>
      </c>
      <c r="F212" s="64">
        <f>MIN($B$187*$B$188*D212/1000,(2.3*SQRT($B$186*$B$187*$B$188))/1000+(E212/4),$B$187*$B$188*D212/1000*(SQRT(2+4*$B$186/($B$187*$B$188*D212^2))-1)+E212/4)</f>
        <v>6.5253749731354436</v>
      </c>
      <c r="G212" s="64">
        <f t="shared" si="55"/>
        <v>96.723603718619998</v>
      </c>
      <c r="H212" s="238" t="s">
        <v>310</v>
      </c>
      <c r="I212" s="314"/>
      <c r="J212" s="123"/>
      <c r="K212" s="123"/>
      <c r="P212"/>
      <c r="Q212"/>
      <c r="R212"/>
      <c r="S212"/>
    </row>
    <row r="213" spans="1:19">
      <c r="D213" s="23" t="s">
        <v>308</v>
      </c>
      <c r="E213" s="22">
        <v>0.6</v>
      </c>
    </row>
    <row r="215" spans="1:19" ht="18">
      <c r="A215" s="4" t="s">
        <v>2</v>
      </c>
      <c r="B215" s="5" t="s">
        <v>43</v>
      </c>
      <c r="C215" s="5" t="s">
        <v>9</v>
      </c>
      <c r="D215" s="5" t="s">
        <v>44</v>
      </c>
      <c r="E215" s="5" t="s">
        <v>69</v>
      </c>
      <c r="F215" s="5" t="s">
        <v>70</v>
      </c>
      <c r="G215" s="5" t="s">
        <v>71</v>
      </c>
      <c r="H215" s="181"/>
      <c r="I215" s="165"/>
      <c r="J215" s="165"/>
      <c r="K215" s="165"/>
    </row>
    <row r="216" spans="1:19">
      <c r="A216" s="8"/>
      <c r="B216" s="9" t="s">
        <v>19</v>
      </c>
      <c r="C216" s="9" t="s">
        <v>18</v>
      </c>
      <c r="D216" s="9" t="s">
        <v>18</v>
      </c>
      <c r="E216" s="9" t="s">
        <v>17</v>
      </c>
      <c r="F216" s="9" t="s">
        <v>17</v>
      </c>
      <c r="G216" s="62" t="s">
        <v>17</v>
      </c>
      <c r="H216" s="181"/>
      <c r="I216" s="165"/>
      <c r="J216" s="165"/>
      <c r="K216" s="165"/>
    </row>
    <row r="217" spans="1:19" hidden="1">
      <c r="A217" s="14" t="s">
        <v>29</v>
      </c>
      <c r="B217" s="66">
        <v>1</v>
      </c>
      <c r="C217" s="66">
        <v>8</v>
      </c>
      <c r="D217" s="34">
        <f>80-23</f>
        <v>57</v>
      </c>
      <c r="E217" s="65">
        <f>(0.52*SQRT(C217)*D217^0.9*$B$185^0.8)/1000</f>
        <v>6.5494418543005892</v>
      </c>
      <c r="F217" s="65">
        <f>MIN($C$187*$C$189*D217/1000,(2.3*SQRT($C$186*$C$187*$C$189))/1000+(E217/4),$C$187*$C$189*D217/1000*(SQRT(2+4*$C$186/($C$187*$C$189*D217^2))-1)+E217/4)</f>
        <v>5.3182617456072272</v>
      </c>
      <c r="G217" s="65" t="e">
        <f>B217*F217+#REF!*K217</f>
        <v>#REF!</v>
      </c>
      <c r="H217" s="386"/>
      <c r="I217" s="314"/>
      <c r="J217" s="123"/>
      <c r="K217" s="123"/>
    </row>
    <row r="218" spans="1:19" hidden="1">
      <c r="A218" s="44" t="s">
        <v>30</v>
      </c>
      <c r="B218" s="66">
        <v>1</v>
      </c>
      <c r="C218" s="66">
        <v>8</v>
      </c>
      <c r="D218" s="34">
        <f>80-23</f>
        <v>57</v>
      </c>
      <c r="E218" s="65">
        <f t="shared" ref="E218:E234" si="59">(0.52*SQRT(C218)*D218^0.9*$B$185^0.8)/1000</f>
        <v>6.5494418543005892</v>
      </c>
      <c r="F218" s="65">
        <f>MIN($C$187*$C$189*D218/1000,(2.3*SQRT($C$186*$C$187*$C$189))/1000+(E218/4),$C$187*$C$189*D218/1000*(SQRT(2+4*$C$186/($C$187*$C$189*D218^2))-1)+E218/4)</f>
        <v>5.3182617456072272</v>
      </c>
      <c r="G218" s="65" t="e">
        <f>B218*F218+#REF!*K218</f>
        <v>#REF!</v>
      </c>
      <c r="H218" s="386"/>
      <c r="I218" s="314"/>
      <c r="J218" s="123"/>
      <c r="K218" s="123"/>
    </row>
    <row r="219" spans="1:19" hidden="1">
      <c r="A219" s="14" t="s">
        <v>31</v>
      </c>
      <c r="B219" s="66">
        <v>1</v>
      </c>
      <c r="C219" s="66">
        <v>8</v>
      </c>
      <c r="D219" s="34">
        <f>80-23</f>
        <v>57</v>
      </c>
      <c r="E219" s="65">
        <f t="shared" si="59"/>
        <v>6.5494418543005892</v>
      </c>
      <c r="F219" s="65">
        <f>MIN($C$187*$C$189*D219/1000,(2.3*SQRT($C$186*$C$187*$C$189))/1000+(E219/4),$C$187*$C$189*D219/1000*(SQRT(2+4*$C$186/($C$187*$C$189*D219^2))-1)+E219/4)</f>
        <v>5.3182617456072272</v>
      </c>
      <c r="G219" s="65" t="e">
        <f>B219*F219+#REF!*K219</f>
        <v>#REF!</v>
      </c>
      <c r="H219" s="386"/>
      <c r="I219" s="314"/>
      <c r="J219" s="123"/>
      <c r="K219" s="123"/>
    </row>
    <row r="220" spans="1:19" hidden="1">
      <c r="A220" s="44" t="s">
        <v>32</v>
      </c>
      <c r="B220" s="66">
        <v>1</v>
      </c>
      <c r="C220" s="66">
        <v>8</v>
      </c>
      <c r="D220" s="34">
        <f>80-23</f>
        <v>57</v>
      </c>
      <c r="E220" s="65">
        <f t="shared" si="59"/>
        <v>6.5494418543005892</v>
      </c>
      <c r="F220" s="65">
        <f>MIN($C$187*$C$189*D220/1000,(2.3*SQRT($C$186*$C$187*$C$189))/1000+(E220/4),$C$187*$C$189*D220/1000*(SQRT(2+4*$C$186/($C$187*$C$189*D220^2))-1)+E220/4)</f>
        <v>5.3182617456072272</v>
      </c>
      <c r="G220" s="65" t="e">
        <f>B220*F220+#REF!*K220</f>
        <v>#REF!</v>
      </c>
      <c r="H220" s="386"/>
      <c r="I220" s="314"/>
      <c r="J220" s="123"/>
      <c r="K220" s="123"/>
    </row>
    <row r="221" spans="1:19" hidden="1">
      <c r="A221" s="14" t="s">
        <v>33</v>
      </c>
      <c r="B221" s="66">
        <v>1</v>
      </c>
      <c r="C221" s="66">
        <v>10</v>
      </c>
      <c r="D221" s="34">
        <f>100-25</f>
        <v>75</v>
      </c>
      <c r="E221" s="65">
        <f>(0.52*SQRT(C221)*D221^0.9*$B$185^0.8)/1000</f>
        <v>9.3740456535592109</v>
      </c>
      <c r="F221" s="65">
        <f>MIN($B$187*$B$189*D221/1000,(2.3*SQRT($B$186*$B$187*$B$189))/1000+(E221/4),$B$187*$B$189*D221/1000*(SQRT(2+4*$B$186/($B$187*$B$189*D221^2))-1)+E221/4)</f>
        <v>7.7560268644377199</v>
      </c>
      <c r="G221" s="65" t="e">
        <f>B221*F221+#REF!*K221</f>
        <v>#REF!</v>
      </c>
      <c r="H221" s="386"/>
      <c r="I221" s="314"/>
      <c r="J221" s="123"/>
      <c r="K221" s="123"/>
    </row>
    <row r="222" spans="1:19" hidden="1">
      <c r="A222" s="44" t="s">
        <v>34</v>
      </c>
      <c r="B222" s="66">
        <v>1</v>
      </c>
      <c r="C222" s="66">
        <v>10</v>
      </c>
      <c r="D222" s="34">
        <f>100-25</f>
        <v>75</v>
      </c>
      <c r="E222" s="65">
        <f t="shared" si="59"/>
        <v>9.3740456535592109</v>
      </c>
      <c r="F222" s="65">
        <f>MIN($B$187*$B$189*D222/1000,(2.3*SQRT($B$186*$B$187*$B$189))/1000+(E222/4),$B$187*$B$189*D222/1000*(SQRT(2+4*$B$186/($B$187*$B$189*D222^2))-1)+E222/4)</f>
        <v>7.7560268644377199</v>
      </c>
      <c r="G222" s="65" t="e">
        <f>B222*F222+#REF!*K222</f>
        <v>#REF!</v>
      </c>
      <c r="H222" s="386"/>
      <c r="I222" s="314"/>
      <c r="J222" s="123"/>
      <c r="K222" s="123"/>
    </row>
    <row r="223" spans="1:19" hidden="1">
      <c r="A223" s="44" t="s">
        <v>35</v>
      </c>
      <c r="B223" s="66">
        <v>1</v>
      </c>
      <c r="C223" s="66">
        <v>10</v>
      </c>
      <c r="D223" s="34">
        <f>100-25</f>
        <v>75</v>
      </c>
      <c r="E223" s="65">
        <f t="shared" si="59"/>
        <v>9.3740456535592109</v>
      </c>
      <c r="F223" s="65">
        <f>MIN($B$187*$B$189*D223/1000,(2.3*SQRT($B$186*$B$187*$B$189))/1000+(E223/4),$B$187*$B$189*D223/1000*(SQRT(2+4*$B$186/($B$187*$B$189*D223^2))-1)+E223/4)</f>
        <v>7.7560268644377199</v>
      </c>
      <c r="G223" s="65" t="e">
        <f>B223*F223+#REF!*K223</f>
        <v>#REF!</v>
      </c>
      <c r="H223" s="386"/>
      <c r="I223" s="314"/>
      <c r="J223" s="123"/>
      <c r="K223" s="123"/>
    </row>
    <row r="224" spans="1:19" hidden="1">
      <c r="A224" s="14" t="s">
        <v>36</v>
      </c>
      <c r="B224" s="66">
        <v>1</v>
      </c>
      <c r="C224" s="66">
        <v>10</v>
      </c>
      <c r="D224" s="34">
        <f>100-25</f>
        <v>75</v>
      </c>
      <c r="E224" s="65">
        <f t="shared" si="59"/>
        <v>9.3740456535592109</v>
      </c>
      <c r="F224" s="65">
        <f>MIN($B$187*$B$189*D224/1000,(2.3*SQRT($B$186*$B$187*$B$189))/1000+(E224/4),$B$187*$B$189*D224/1000*(SQRT(2+4*$B$186/($B$187*$B$189*D224^2))-1)+E224/4)</f>
        <v>7.7560268644377199</v>
      </c>
      <c r="G224" s="65" t="e">
        <f>B224*F224+#REF!*K224</f>
        <v>#REF!</v>
      </c>
      <c r="H224" s="386"/>
      <c r="I224" s="314"/>
      <c r="J224" s="123"/>
      <c r="K224" s="123"/>
    </row>
    <row r="225" spans="1:21" ht="30">
      <c r="A225" s="424" t="s">
        <v>808</v>
      </c>
      <c r="B225" s="63">
        <v>8</v>
      </c>
      <c r="C225" s="63">
        <v>8</v>
      </c>
      <c r="D225" s="303">
        <v>70</v>
      </c>
      <c r="E225" s="64">
        <f t="shared" ref="E225" si="60">(0.52*SQRT(C225)*D225^0.9*$B$185^0.8)/1000</f>
        <v>7.8796178754106014</v>
      </c>
      <c r="F225" s="64">
        <f t="shared" ref="F225:F230" si="61">MIN($C$187*$C$189*D225/1000,(2.3*SQRT($C$186*$C$187*$C$189))/1000+(E225/4),$C$187*$C$189*D225/1000*(SQRT(2+4*$C$186/($C$187*$C$189*D225^2))-1)+E225/4)</f>
        <v>5.7539958910348616</v>
      </c>
      <c r="G225" s="64">
        <f t="shared" ref="G225" si="62">B225^0.9*F225</f>
        <v>37.389575608935985</v>
      </c>
      <c r="H225" s="238" t="s">
        <v>384</v>
      </c>
      <c r="I225" s="314"/>
      <c r="J225" s="123"/>
      <c r="K225" s="123"/>
    </row>
    <row r="226" spans="1:21" ht="30">
      <c r="A226" s="424" t="s">
        <v>801</v>
      </c>
      <c r="B226" s="63">
        <v>10</v>
      </c>
      <c r="C226" s="63">
        <v>8</v>
      </c>
      <c r="D226" s="303">
        <v>70</v>
      </c>
      <c r="E226" s="64">
        <f t="shared" si="59"/>
        <v>7.8796178754106014</v>
      </c>
      <c r="F226" s="64">
        <f t="shared" si="61"/>
        <v>5.7539958910348616</v>
      </c>
      <c r="G226" s="64">
        <f t="shared" ref="G226:G234" si="63">B226^0.9*F226</f>
        <v>45.70561398736492</v>
      </c>
      <c r="H226" s="238" t="s">
        <v>384</v>
      </c>
      <c r="I226" s="314"/>
      <c r="J226" s="123"/>
      <c r="K226" s="123"/>
    </row>
    <row r="227" spans="1:21" ht="30">
      <c r="A227" s="342" t="s">
        <v>379</v>
      </c>
      <c r="B227" s="63">
        <v>10</v>
      </c>
      <c r="C227" s="63">
        <v>8</v>
      </c>
      <c r="D227" s="303">
        <v>70</v>
      </c>
      <c r="E227" s="64">
        <f t="shared" si="59"/>
        <v>7.8796178754106014</v>
      </c>
      <c r="F227" s="64">
        <f t="shared" si="61"/>
        <v>5.7539958910348616</v>
      </c>
      <c r="G227" s="64">
        <f t="shared" si="63"/>
        <v>45.70561398736492</v>
      </c>
      <c r="H227" s="238" t="s">
        <v>384</v>
      </c>
      <c r="I227" s="314"/>
      <c r="J227" s="123"/>
      <c r="K227" s="123"/>
      <c r="U227" s="103"/>
    </row>
    <row r="228" spans="1:21" ht="30">
      <c r="A228" s="342" t="s">
        <v>802</v>
      </c>
      <c r="B228" s="63">
        <v>8</v>
      </c>
      <c r="C228" s="63">
        <v>8</v>
      </c>
      <c r="D228" s="303">
        <v>70</v>
      </c>
      <c r="E228" s="64">
        <f t="shared" ref="E228" si="64">(0.52*SQRT(C228)*D228^0.9*$B$185^0.8)/1000</f>
        <v>7.8796178754106014</v>
      </c>
      <c r="F228" s="64">
        <f t="shared" si="61"/>
        <v>5.7539958910348616</v>
      </c>
      <c r="G228" s="64">
        <f t="shared" ref="G228" si="65">B228^0.9*F228</f>
        <v>37.389575608935985</v>
      </c>
      <c r="H228" s="238" t="s">
        <v>384</v>
      </c>
      <c r="I228" s="314"/>
      <c r="J228" s="123"/>
      <c r="K228" s="123"/>
      <c r="U228" s="103"/>
    </row>
    <row r="229" spans="1:21" ht="30">
      <c r="A229" s="342" t="s">
        <v>803</v>
      </c>
      <c r="B229" s="63">
        <v>16</v>
      </c>
      <c r="C229" s="63">
        <v>8</v>
      </c>
      <c r="D229" s="303">
        <v>70</v>
      </c>
      <c r="E229" s="64">
        <f t="shared" si="59"/>
        <v>7.8796178754106014</v>
      </c>
      <c r="F229" s="64">
        <f t="shared" si="61"/>
        <v>5.7539958910348616</v>
      </c>
      <c r="G229" s="64">
        <f t="shared" si="63"/>
        <v>69.771415165394387</v>
      </c>
      <c r="H229" s="238" t="s">
        <v>384</v>
      </c>
      <c r="I229" s="314"/>
      <c r="J229" s="123"/>
      <c r="K229" s="123"/>
    </row>
    <row r="230" spans="1:21" ht="30">
      <c r="A230" s="342" t="s">
        <v>381</v>
      </c>
      <c r="B230" s="63">
        <v>16</v>
      </c>
      <c r="C230" s="63">
        <v>8</v>
      </c>
      <c r="D230" s="303">
        <v>70</v>
      </c>
      <c r="E230" s="64">
        <f t="shared" si="59"/>
        <v>7.8796178754106014</v>
      </c>
      <c r="F230" s="64">
        <f t="shared" si="61"/>
        <v>5.7539958910348616</v>
      </c>
      <c r="G230" s="64">
        <f t="shared" si="63"/>
        <v>69.771415165394387</v>
      </c>
      <c r="H230" s="238" t="s">
        <v>384</v>
      </c>
      <c r="I230" s="314"/>
      <c r="J230" s="123"/>
      <c r="K230" s="123"/>
    </row>
    <row r="231" spans="1:21" ht="30">
      <c r="A231" s="342" t="s">
        <v>809</v>
      </c>
      <c r="B231" s="63">
        <v>8</v>
      </c>
      <c r="C231" s="63">
        <v>10</v>
      </c>
      <c r="D231" s="303">
        <v>85</v>
      </c>
      <c r="E231" s="64">
        <f t="shared" ref="E231" si="66">(0.52*SQRT(C231)*D231^0.9*$B$185^0.8)/1000</f>
        <v>10.491774806064372</v>
      </c>
      <c r="F231" s="64">
        <f>MIN($B$187*$B$189*D231/1000,(2.3*SQRT($B$186*$B$187*$B$189))/1000+(E231/4),$B$187*$B$189*D231/1000*(SQRT(2+4*$B$186/($B$187*$B$189*D231^2))-1)+E231/4)</f>
        <v>8.0354591525640107</v>
      </c>
      <c r="G231" s="64">
        <f t="shared" ref="G231" si="67">B231^0.9*F231</f>
        <v>52.214567619942095</v>
      </c>
      <c r="H231" s="238" t="s">
        <v>384</v>
      </c>
      <c r="I231" s="314"/>
      <c r="J231" s="123"/>
      <c r="K231" s="123"/>
    </row>
    <row r="232" spans="1:21" ht="30">
      <c r="A232" s="342" t="s">
        <v>805</v>
      </c>
      <c r="B232" s="63">
        <v>16</v>
      </c>
      <c r="C232" s="63">
        <v>10</v>
      </c>
      <c r="D232" s="303">
        <v>85</v>
      </c>
      <c r="E232" s="64">
        <f t="shared" si="59"/>
        <v>10.491774806064372</v>
      </c>
      <c r="F232" s="64">
        <f>MIN($B$187*$B$189*D232/1000,(2.3*SQRT($B$186*$B$187*$B$189))/1000+(E232/4),$B$187*$B$189*D232/1000*(SQRT(2+4*$B$186/($B$187*$B$189*D232^2))-1)+E232/4)</f>
        <v>8.0354591525640107</v>
      </c>
      <c r="G232" s="64">
        <f t="shared" si="63"/>
        <v>97.435828456471</v>
      </c>
      <c r="H232" s="238" t="s">
        <v>384</v>
      </c>
      <c r="I232" s="314"/>
      <c r="J232" s="123"/>
      <c r="K232" s="123"/>
    </row>
    <row r="233" spans="1:21" ht="30">
      <c r="A233" s="342" t="s">
        <v>807</v>
      </c>
      <c r="B233" s="63">
        <v>8</v>
      </c>
      <c r="C233" s="63">
        <v>10</v>
      </c>
      <c r="D233" s="303">
        <v>85</v>
      </c>
      <c r="E233" s="64">
        <f t="shared" ref="E233" si="68">(0.52*SQRT(C233)*D233^0.9*$B$185^0.8)/1000</f>
        <v>10.491774806064372</v>
      </c>
      <c r="F233" s="64">
        <f>MIN($B$187*$B$189*D233/1000,(2.3*SQRT($B$186*$B$187*$B$189))/1000+(E233/4),$B$187*$B$189*D233/1000*(SQRT(2+4*$B$186/($B$187*$B$189*D233^2))-1)+E233/4)</f>
        <v>8.0354591525640107</v>
      </c>
      <c r="G233" s="64">
        <f t="shared" ref="G233" si="69">B233^0.9*F233</f>
        <v>52.214567619942095</v>
      </c>
      <c r="H233" s="238" t="s">
        <v>384</v>
      </c>
      <c r="I233" s="314"/>
      <c r="J233" s="123"/>
      <c r="K233" s="123"/>
    </row>
    <row r="234" spans="1:21" ht="30">
      <c r="A234" s="342" t="s">
        <v>810</v>
      </c>
      <c r="B234" s="63">
        <v>20</v>
      </c>
      <c r="C234" s="63">
        <v>10</v>
      </c>
      <c r="D234" s="303">
        <v>85</v>
      </c>
      <c r="E234" s="64">
        <f t="shared" si="59"/>
        <v>10.491774806064372</v>
      </c>
      <c r="F234" s="64">
        <f>MIN($B$187*$B$189*D234/1000,(2.3*SQRT($B$186*$B$187*$B$189))/1000+(E234/4),$B$187*$B$189*D234/1000*(SQRT(2+4*$B$186/($B$187*$B$189*D234^2))-1)+E234/4)</f>
        <v>8.0354591525640107</v>
      </c>
      <c r="G234" s="64">
        <f t="shared" si="63"/>
        <v>119.10711184713817</v>
      </c>
      <c r="H234" s="238" t="s">
        <v>384</v>
      </c>
      <c r="I234" s="314"/>
      <c r="J234" s="123"/>
      <c r="K234" s="123"/>
    </row>
    <row r="237" spans="1:21">
      <c r="A237" s="3"/>
      <c r="B237" s="77"/>
      <c r="F237" t="s">
        <v>72</v>
      </c>
      <c r="G237" s="3"/>
    </row>
    <row r="238" spans="1:21" ht="18">
      <c r="A238" s="4" t="s">
        <v>2</v>
      </c>
      <c r="B238" s="78" t="s">
        <v>61</v>
      </c>
      <c r="C238" s="78" t="s">
        <v>73</v>
      </c>
      <c r="D238" s="5" t="s">
        <v>74</v>
      </c>
      <c r="E238" s="78" t="s">
        <v>75</v>
      </c>
      <c r="F238" s="79" t="s">
        <v>85</v>
      </c>
      <c r="G238" s="80"/>
      <c r="O238" s="4" t="s">
        <v>2</v>
      </c>
      <c r="P238" s="710" t="s">
        <v>77</v>
      </c>
      <c r="Q238" s="711"/>
      <c r="R238" s="711"/>
      <c r="S238" s="711"/>
      <c r="T238" s="712"/>
    </row>
    <row r="239" spans="1:21">
      <c r="A239" s="8"/>
      <c r="B239" s="81" t="s">
        <v>17</v>
      </c>
      <c r="C239" s="82" t="s">
        <v>17</v>
      </c>
      <c r="D239" s="9" t="s">
        <v>78</v>
      </c>
      <c r="E239" s="82" t="s">
        <v>17</v>
      </c>
      <c r="F239" s="83" t="s">
        <v>17</v>
      </c>
      <c r="G239" s="84"/>
      <c r="O239" s="8"/>
      <c r="P239" s="104">
        <v>0.6</v>
      </c>
      <c r="Q239" s="104">
        <v>0.7</v>
      </c>
      <c r="R239" s="104">
        <v>0.8</v>
      </c>
      <c r="S239" s="104">
        <v>0.9</v>
      </c>
      <c r="T239" s="104">
        <v>1</v>
      </c>
      <c r="U239" s="105"/>
    </row>
    <row r="240" spans="1:21" hidden="1">
      <c r="A240" s="14" t="s">
        <v>29</v>
      </c>
      <c r="B240" s="65" t="e">
        <f t="shared" ref="B240:B256" si="70">G195</f>
        <v>#REF!</v>
      </c>
      <c r="C240" s="65">
        <v>34</v>
      </c>
      <c r="D240" s="106">
        <v>10.7</v>
      </c>
      <c r="E240" s="65" t="e">
        <f t="shared" ref="E240:E255" si="71">1/SQRT((1/G217)^2+(1/(D240*E217))^2)</f>
        <v>#REF!</v>
      </c>
      <c r="F240" s="107" t="e">
        <f>MIN(B240,E240)</f>
        <v>#REF!</v>
      </c>
      <c r="G240" s="87"/>
      <c r="N240" s="103"/>
      <c r="O240" s="14" t="s">
        <v>29</v>
      </c>
      <c r="P240" s="88" t="e">
        <f>MIN(P$239*$B240/1.3,$C240/1,P$239*$E240/1.3)</f>
        <v>#REF!</v>
      </c>
      <c r="Q240" s="88" t="e">
        <f>MIN(Q$239*$B240/1.3,$C240/1,Q$239*$E240/1.3)</f>
        <v>#REF!</v>
      </c>
      <c r="R240" s="88" t="e">
        <f>MIN(R$239*$B240/1.3,$C240/1,R$239*$E240/1.3)</f>
        <v>#REF!</v>
      </c>
      <c r="S240" s="88" t="e">
        <f>MIN(S$239*$B240/1.3,$C240/1,S$239*$E240/1.3)</f>
        <v>#REF!</v>
      </c>
      <c r="T240" s="88" t="e">
        <f>MIN(T$239*$B240/1.3,$C240/1,T$239*$E240/1.3)</f>
        <v>#REF!</v>
      </c>
    </row>
    <row r="241" spans="1:20" hidden="1">
      <c r="A241" s="44" t="s">
        <v>30</v>
      </c>
      <c r="B241" s="65" t="e">
        <f t="shared" si="70"/>
        <v>#REF!</v>
      </c>
      <c r="C241" s="65">
        <v>34</v>
      </c>
      <c r="D241" s="106">
        <v>18.3</v>
      </c>
      <c r="E241" s="65" t="e">
        <f t="shared" si="71"/>
        <v>#REF!</v>
      </c>
      <c r="F241" s="107" t="e">
        <f t="shared" ref="F241:F257" si="72">MIN(B241,E241)</f>
        <v>#REF!</v>
      </c>
      <c r="G241" s="87"/>
      <c r="N241" s="103"/>
      <c r="O241" s="44" t="s">
        <v>30</v>
      </c>
      <c r="P241" s="88" t="e">
        <f t="shared" ref="P241:T257" si="73">MIN(P$239*$B241/1.3,$C241/1,P$239*$E241/1.3)</f>
        <v>#REF!</v>
      </c>
      <c r="Q241" s="88" t="e">
        <f t="shared" si="73"/>
        <v>#REF!</v>
      </c>
      <c r="R241" s="88" t="e">
        <f t="shared" si="73"/>
        <v>#REF!</v>
      </c>
      <c r="S241" s="88" t="e">
        <f t="shared" si="73"/>
        <v>#REF!</v>
      </c>
      <c r="T241" s="88" t="e">
        <f t="shared" si="73"/>
        <v>#REF!</v>
      </c>
    </row>
    <row r="242" spans="1:20" hidden="1">
      <c r="A242" s="14" t="s">
        <v>31</v>
      </c>
      <c r="B242" s="65" t="e">
        <f t="shared" si="70"/>
        <v>#REF!</v>
      </c>
      <c r="C242" s="65">
        <v>34</v>
      </c>
      <c r="D242" s="106">
        <v>27.8</v>
      </c>
      <c r="E242" s="65" t="e">
        <f t="shared" si="71"/>
        <v>#REF!</v>
      </c>
      <c r="F242" s="107" t="e">
        <f t="shared" si="72"/>
        <v>#REF!</v>
      </c>
      <c r="G242" s="87"/>
      <c r="N242" s="103"/>
      <c r="O242" s="14" t="s">
        <v>31</v>
      </c>
      <c r="P242" s="88" t="e">
        <f t="shared" si="73"/>
        <v>#REF!</v>
      </c>
      <c r="Q242" s="88" t="e">
        <f t="shared" si="73"/>
        <v>#REF!</v>
      </c>
      <c r="R242" s="88" t="e">
        <f t="shared" si="73"/>
        <v>#REF!</v>
      </c>
      <c r="S242" s="88" t="e">
        <f t="shared" si="73"/>
        <v>#REF!</v>
      </c>
      <c r="T242" s="88" t="e">
        <f t="shared" si="73"/>
        <v>#REF!</v>
      </c>
    </row>
    <row r="243" spans="1:20" hidden="1">
      <c r="A243" s="44" t="s">
        <v>32</v>
      </c>
      <c r="B243" s="65" t="e">
        <f t="shared" si="70"/>
        <v>#REF!</v>
      </c>
      <c r="C243" s="65">
        <v>34</v>
      </c>
      <c r="D243" s="106">
        <v>39.299999999999997</v>
      </c>
      <c r="E243" s="65" t="e">
        <f t="shared" si="71"/>
        <v>#REF!</v>
      </c>
      <c r="F243" s="107" t="e">
        <f t="shared" si="72"/>
        <v>#REF!</v>
      </c>
      <c r="G243" s="87"/>
      <c r="N243" s="103"/>
      <c r="O243" s="44" t="s">
        <v>32</v>
      </c>
      <c r="P243" s="88" t="e">
        <f t="shared" si="73"/>
        <v>#REF!</v>
      </c>
      <c r="Q243" s="88" t="e">
        <f t="shared" si="73"/>
        <v>#REF!</v>
      </c>
      <c r="R243" s="88" t="e">
        <f t="shared" si="73"/>
        <v>#REF!</v>
      </c>
      <c r="S243" s="88" t="e">
        <f t="shared" si="73"/>
        <v>#REF!</v>
      </c>
      <c r="T243" s="88" t="e">
        <f t="shared" si="73"/>
        <v>#REF!</v>
      </c>
    </row>
    <row r="244" spans="1:20" hidden="1">
      <c r="A244" s="14" t="s">
        <v>33</v>
      </c>
      <c r="B244" s="65" t="e">
        <f t="shared" si="70"/>
        <v>#REF!</v>
      </c>
      <c r="C244" s="65">
        <v>50</v>
      </c>
      <c r="D244" s="106">
        <v>27.8</v>
      </c>
      <c r="E244" s="65" t="e">
        <f t="shared" si="71"/>
        <v>#REF!</v>
      </c>
      <c r="F244" s="107" t="e">
        <f t="shared" si="72"/>
        <v>#REF!</v>
      </c>
      <c r="G244" s="87"/>
      <c r="N244" s="103"/>
      <c r="O244" s="14" t="s">
        <v>33</v>
      </c>
      <c r="P244" s="88" t="e">
        <f t="shared" si="73"/>
        <v>#REF!</v>
      </c>
      <c r="Q244" s="88" t="e">
        <f t="shared" si="73"/>
        <v>#REF!</v>
      </c>
      <c r="R244" s="88" t="e">
        <f t="shared" si="73"/>
        <v>#REF!</v>
      </c>
      <c r="S244" s="88" t="e">
        <f t="shared" si="73"/>
        <v>#REF!</v>
      </c>
      <c r="T244" s="88" t="e">
        <f t="shared" si="73"/>
        <v>#REF!</v>
      </c>
    </row>
    <row r="245" spans="1:20" hidden="1">
      <c r="A245" s="44" t="s">
        <v>34</v>
      </c>
      <c r="B245" s="65" t="e">
        <f t="shared" si="70"/>
        <v>#REF!</v>
      </c>
      <c r="C245" s="65">
        <v>50</v>
      </c>
      <c r="D245" s="106">
        <v>39.299999999999997</v>
      </c>
      <c r="E245" s="65" t="e">
        <f t="shared" si="71"/>
        <v>#REF!</v>
      </c>
      <c r="F245" s="107" t="e">
        <f t="shared" si="72"/>
        <v>#REF!</v>
      </c>
      <c r="G245" s="87"/>
      <c r="N245" s="103"/>
      <c r="O245" s="44" t="s">
        <v>34</v>
      </c>
      <c r="P245" s="88" t="e">
        <f t="shared" si="73"/>
        <v>#REF!</v>
      </c>
      <c r="Q245" s="88" t="e">
        <f t="shared" si="73"/>
        <v>#REF!</v>
      </c>
      <c r="R245" s="88" t="e">
        <f t="shared" si="73"/>
        <v>#REF!</v>
      </c>
      <c r="S245" s="88" t="e">
        <f t="shared" si="73"/>
        <v>#REF!</v>
      </c>
      <c r="T245" s="88" t="e">
        <f t="shared" si="73"/>
        <v>#REF!</v>
      </c>
    </row>
    <row r="246" spans="1:20" hidden="1">
      <c r="A246" s="44" t="s">
        <v>35</v>
      </c>
      <c r="B246" s="65" t="e">
        <f t="shared" si="70"/>
        <v>#REF!</v>
      </c>
      <c r="C246" s="65">
        <v>50</v>
      </c>
      <c r="D246" s="106">
        <v>52.9</v>
      </c>
      <c r="E246" s="65" t="e">
        <f t="shared" si="71"/>
        <v>#REF!</v>
      </c>
      <c r="F246" s="107" t="e">
        <f t="shared" si="72"/>
        <v>#REF!</v>
      </c>
      <c r="G246" s="87"/>
      <c r="N246" s="103"/>
      <c r="O246" s="44" t="s">
        <v>35</v>
      </c>
      <c r="P246" s="88" t="e">
        <f t="shared" si="73"/>
        <v>#REF!</v>
      </c>
      <c r="Q246" s="88" t="e">
        <f t="shared" si="73"/>
        <v>#REF!</v>
      </c>
      <c r="R246" s="88" t="e">
        <f t="shared" si="73"/>
        <v>#REF!</v>
      </c>
      <c r="S246" s="88" t="e">
        <f t="shared" si="73"/>
        <v>#REF!</v>
      </c>
      <c r="T246" s="88" t="e">
        <f t="shared" si="73"/>
        <v>#REF!</v>
      </c>
    </row>
    <row r="247" spans="1:20" hidden="1">
      <c r="A247" s="14" t="s">
        <v>36</v>
      </c>
      <c r="B247" s="65" t="e">
        <f t="shared" si="70"/>
        <v>#REF!</v>
      </c>
      <c r="C247" s="65">
        <v>50</v>
      </c>
      <c r="D247" s="106">
        <v>68.400000000000006</v>
      </c>
      <c r="E247" s="65" t="e">
        <f t="shared" si="71"/>
        <v>#REF!</v>
      </c>
      <c r="F247" s="107" t="e">
        <f t="shared" si="72"/>
        <v>#REF!</v>
      </c>
      <c r="G247" s="87"/>
      <c r="N247" s="103"/>
      <c r="O247" s="14" t="s">
        <v>36</v>
      </c>
      <c r="P247" s="88" t="e">
        <f t="shared" si="73"/>
        <v>#REF!</v>
      </c>
      <c r="Q247" s="88" t="e">
        <f t="shared" si="73"/>
        <v>#REF!</v>
      </c>
      <c r="R247" s="88" t="e">
        <f t="shared" si="73"/>
        <v>#REF!</v>
      </c>
      <c r="S247" s="88" t="e">
        <f t="shared" si="73"/>
        <v>#REF!</v>
      </c>
      <c r="T247" s="88" t="e">
        <f t="shared" si="73"/>
        <v>#REF!</v>
      </c>
    </row>
    <row r="248" spans="1:20" ht="30">
      <c r="A248" s="424" t="s">
        <v>808</v>
      </c>
      <c r="B248" s="65">
        <f t="shared" si="70"/>
        <v>26.949266771153084</v>
      </c>
      <c r="C248" s="65">
        <v>34</v>
      </c>
      <c r="D248" s="106">
        <v>10.7</v>
      </c>
      <c r="E248" s="65">
        <f t="shared" si="71"/>
        <v>34.179409828597173</v>
      </c>
      <c r="F248" s="107">
        <f t="shared" ref="F248" si="74">MIN(B248,E248)</f>
        <v>26.949266771153084</v>
      </c>
      <c r="G248" s="87"/>
      <c r="N248" s="103"/>
      <c r="O248" s="424" t="s">
        <v>808</v>
      </c>
      <c r="P248" s="88">
        <f t="shared" si="73"/>
        <v>12.438123125147577</v>
      </c>
      <c r="Q248" s="88">
        <f t="shared" si="73"/>
        <v>14.511143646005506</v>
      </c>
      <c r="R248" s="88">
        <f t="shared" si="73"/>
        <v>16.584164166863435</v>
      </c>
      <c r="S248" s="88">
        <f t="shared" si="73"/>
        <v>18.657184687721365</v>
      </c>
      <c r="T248" s="88">
        <f t="shared" si="73"/>
        <v>20.730205208579296</v>
      </c>
    </row>
    <row r="249" spans="1:20" ht="30">
      <c r="A249" s="424" t="s">
        <v>801</v>
      </c>
      <c r="B249" s="65">
        <f t="shared" si="70"/>
        <v>37.149991394525706</v>
      </c>
      <c r="C249" s="65">
        <v>34</v>
      </c>
      <c r="D249" s="106">
        <v>10.7</v>
      </c>
      <c r="E249" s="65">
        <f t="shared" si="71"/>
        <v>40.18125965399701</v>
      </c>
      <c r="F249" s="107">
        <f t="shared" si="72"/>
        <v>37.149991394525706</v>
      </c>
      <c r="G249" s="87"/>
      <c r="N249" s="103"/>
      <c r="O249" s="424" t="s">
        <v>801</v>
      </c>
      <c r="P249" s="88">
        <f t="shared" si="73"/>
        <v>17.146149874396478</v>
      </c>
      <c r="Q249" s="88">
        <f t="shared" si="73"/>
        <v>20.003841520129225</v>
      </c>
      <c r="R249" s="88">
        <f t="shared" si="73"/>
        <v>22.861533165861974</v>
      </c>
      <c r="S249" s="88">
        <f t="shared" si="73"/>
        <v>25.719224811594717</v>
      </c>
      <c r="T249" s="88">
        <f t="shared" si="73"/>
        <v>28.576916457327464</v>
      </c>
    </row>
    <row r="250" spans="1:20" ht="30">
      <c r="A250" s="342" t="s">
        <v>379</v>
      </c>
      <c r="B250" s="65">
        <f t="shared" si="70"/>
        <v>45.920027087622728</v>
      </c>
      <c r="C250" s="65">
        <v>34</v>
      </c>
      <c r="D250" s="106">
        <v>10.7</v>
      </c>
      <c r="E250" s="65">
        <f t="shared" si="71"/>
        <v>40.18125965399701</v>
      </c>
      <c r="F250" s="107">
        <f t="shared" si="72"/>
        <v>40.18125965399701</v>
      </c>
      <c r="G250" s="87"/>
      <c r="N250" s="103"/>
      <c r="O250" s="342" t="s">
        <v>379</v>
      </c>
      <c r="P250" s="88">
        <f t="shared" si="73"/>
        <v>18.545196763383235</v>
      </c>
      <c r="Q250" s="88">
        <f t="shared" si="73"/>
        <v>21.636062890613772</v>
      </c>
      <c r="R250" s="88">
        <f t="shared" si="73"/>
        <v>24.726929017844313</v>
      </c>
      <c r="S250" s="88">
        <f t="shared" si="73"/>
        <v>27.817795145074854</v>
      </c>
      <c r="T250" s="88">
        <f t="shared" si="73"/>
        <v>30.908661272305391</v>
      </c>
    </row>
    <row r="251" spans="1:20" ht="30">
      <c r="A251" s="342" t="s">
        <v>802</v>
      </c>
      <c r="B251" s="65">
        <f t="shared" si="70"/>
        <v>30.390630186062658</v>
      </c>
      <c r="C251" s="65">
        <v>34</v>
      </c>
      <c r="D251" s="106">
        <v>27.8</v>
      </c>
      <c r="E251" s="65">
        <f t="shared" si="71"/>
        <v>36.856539602592946</v>
      </c>
      <c r="F251" s="107">
        <f t="shared" ref="F251" si="75">MIN(B251,E251)</f>
        <v>30.390630186062658</v>
      </c>
      <c r="G251" s="87"/>
      <c r="N251" s="103"/>
      <c r="O251" s="342" t="s">
        <v>802</v>
      </c>
      <c r="P251" s="88">
        <f t="shared" si="73"/>
        <v>14.026444701259686</v>
      </c>
      <c r="Q251" s="88">
        <f t="shared" si="73"/>
        <v>16.36418548480297</v>
      </c>
      <c r="R251" s="88">
        <f t="shared" si="73"/>
        <v>18.701926268346252</v>
      </c>
      <c r="S251" s="88">
        <f t="shared" si="73"/>
        <v>21.039667051889534</v>
      </c>
      <c r="T251" s="88">
        <f t="shared" si="73"/>
        <v>23.377407835432813</v>
      </c>
    </row>
    <row r="252" spans="1:20" ht="30">
      <c r="A252" s="342" t="s">
        <v>803</v>
      </c>
      <c r="B252" s="65">
        <f t="shared" si="70"/>
        <v>56.710921194381697</v>
      </c>
      <c r="C252" s="65">
        <v>34</v>
      </c>
      <c r="D252" s="106">
        <v>27.8</v>
      </c>
      <c r="E252" s="65">
        <f t="shared" si="71"/>
        <v>66.480609906200655</v>
      </c>
      <c r="F252" s="107">
        <f t="shared" si="72"/>
        <v>56.710921194381697</v>
      </c>
      <c r="G252" s="87"/>
      <c r="N252" s="103"/>
      <c r="O252" s="342" t="s">
        <v>803</v>
      </c>
      <c r="P252" s="88">
        <f t="shared" si="73"/>
        <v>26.174271320483861</v>
      </c>
      <c r="Q252" s="88">
        <f t="shared" si="73"/>
        <v>30.536649873897833</v>
      </c>
      <c r="R252" s="88">
        <f t="shared" si="73"/>
        <v>34</v>
      </c>
      <c r="S252" s="88">
        <f t="shared" si="73"/>
        <v>34</v>
      </c>
      <c r="T252" s="88">
        <f t="shared" si="73"/>
        <v>34</v>
      </c>
    </row>
    <row r="253" spans="1:20" ht="30">
      <c r="A253" s="342" t="s">
        <v>381</v>
      </c>
      <c r="B253" s="65">
        <f t="shared" si="70"/>
        <v>70.098725185540317</v>
      </c>
      <c r="C253" s="65">
        <v>34</v>
      </c>
      <c r="D253" s="106">
        <v>27.8</v>
      </c>
      <c r="E253" s="65">
        <f t="shared" si="71"/>
        <v>66.480609906200655</v>
      </c>
      <c r="F253" s="107">
        <f t="shared" si="72"/>
        <v>66.480609906200655</v>
      </c>
      <c r="G253" s="87"/>
      <c r="N253" s="103"/>
      <c r="O253" s="342" t="s">
        <v>381</v>
      </c>
      <c r="P253" s="88">
        <f t="shared" si="73"/>
        <v>30.683358418246456</v>
      </c>
      <c r="Q253" s="88">
        <f t="shared" si="73"/>
        <v>34</v>
      </c>
      <c r="R253" s="88">
        <f t="shared" si="73"/>
        <v>34</v>
      </c>
      <c r="S253" s="88">
        <f t="shared" si="73"/>
        <v>34</v>
      </c>
      <c r="T253" s="88">
        <f t="shared" si="73"/>
        <v>34</v>
      </c>
    </row>
    <row r="254" spans="1:20" ht="30">
      <c r="A254" s="342" t="s">
        <v>809</v>
      </c>
      <c r="B254" s="65">
        <f t="shared" si="70"/>
        <v>42.402011672418155</v>
      </c>
      <c r="C254" s="65">
        <v>50</v>
      </c>
      <c r="D254" s="106">
        <v>27.8</v>
      </c>
      <c r="E254" s="65">
        <f t="shared" si="71"/>
        <v>51.397478851467305</v>
      </c>
      <c r="F254" s="107">
        <f t="shared" ref="F254" si="76">MIN(B254,E254)</f>
        <v>42.402011672418155</v>
      </c>
      <c r="G254" s="87"/>
      <c r="N254" s="103"/>
      <c r="O254" s="342" t="s">
        <v>809</v>
      </c>
      <c r="P254" s="88">
        <f t="shared" si="73"/>
        <v>19.570159233423762</v>
      </c>
      <c r="Q254" s="88">
        <f t="shared" si="73"/>
        <v>22.831852438994389</v>
      </c>
      <c r="R254" s="88">
        <f t="shared" si="73"/>
        <v>26.093545644565019</v>
      </c>
      <c r="S254" s="88">
        <f t="shared" si="73"/>
        <v>29.355238850135645</v>
      </c>
      <c r="T254" s="88">
        <f t="shared" si="73"/>
        <v>32.616932055706272</v>
      </c>
    </row>
    <row r="255" spans="1:20" ht="31.5" customHeight="1">
      <c r="A255" s="342" t="s">
        <v>805</v>
      </c>
      <c r="B255" s="65">
        <f t="shared" si="70"/>
        <v>79.124951595789881</v>
      </c>
      <c r="C255" s="65">
        <v>50</v>
      </c>
      <c r="D255" s="106">
        <v>27.8</v>
      </c>
      <c r="E255" s="65">
        <f t="shared" si="71"/>
        <v>92.415567140008505</v>
      </c>
      <c r="F255" s="107">
        <f t="shared" si="72"/>
        <v>79.124951595789881</v>
      </c>
      <c r="G255" s="87"/>
      <c r="N255" s="103"/>
      <c r="O255" s="342" t="s">
        <v>805</v>
      </c>
      <c r="P255" s="88">
        <f t="shared" si="73"/>
        <v>36.519208428826097</v>
      </c>
      <c r="Q255" s="88">
        <f t="shared" si="73"/>
        <v>42.605743166963784</v>
      </c>
      <c r="R255" s="88">
        <f t="shared" si="73"/>
        <v>48.692277905101463</v>
      </c>
      <c r="S255" s="88">
        <f t="shared" si="73"/>
        <v>50</v>
      </c>
      <c r="T255" s="88">
        <f t="shared" si="73"/>
        <v>50</v>
      </c>
    </row>
    <row r="256" spans="1:20" ht="31.5" customHeight="1">
      <c r="A256" s="342" t="s">
        <v>807</v>
      </c>
      <c r="B256" s="65">
        <f t="shared" si="70"/>
        <v>42.402011672418155</v>
      </c>
      <c r="C256" s="65">
        <v>50</v>
      </c>
      <c r="D256" s="106">
        <v>68.400000000000006</v>
      </c>
      <c r="E256" s="65">
        <f t="shared" ref="E256" si="77">1/SQRT((1/G233)^2+(1/(D256*E233))^2)</f>
        <v>52.076905395084687</v>
      </c>
      <c r="F256" s="107">
        <f t="shared" ref="F256" si="78">MIN(B256,E256)</f>
        <v>42.402011672418155</v>
      </c>
      <c r="G256" s="87"/>
      <c r="N256" s="103"/>
      <c r="O256" s="342" t="s">
        <v>807</v>
      </c>
      <c r="P256" s="88">
        <f t="shared" si="73"/>
        <v>19.570159233423762</v>
      </c>
      <c r="Q256" s="88">
        <f t="shared" si="73"/>
        <v>22.831852438994389</v>
      </c>
      <c r="R256" s="88">
        <f t="shared" si="73"/>
        <v>26.093545644565019</v>
      </c>
      <c r="S256" s="88">
        <f t="shared" si="73"/>
        <v>29.355238850135645</v>
      </c>
      <c r="T256" s="88">
        <f t="shared" si="73"/>
        <v>32.616932055706272</v>
      </c>
    </row>
    <row r="257" spans="1:20" ht="30" customHeight="1">
      <c r="A257" s="342" t="s">
        <v>810</v>
      </c>
      <c r="B257" s="65">
        <f t="shared" ref="B257" si="79">G212</f>
        <v>96.723603718619998</v>
      </c>
      <c r="C257" s="65">
        <v>50</v>
      </c>
      <c r="D257" s="106">
        <v>68.400000000000006</v>
      </c>
      <c r="E257" s="65">
        <f t="shared" ref="E257" si="80">1/SQRT((1/G234)^2+(1/(D257*E234))^2)</f>
        <v>117.49975668148271</v>
      </c>
      <c r="F257" s="107">
        <f t="shared" si="72"/>
        <v>96.723603718619998</v>
      </c>
      <c r="G257" s="87"/>
      <c r="N257" s="103"/>
      <c r="O257" s="342" t="s">
        <v>810</v>
      </c>
      <c r="P257" s="88">
        <f t="shared" si="73"/>
        <v>44.641663254747691</v>
      </c>
      <c r="Q257" s="88">
        <f t="shared" si="73"/>
        <v>50</v>
      </c>
      <c r="R257" s="88">
        <f t="shared" si="73"/>
        <v>50</v>
      </c>
      <c r="S257" s="88">
        <f t="shared" si="73"/>
        <v>50</v>
      </c>
      <c r="T257" s="88">
        <f t="shared" si="73"/>
        <v>50</v>
      </c>
    </row>
    <row r="261" spans="1:20" ht="18.75">
      <c r="A261" s="56" t="s">
        <v>774</v>
      </c>
      <c r="D261" s="100"/>
    </row>
    <row r="262" spans="1:20" ht="18.75">
      <c r="A262" s="56"/>
      <c r="D262" s="100"/>
    </row>
    <row r="263" spans="1:20">
      <c r="A263" s="21" t="s">
        <v>37</v>
      </c>
      <c r="B263" s="22" t="str">
        <f>'Load bearing values_RICON-S_EN'!E41</f>
        <v>GL24h</v>
      </c>
      <c r="D263" s="100"/>
    </row>
    <row r="264" spans="1:20" ht="18">
      <c r="A264" s="23" t="s">
        <v>39</v>
      </c>
      <c r="B264" s="22">
        <f>VLOOKUP(B263,V7:W18,2,FALSE)</f>
        <v>385</v>
      </c>
      <c r="C264" t="s">
        <v>40</v>
      </c>
    </row>
    <row r="265" spans="1:20" ht="18">
      <c r="A265" s="23" t="s">
        <v>62</v>
      </c>
      <c r="B265" s="90">
        <v>35000</v>
      </c>
      <c r="C265" s="90">
        <v>20000</v>
      </c>
      <c r="D265" t="s">
        <v>63</v>
      </c>
    </row>
    <row r="266" spans="1:20">
      <c r="A266" s="23" t="s">
        <v>64</v>
      </c>
      <c r="B266" s="90">
        <v>10</v>
      </c>
      <c r="C266" s="90">
        <v>8</v>
      </c>
      <c r="D266" t="s">
        <v>65</v>
      </c>
    </row>
    <row r="267" spans="1:20" ht="18">
      <c r="A267" s="23" t="s">
        <v>66</v>
      </c>
      <c r="B267" s="101">
        <f>0.033*B264*B266^-0.3</f>
        <v>6.3675838032344938</v>
      </c>
      <c r="C267" s="101">
        <f>0.033*B264*C266^-0.3</f>
        <v>6.808440920761802</v>
      </c>
      <c r="D267" t="s">
        <v>67</v>
      </c>
    </row>
    <row r="268" spans="1:20" ht="18">
      <c r="A268" s="23" t="s">
        <v>68</v>
      </c>
      <c r="B268" s="102">
        <f>0.082*B266^-0.3*B264</f>
        <v>15.822480965612984</v>
      </c>
      <c r="C268" s="102">
        <f>0.082*C266^-0.3*B264</f>
        <v>16.917944106135387</v>
      </c>
      <c r="D268" t="s">
        <v>67</v>
      </c>
    </row>
    <row r="270" spans="1:20">
      <c r="A270" s="3"/>
      <c r="D270" s="100"/>
    </row>
    <row r="271" spans="1:20">
      <c r="A271" s="3"/>
    </row>
    <row r="272" spans="1:20" ht="18">
      <c r="A272" s="4" t="s">
        <v>2</v>
      </c>
      <c r="B272" s="5" t="s">
        <v>43</v>
      </c>
      <c r="C272" s="5" t="s">
        <v>9</v>
      </c>
      <c r="D272" s="5" t="s">
        <v>44</v>
      </c>
      <c r="E272" s="5" t="s">
        <v>59</v>
      </c>
      <c r="F272" s="5" t="s">
        <v>60</v>
      </c>
      <c r="G272" s="5" t="s">
        <v>43</v>
      </c>
      <c r="H272" s="5" t="s">
        <v>9</v>
      </c>
      <c r="I272" s="5" t="s">
        <v>44</v>
      </c>
      <c r="J272" s="5" t="s">
        <v>59</v>
      </c>
      <c r="K272" s="5" t="s">
        <v>60</v>
      </c>
      <c r="L272" s="5" t="s">
        <v>61</v>
      </c>
      <c r="M272" s="620"/>
    </row>
    <row r="273" spans="1:19">
      <c r="A273" s="8"/>
      <c r="B273" s="9" t="s">
        <v>19</v>
      </c>
      <c r="C273" s="9" t="s">
        <v>18</v>
      </c>
      <c r="D273" s="9" t="s">
        <v>18</v>
      </c>
      <c r="E273" s="9" t="s">
        <v>17</v>
      </c>
      <c r="F273" s="9" t="s">
        <v>17</v>
      </c>
      <c r="G273" s="9" t="s">
        <v>19</v>
      </c>
      <c r="H273" s="9" t="s">
        <v>18</v>
      </c>
      <c r="I273" s="9" t="s">
        <v>18</v>
      </c>
      <c r="J273" s="9" t="s">
        <v>17</v>
      </c>
      <c r="K273" s="9" t="s">
        <v>17</v>
      </c>
      <c r="L273" s="62" t="s">
        <v>17</v>
      </c>
      <c r="M273" s="620"/>
    </row>
    <row r="274" spans="1:19" hidden="1">
      <c r="A274" s="14" t="s">
        <v>29</v>
      </c>
      <c r="B274" s="66">
        <v>1</v>
      </c>
      <c r="C274" s="66">
        <v>8</v>
      </c>
      <c r="D274" s="34">
        <v>137</v>
      </c>
      <c r="E274" s="65">
        <f>(0.3*0.52*SQRT(C274)*D274^0.9*$B$182^0.8)/1000</f>
        <v>0</v>
      </c>
      <c r="F274" s="65" t="e">
        <f>MIN($C$184*$C$185*D274/1000,(2.3*SQRT($C$183*$C$184*$C$185))/1000+(E274/4),$C$184*$C$185*D274/1000*(SQRT(2+4*$C$183/($C$184*$C$185*D274^2))-1)+E274/4)</f>
        <v>#VALUE!</v>
      </c>
      <c r="G274" s="66">
        <v>1</v>
      </c>
      <c r="H274" s="66">
        <v>8</v>
      </c>
      <c r="I274" s="34">
        <v>137</v>
      </c>
      <c r="J274" s="65">
        <f>(0.3*0.52*SQRT(H274)*I274^0.9*$B$182^0.8)/1000</f>
        <v>0</v>
      </c>
      <c r="K274" s="65" t="e">
        <f>MIN($C$184*$C$185*I274/1000,(2.3*SQRT($C$183*$C$184*$C$185))/1000+(J274/4),$C$184*$C$185*I274/1000*(SQRT(2+4*$C$183/($C$184*$C$185*I274^2))-1)+J274/4)</f>
        <v>#VALUE!</v>
      </c>
      <c r="L274" s="65" t="e">
        <f>B274*F274+#REF!*K274</f>
        <v>#VALUE!</v>
      </c>
      <c r="M274" s="386"/>
    </row>
    <row r="275" spans="1:19" hidden="1">
      <c r="A275" s="44" t="s">
        <v>30</v>
      </c>
      <c r="B275" s="66">
        <v>1</v>
      </c>
      <c r="C275" s="66">
        <v>8</v>
      </c>
      <c r="D275" s="34">
        <v>137</v>
      </c>
      <c r="E275" s="65">
        <f t="shared" ref="E275:E281" si="81">(0.3*0.52*SQRT(C275)*D275^0.9*$B$182^0.8)/1000</f>
        <v>0</v>
      </c>
      <c r="F275" s="65" t="e">
        <f>MIN($C$184*$C$185*D275/1000,(2.3*SQRT($C$183*$C$184*$C$185))/1000+(E275/4),$C$184*$C$185*D275/1000*(SQRT(2+4*$C$183/($C$184*$C$185*D275^2))-1)+E275/4)</f>
        <v>#VALUE!</v>
      </c>
      <c r="G275" s="66">
        <v>1</v>
      </c>
      <c r="H275" s="66">
        <v>8</v>
      </c>
      <c r="I275" s="34">
        <v>137</v>
      </c>
      <c r="J275" s="65">
        <f t="shared" ref="J275:J281" si="82">(0.3*0.52*SQRT(H275)*I275^0.9*$B$182^0.8)/1000</f>
        <v>0</v>
      </c>
      <c r="K275" s="65" t="e">
        <f>MIN($C$184*$C$185*I275/1000,(2.3*SQRT($C$183*$C$184*$C$185))/1000+(J275/4),$C$184*$C$185*I275/1000*(SQRT(2+4*$C$183/($C$184*$C$185*I275^2))-1)+J275/4)</f>
        <v>#VALUE!</v>
      </c>
      <c r="L275" s="65" t="e">
        <f>B275*F275+#REF!*K275</f>
        <v>#VALUE!</v>
      </c>
      <c r="M275" s="386"/>
    </row>
    <row r="276" spans="1:19" hidden="1">
      <c r="A276" s="14" t="s">
        <v>31</v>
      </c>
      <c r="B276" s="66">
        <v>1</v>
      </c>
      <c r="C276" s="66">
        <v>8</v>
      </c>
      <c r="D276" s="34">
        <v>137</v>
      </c>
      <c r="E276" s="65">
        <f t="shared" si="81"/>
        <v>0</v>
      </c>
      <c r="F276" s="65" t="e">
        <f>MIN($C$184*$C$185*D276/1000,(2.3*SQRT($C$183*$C$184*$C$185))/1000+(E276/4),$C$184*$C$185*D276/1000*(SQRT(2+4*$C$183/($C$184*$C$185*D276^2))-1)+E276/4)</f>
        <v>#VALUE!</v>
      </c>
      <c r="G276" s="66">
        <v>1</v>
      </c>
      <c r="H276" s="66">
        <v>8</v>
      </c>
      <c r="I276" s="34">
        <v>137</v>
      </c>
      <c r="J276" s="65">
        <f t="shared" si="82"/>
        <v>0</v>
      </c>
      <c r="K276" s="65" t="e">
        <f>MIN($C$184*$C$185*I276/1000,(2.3*SQRT($C$183*$C$184*$C$185))/1000+(J276/4),$C$184*$C$185*I276/1000*(SQRT(2+4*$C$183/($C$184*$C$185*I276^2))-1)+J276/4)</f>
        <v>#VALUE!</v>
      </c>
      <c r="L276" s="65" t="e">
        <f>B276*F276+#REF!*K276</f>
        <v>#VALUE!</v>
      </c>
      <c r="M276" s="386"/>
      <c r="P276"/>
      <c r="Q276"/>
      <c r="R276"/>
      <c r="S276"/>
    </row>
    <row r="277" spans="1:19" hidden="1">
      <c r="A277" s="44" t="s">
        <v>32</v>
      </c>
      <c r="B277" s="66">
        <v>1</v>
      </c>
      <c r="C277" s="66">
        <v>8</v>
      </c>
      <c r="D277" s="34">
        <v>137</v>
      </c>
      <c r="E277" s="65">
        <f t="shared" si="81"/>
        <v>0</v>
      </c>
      <c r="F277" s="65" t="e">
        <f>MIN($C$184*$C$185*D277/1000,(2.3*SQRT($C$183*$C$184*$C$185))/1000+(E277/4),$C$184*$C$185*D277/1000*(SQRT(2+4*$C$183/($C$184*$C$185*D277^2))-1)+E277/4)</f>
        <v>#VALUE!</v>
      </c>
      <c r="G277" s="66">
        <v>1</v>
      </c>
      <c r="H277" s="66">
        <v>8</v>
      </c>
      <c r="I277" s="34">
        <v>137</v>
      </c>
      <c r="J277" s="65">
        <f t="shared" si="82"/>
        <v>0</v>
      </c>
      <c r="K277" s="65" t="e">
        <f>MIN($C$184*$C$185*I277/1000,(2.3*SQRT($C$183*$C$184*$C$185))/1000+(J277/4),$C$184*$C$185*I277/1000*(SQRT(2+4*$C$183/($C$184*$C$185*I277^2))-1)+J277/4)</f>
        <v>#VALUE!</v>
      </c>
      <c r="L277" s="65" t="e">
        <f>B277*F277+#REF!*K277</f>
        <v>#VALUE!</v>
      </c>
      <c r="M277" s="386"/>
      <c r="P277"/>
      <c r="Q277"/>
      <c r="R277"/>
      <c r="S277"/>
    </row>
    <row r="278" spans="1:19" hidden="1">
      <c r="A278" s="14" t="s">
        <v>33</v>
      </c>
      <c r="B278" s="66">
        <v>1</v>
      </c>
      <c r="C278" s="66">
        <v>10</v>
      </c>
      <c r="D278" s="34">
        <v>175</v>
      </c>
      <c r="E278" s="65">
        <f t="shared" si="81"/>
        <v>0</v>
      </c>
      <c r="F278" s="65" t="e">
        <f>MIN($B$184*$B$185*D278/1000,(2.3*SQRT($B$183*$B$184*$B$185))/1000+(E278/4),$B$184*$B$185*D278/1000*(SQRT(2+4*$B$183/($B$184*$B$185*D278^2))-1)+E278/4)</f>
        <v>#VALUE!</v>
      </c>
      <c r="G278" s="66">
        <v>1</v>
      </c>
      <c r="H278" s="66">
        <v>10</v>
      </c>
      <c r="I278" s="34">
        <v>175</v>
      </c>
      <c r="J278" s="65">
        <f t="shared" si="82"/>
        <v>0</v>
      </c>
      <c r="K278" s="65" t="e">
        <f>MIN($B$184*$B$185*I278/1000,(2.3*SQRT($B$183*$B$184*$B$185))/1000+(J278/4),$B$184*$B$185*I278/1000*(SQRT(2+4*$B$183/($B$184*$B$185*I278^2))-1)+J278/4)</f>
        <v>#VALUE!</v>
      </c>
      <c r="L278" s="65" t="e">
        <f>B278*F278+#REF!*K278</f>
        <v>#VALUE!</v>
      </c>
      <c r="M278" s="386"/>
      <c r="P278"/>
      <c r="Q278"/>
      <c r="R278"/>
      <c r="S278"/>
    </row>
    <row r="279" spans="1:19" hidden="1">
      <c r="A279" s="44" t="s">
        <v>34</v>
      </c>
      <c r="B279" s="66">
        <v>1</v>
      </c>
      <c r="C279" s="66">
        <v>10</v>
      </c>
      <c r="D279" s="34">
        <v>175</v>
      </c>
      <c r="E279" s="65">
        <f t="shared" si="81"/>
        <v>0</v>
      </c>
      <c r="F279" s="65" t="e">
        <f>MIN($B$184*$B$185*D279/1000,(2.3*SQRT($B$183*$B$184*$B$185))/1000+(E279/4),$B$184*$B$185*D279/1000*(SQRT(2+4*$B$183/($B$184*$B$185*D279^2))-1)+E279/4)</f>
        <v>#VALUE!</v>
      </c>
      <c r="G279" s="66">
        <v>1</v>
      </c>
      <c r="H279" s="66">
        <v>10</v>
      </c>
      <c r="I279" s="34">
        <v>175</v>
      </c>
      <c r="J279" s="65">
        <f t="shared" si="82"/>
        <v>0</v>
      </c>
      <c r="K279" s="65" t="e">
        <f>MIN($B$184*$B$185*I279/1000,(2.3*SQRT($B$183*$B$184*$B$185))/1000+(J279/4),$B$184*$B$185*I279/1000*(SQRT(2+4*$B$183/($B$184*$B$185*I279^2))-1)+J279/4)</f>
        <v>#VALUE!</v>
      </c>
      <c r="L279" s="65" t="e">
        <f>B279*F279+#REF!*K279</f>
        <v>#VALUE!</v>
      </c>
      <c r="M279" s="386"/>
      <c r="P279"/>
      <c r="Q279"/>
      <c r="R279"/>
      <c r="S279"/>
    </row>
    <row r="280" spans="1:19" hidden="1">
      <c r="A280" s="44" t="s">
        <v>35</v>
      </c>
      <c r="B280" s="66">
        <v>1</v>
      </c>
      <c r="C280" s="66">
        <v>10</v>
      </c>
      <c r="D280" s="34">
        <v>175</v>
      </c>
      <c r="E280" s="65">
        <f t="shared" si="81"/>
        <v>0</v>
      </c>
      <c r="F280" s="65" t="e">
        <f>MIN($B$184*$B$185*D280/1000,(2.3*SQRT($B$183*$B$184*$B$185))/1000+(E280/4),$B$184*$B$185*D280/1000*(SQRT(2+4*$B$183/($B$184*$B$185*D280^2))-1)+E280/4)</f>
        <v>#VALUE!</v>
      </c>
      <c r="G280" s="66">
        <v>1</v>
      </c>
      <c r="H280" s="66">
        <v>10</v>
      </c>
      <c r="I280" s="34">
        <v>175</v>
      </c>
      <c r="J280" s="65">
        <f t="shared" si="82"/>
        <v>0</v>
      </c>
      <c r="K280" s="65" t="e">
        <f>MIN($B$184*$B$185*I280/1000,(2.3*SQRT($B$183*$B$184*$B$185))/1000+(J280/4),$B$184*$B$185*I280/1000*(SQRT(2+4*$B$183/($B$184*$B$185*I280^2))-1)+J280/4)</f>
        <v>#VALUE!</v>
      </c>
      <c r="L280" s="65" t="e">
        <f>B280*F280+#REF!*K280</f>
        <v>#VALUE!</v>
      </c>
      <c r="M280" s="386"/>
      <c r="P280"/>
      <c r="Q280"/>
      <c r="R280"/>
      <c r="S280"/>
    </row>
    <row r="281" spans="1:19" hidden="1">
      <c r="A281" s="14" t="s">
        <v>36</v>
      </c>
      <c r="B281" s="66">
        <v>1</v>
      </c>
      <c r="C281" s="66">
        <v>10</v>
      </c>
      <c r="D281" s="34">
        <v>175</v>
      </c>
      <c r="E281" s="65">
        <f t="shared" si="81"/>
        <v>0</v>
      </c>
      <c r="F281" s="65" t="e">
        <f>MIN($B$184*$B$185*D281/1000,(2.3*SQRT($B$183*$B$184*$B$185))/1000+(E281/4),$B$184*$B$185*D281/1000*(SQRT(2+4*$B$183/($B$184*$B$185*D281^2))-1)+E281/4)</f>
        <v>#VALUE!</v>
      </c>
      <c r="G281" s="66">
        <v>1</v>
      </c>
      <c r="H281" s="66">
        <v>10</v>
      </c>
      <c r="I281" s="34">
        <v>175</v>
      </c>
      <c r="J281" s="65">
        <f t="shared" si="82"/>
        <v>0</v>
      </c>
      <c r="K281" s="65" t="e">
        <f>MIN($B$184*$B$185*I281/1000,(2.3*SQRT($B$183*$B$184*$B$185))/1000+(J281/4),$B$184*$B$185*I281/1000*(SQRT(2+4*$B$183/($B$184*$B$185*I281^2))-1)+J281/4)</f>
        <v>#VALUE!</v>
      </c>
      <c r="L281" s="65" t="e">
        <f>B281*F281+#REF!*K281</f>
        <v>#VALUE!</v>
      </c>
      <c r="M281" s="386"/>
      <c r="P281"/>
      <c r="Q281"/>
      <c r="R281"/>
      <c r="S281"/>
    </row>
    <row r="282" spans="1:19" ht="30">
      <c r="A282" s="424" t="s">
        <v>775</v>
      </c>
      <c r="B282" s="63">
        <v>1</v>
      </c>
      <c r="C282" s="63">
        <v>8</v>
      </c>
      <c r="D282" s="303">
        <f>160-24.5</f>
        <v>135.5</v>
      </c>
      <c r="E282" s="64">
        <f>($E$290*0.52*SQRT(C282)*D282^0.9*$B$264^0.8)/1000</f>
        <v>8.5666995727534658</v>
      </c>
      <c r="F282" s="64">
        <f>MIN(C282*$C$267*D282/1000,(2.3*SQRT($C$265*$C$267*C282))/1000+(E282/4),C282*D282*$C$267/1000*(SQRT(2+4*$C$265/($C$267*C282*D282^2))-1)+E282/4)</f>
        <v>4.5422299113732834</v>
      </c>
      <c r="G282" s="63">
        <v>7</v>
      </c>
      <c r="H282" s="63">
        <v>8</v>
      </c>
      <c r="I282" s="303">
        <f>160-15</f>
        <v>145</v>
      </c>
      <c r="J282" s="64">
        <f>($E$290*0.52*SQRT(H282)*I282^0.9*$B$264^0.8)/1000</f>
        <v>9.1054072130615449</v>
      </c>
      <c r="K282" s="64">
        <f>MIN(H282*$C$267*I282/1000,(2.3*SQRT($C$265*$C$267*H282))/1000+(J282/4),H282*I282*$C$267/1000*(SQRT(2+4*$C$265/($C$267*H282*I282^2))-1)+J282/4)</f>
        <v>4.6769068214503031</v>
      </c>
      <c r="L282" s="64">
        <f>B282^0.9*F282+G282^0.9*K282</f>
        <v>31.491496682526368</v>
      </c>
      <c r="M282" s="238" t="s">
        <v>384</v>
      </c>
      <c r="P282"/>
      <c r="Q282"/>
      <c r="R282"/>
      <c r="S282"/>
    </row>
    <row r="283" spans="1:19" ht="30">
      <c r="A283" s="424" t="s">
        <v>776</v>
      </c>
      <c r="B283" s="63">
        <v>1</v>
      </c>
      <c r="C283" s="63">
        <v>8</v>
      </c>
      <c r="D283" s="303">
        <f>240-24.5</f>
        <v>215.5</v>
      </c>
      <c r="E283" s="64">
        <f>($E$290*0.52*SQRT(C283)*D283^0.9*$B$264^0.8)/1000</f>
        <v>13.006807662011697</v>
      </c>
      <c r="F283" s="64">
        <f>MIN(C283*$C$267*D283/1000,(2.3*SQRT($C$265*$C$267*C283))/1000+(E283/4),C283*D283*$C$267/1000*(SQRT(2+4*$C$265/($C$267*C283*D283^2))-1)+E283/4)</f>
        <v>5.6522569336878412</v>
      </c>
      <c r="G283" s="63">
        <v>7</v>
      </c>
      <c r="H283" s="63">
        <v>8</v>
      </c>
      <c r="I283" s="303">
        <f>240-15</f>
        <v>225</v>
      </c>
      <c r="J283" s="64">
        <f>($E$290*0.52*SQRT(H283)*I283^0.9*$B$264^0.8)/1000</f>
        <v>13.521735531614226</v>
      </c>
      <c r="K283" s="64">
        <f>MIN(H283*$C$267*I283/1000,(2.3*SQRT($C$265*$C$267*H283))/1000+(J283/4),H283*I283*$C$267/1000*(SQRT(2+4*$C$265/($C$267*H283*I283^2))-1)+J283/4)</f>
        <v>5.7809889010884739</v>
      </c>
      <c r="L283" s="64">
        <f>B283^0.9*F283+G283^0.9*K283</f>
        <v>38.963464114889931</v>
      </c>
      <c r="M283" s="238" t="s">
        <v>384</v>
      </c>
      <c r="P283"/>
      <c r="Q283"/>
      <c r="R283"/>
      <c r="S283"/>
    </row>
    <row r="284" spans="1:19" ht="30">
      <c r="A284" s="342" t="s">
        <v>777</v>
      </c>
      <c r="B284" s="63">
        <v>1</v>
      </c>
      <c r="C284" s="63">
        <v>8</v>
      </c>
      <c r="D284" s="303">
        <f t="shared" ref="D284" si="83">160-24.5</f>
        <v>135.5</v>
      </c>
      <c r="E284" s="64">
        <f t="shared" ref="E284:E289" si="84">($E$290*0.52*SQRT(C284)*D284^0.9*$B$264^0.8)/1000</f>
        <v>8.5666995727534658</v>
      </c>
      <c r="F284" s="64">
        <f t="shared" ref="F284:F285" si="85">MIN(C284*$C$267*D284/1000,(2.3*SQRT($C$265*$C$267*C284))/1000+(E284/4),C284*D284*$C$267/1000*(SQRT(2+4*$C$265/($C$267*C284*D284^2))-1)+E284/4)</f>
        <v>4.5422299113732834</v>
      </c>
      <c r="G284" s="63">
        <v>8</v>
      </c>
      <c r="H284" s="63">
        <v>8</v>
      </c>
      <c r="I284" s="303">
        <f>160-15</f>
        <v>145</v>
      </c>
      <c r="J284" s="64">
        <f t="shared" ref="J284:J289" si="86">($E$290*0.52*SQRT(H284)*I284^0.9*$B$264^0.8)/1000</f>
        <v>9.1054072130615449</v>
      </c>
      <c r="K284" s="64">
        <f t="shared" ref="K284:K285" si="87">MIN(H284*$C$267*I284/1000,(2.3*SQRT($C$265*$C$267*H284))/1000+(J284/4),H284*I284*$C$267/1000*(SQRT(2+4*$C$265/($C$267*H284*I284^2))-1)+J284/4)</f>
        <v>4.6769068214503031</v>
      </c>
      <c r="L284" s="64">
        <f t="shared" ref="L284:L289" si="88">B284^0.9*F284+G284^0.9*K284</f>
        <v>34.932860097435942</v>
      </c>
      <c r="M284" s="238" t="s">
        <v>384</v>
      </c>
      <c r="P284"/>
      <c r="Q284"/>
      <c r="R284"/>
      <c r="S284"/>
    </row>
    <row r="285" spans="1:19" ht="30">
      <c r="A285" s="342" t="s">
        <v>778</v>
      </c>
      <c r="B285" s="63">
        <v>1</v>
      </c>
      <c r="C285" s="63">
        <v>8</v>
      </c>
      <c r="D285" s="303">
        <f>240-24.5</f>
        <v>215.5</v>
      </c>
      <c r="E285" s="64">
        <f t="shared" si="84"/>
        <v>13.006807662011697</v>
      </c>
      <c r="F285" s="64">
        <f t="shared" si="85"/>
        <v>5.6522569336878412</v>
      </c>
      <c r="G285" s="63">
        <v>8</v>
      </c>
      <c r="H285" s="63">
        <v>8</v>
      </c>
      <c r="I285" s="303">
        <f>240-15</f>
        <v>225</v>
      </c>
      <c r="J285" s="64">
        <f t="shared" si="86"/>
        <v>13.521735531614226</v>
      </c>
      <c r="K285" s="64">
        <f t="shared" si="87"/>
        <v>5.7809889010884739</v>
      </c>
      <c r="L285" s="64">
        <f t="shared" si="88"/>
        <v>43.217233639431143</v>
      </c>
      <c r="M285" s="238" t="s">
        <v>384</v>
      </c>
      <c r="P285"/>
      <c r="Q285"/>
      <c r="R285"/>
      <c r="S285"/>
    </row>
    <row r="286" spans="1:19" ht="30">
      <c r="A286" s="342" t="s">
        <v>779</v>
      </c>
      <c r="B286" s="63">
        <v>1</v>
      </c>
      <c r="C286" s="63">
        <v>10</v>
      </c>
      <c r="D286" s="303">
        <f>200-25</f>
        <v>175</v>
      </c>
      <c r="E286" s="64">
        <f t="shared" si="84"/>
        <v>12.057504188084518</v>
      </c>
      <c r="F286" s="64">
        <f>MIN(C286*$B$267*D286/1000,(2.3*SQRT($B$265*$B$267*C286))/1000+(E286/4),C286*D286*$B$267/1000*(SQRT(2+4*$B$265/($B$267*C286*D286^2))-1)+E286/4)</f>
        <v>6.4479720354403653</v>
      </c>
      <c r="G286" s="63">
        <v>8</v>
      </c>
      <c r="H286" s="63">
        <v>10</v>
      </c>
      <c r="I286" s="303">
        <v>180</v>
      </c>
      <c r="J286" s="64">
        <f t="shared" si="86"/>
        <v>12.367115938864831</v>
      </c>
      <c r="K286" s="64">
        <f>MIN(H286*$B$267*I286/1000,(2.3*SQRT($B$265*$B$267*H286))/1000+(J286/4),H286*I286*$B$267/1000*(SQRT(2+4*$B$265/($B$267*H286*I286^2))-1)+J286/4)</f>
        <v>6.5253749731354436</v>
      </c>
      <c r="L286" s="64">
        <f t="shared" si="88"/>
        <v>48.84998370785852</v>
      </c>
      <c r="M286" s="238" t="s">
        <v>384</v>
      </c>
      <c r="P286"/>
      <c r="Q286"/>
      <c r="R286"/>
      <c r="S286"/>
    </row>
    <row r="287" spans="1:19" ht="30">
      <c r="A287" s="342" t="s">
        <v>780</v>
      </c>
      <c r="B287" s="63">
        <v>1</v>
      </c>
      <c r="C287" s="63">
        <v>10</v>
      </c>
      <c r="D287" s="303">
        <f>300-25</f>
        <v>275</v>
      </c>
      <c r="E287" s="64">
        <f t="shared" si="84"/>
        <v>18.110173128389938</v>
      </c>
      <c r="F287" s="64">
        <f>MIN(C287*$B$267*D287/1000,(2.3*SQRT($B$265*$B$267*C287))/1000+(E287/4),C287*D287*$B$267/1000*(SQRT(2+4*$B$265/($B$267*C287*D287^2))-1)+E287/4)</f>
        <v>7.9611392705167194</v>
      </c>
      <c r="G287" s="63">
        <v>8</v>
      </c>
      <c r="H287" s="63">
        <v>10</v>
      </c>
      <c r="I287" s="303">
        <f>300-20</f>
        <v>280</v>
      </c>
      <c r="J287" s="64">
        <f t="shared" si="86"/>
        <v>18.406253787508255</v>
      </c>
      <c r="K287" s="64">
        <f>MIN(H287*$B$267*I287/1000,(2.3*SQRT($B$265*$B$267*H287))/1000+(J287/4),H287*I287*$B$267/1000*(SQRT(2+4*$B$265/($B$267*H287*I287^2))-1)+J287/4)</f>
        <v>8.0351594352962987</v>
      </c>
      <c r="L287" s="64">
        <f t="shared" si="88"/>
        <v>60.173759321907383</v>
      </c>
      <c r="M287" s="238" t="s">
        <v>384</v>
      </c>
      <c r="P287"/>
      <c r="Q287"/>
      <c r="R287"/>
      <c r="S287"/>
    </row>
    <row r="288" spans="1:19" ht="30">
      <c r="A288" s="342" t="s">
        <v>781</v>
      </c>
      <c r="B288" s="63">
        <v>1</v>
      </c>
      <c r="C288" s="63">
        <v>10</v>
      </c>
      <c r="D288" s="303">
        <f>200-25</f>
        <v>175</v>
      </c>
      <c r="E288" s="64">
        <f t="shared" si="84"/>
        <v>12.057504188084518</v>
      </c>
      <c r="F288" s="64">
        <f>MIN(C288*$B$267*D288/1000,(2.3*SQRT($B$265*$B$267*C288))/1000+(E288/4),C288*D288*$B$267/1000*(SQRT(2+4*$B$265/($B$267*C288*D288^2))-1)+E288/4)</f>
        <v>6.4479720354403653</v>
      </c>
      <c r="G288" s="63">
        <v>8</v>
      </c>
      <c r="H288" s="63">
        <v>10</v>
      </c>
      <c r="I288" s="303">
        <v>180</v>
      </c>
      <c r="J288" s="64">
        <f t="shared" si="86"/>
        <v>12.367115938864831</v>
      </c>
      <c r="K288" s="64">
        <f>MIN(H288*$B$267*I288/1000,(2.3*SQRT($B$265*$B$267*H288))/1000+(J288/4),H288*I288*$B$267/1000*(SQRT(2+4*$B$265/($B$267*H288*I288^2))-1)+J288/4)</f>
        <v>6.5253749731354436</v>
      </c>
      <c r="L288" s="64">
        <f t="shared" si="88"/>
        <v>48.84998370785852</v>
      </c>
      <c r="M288" s="238" t="s">
        <v>384</v>
      </c>
      <c r="P288"/>
      <c r="Q288"/>
      <c r="R288"/>
      <c r="S288"/>
    </row>
    <row r="289" spans="1:19" ht="30">
      <c r="A289" s="342" t="s">
        <v>781</v>
      </c>
      <c r="B289" s="63">
        <v>1</v>
      </c>
      <c r="C289" s="63">
        <v>10</v>
      </c>
      <c r="D289" s="303">
        <f>300-25</f>
        <v>275</v>
      </c>
      <c r="E289" s="64">
        <f t="shared" si="84"/>
        <v>18.110173128389938</v>
      </c>
      <c r="F289" s="64">
        <f>MIN(C289*$B$267*D289/1000,(2.3*SQRT($B$265*$B$267*C289))/1000+(E289/4),C289*D289*$B$267/1000*(SQRT(2+4*$B$265/($B$267*C289*D289^2))-1)+E289/4)</f>
        <v>7.9611392705167194</v>
      </c>
      <c r="G289" s="63">
        <v>8</v>
      </c>
      <c r="H289" s="63">
        <v>10</v>
      </c>
      <c r="I289" s="303">
        <f>300-20</f>
        <v>280</v>
      </c>
      <c r="J289" s="64">
        <f t="shared" si="86"/>
        <v>18.406253787508255</v>
      </c>
      <c r="K289" s="64">
        <f>MIN(H289*$B$267*I289/1000,(2.3*SQRT($B$265*$B$267*H289))/1000+(J289/4),H289*I289*$B$267/1000*(SQRT(2+4*$B$265/($B$267*H289*I289^2))-1)+J289/4)</f>
        <v>8.0351594352962987</v>
      </c>
      <c r="L289" s="64">
        <f t="shared" si="88"/>
        <v>60.173759321907383</v>
      </c>
      <c r="M289" s="238" t="s">
        <v>384</v>
      </c>
      <c r="P289"/>
      <c r="Q289"/>
      <c r="R289"/>
      <c r="S289"/>
    </row>
    <row r="290" spans="1:19">
      <c r="D290" s="23" t="s">
        <v>308</v>
      </c>
      <c r="E290" s="22">
        <v>0.6</v>
      </c>
      <c r="H290" s="238"/>
    </row>
    <row r="291" spans="1:19">
      <c r="H291" s="238"/>
    </row>
    <row r="292" spans="1:19" ht="18">
      <c r="A292" s="4" t="s">
        <v>2</v>
      </c>
      <c r="B292" s="5" t="s">
        <v>43</v>
      </c>
      <c r="C292" s="5" t="s">
        <v>9</v>
      </c>
      <c r="D292" s="5" t="s">
        <v>44</v>
      </c>
      <c r="E292" s="5" t="s">
        <v>69</v>
      </c>
      <c r="F292" s="5" t="s">
        <v>70</v>
      </c>
      <c r="G292" s="5" t="s">
        <v>43</v>
      </c>
      <c r="H292" s="5" t="s">
        <v>9</v>
      </c>
      <c r="I292" s="5" t="s">
        <v>44</v>
      </c>
      <c r="J292" s="5" t="s">
        <v>69</v>
      </c>
      <c r="K292" s="5" t="s">
        <v>70</v>
      </c>
      <c r="L292" s="5" t="s">
        <v>71</v>
      </c>
    </row>
    <row r="293" spans="1:19">
      <c r="A293" s="8"/>
      <c r="B293" s="9" t="s">
        <v>19</v>
      </c>
      <c r="C293" s="9" t="s">
        <v>18</v>
      </c>
      <c r="D293" s="9" t="s">
        <v>18</v>
      </c>
      <c r="E293" s="9" t="s">
        <v>17</v>
      </c>
      <c r="F293" s="9" t="s">
        <v>17</v>
      </c>
      <c r="G293" s="9" t="s">
        <v>19</v>
      </c>
      <c r="H293" s="9" t="s">
        <v>18</v>
      </c>
      <c r="I293" s="9" t="s">
        <v>18</v>
      </c>
      <c r="J293" s="9" t="s">
        <v>17</v>
      </c>
      <c r="K293" s="9" t="s">
        <v>17</v>
      </c>
      <c r="L293" s="62" t="s">
        <v>17</v>
      </c>
      <c r="M293" s="620"/>
    </row>
    <row r="294" spans="1:19" hidden="1">
      <c r="A294" s="14" t="s">
        <v>29</v>
      </c>
      <c r="B294" s="66">
        <v>1</v>
      </c>
      <c r="C294" s="66">
        <v>8</v>
      </c>
      <c r="D294" s="34">
        <f>80-23</f>
        <v>57</v>
      </c>
      <c r="E294" s="65">
        <f>(0.52*SQRT(C294)*D294^0.9*$B$182^0.8)/1000</f>
        <v>0</v>
      </c>
      <c r="F294" s="65" t="e">
        <f>MIN($C$184*$C$186*D294/1000,(2.3*SQRT($C$183*$C$184*$C$186))/1000+(E294/4),$C$184*$C$186*D294/1000*(SQRT(2+4*$C$183/($C$184*$C$186*D294^2))-1)+E294/4)</f>
        <v>#DIV/0!</v>
      </c>
      <c r="G294" s="66">
        <v>1</v>
      </c>
      <c r="H294" s="66">
        <v>8</v>
      </c>
      <c r="I294" s="34">
        <f>80-23</f>
        <v>57</v>
      </c>
      <c r="J294" s="65">
        <f>(0.52*SQRT(H294)*I294^0.9*$B$182^0.8)/1000</f>
        <v>0</v>
      </c>
      <c r="K294" s="65" t="e">
        <f>MIN($C$184*$C$186*I294/1000,(2.3*SQRT($C$183*$C$184*$C$186))/1000+(J294/4),$C$184*$C$186*I294/1000*(SQRT(2+4*$C$183/($C$184*$C$186*I294^2))-1)+J294/4)</f>
        <v>#DIV/0!</v>
      </c>
      <c r="L294" s="65" t="e">
        <f>B294*F294+#REF!*K294</f>
        <v>#DIV/0!</v>
      </c>
      <c r="M294" s="386"/>
    </row>
    <row r="295" spans="1:19" hidden="1">
      <c r="A295" s="44" t="s">
        <v>30</v>
      </c>
      <c r="B295" s="66">
        <v>1</v>
      </c>
      <c r="C295" s="66">
        <v>8</v>
      </c>
      <c r="D295" s="34">
        <f>80-23</f>
        <v>57</v>
      </c>
      <c r="E295" s="65">
        <f t="shared" ref="E295:E297" si="89">(0.52*SQRT(C295)*D295^0.9*$B$182^0.8)/1000</f>
        <v>0</v>
      </c>
      <c r="F295" s="65" t="e">
        <f>MIN($C$184*$C$186*D295/1000,(2.3*SQRT($C$183*$C$184*$C$186))/1000+(E295/4),$C$184*$C$186*D295/1000*(SQRT(2+4*$C$183/($C$184*$C$186*D295^2))-1)+E295/4)</f>
        <v>#DIV/0!</v>
      </c>
      <c r="G295" s="66">
        <v>1</v>
      </c>
      <c r="H295" s="66">
        <v>8</v>
      </c>
      <c r="I295" s="34">
        <f>80-23</f>
        <v>57</v>
      </c>
      <c r="J295" s="65">
        <f t="shared" ref="J295:J297" si="90">(0.52*SQRT(H295)*I295^0.9*$B$182^0.8)/1000</f>
        <v>0</v>
      </c>
      <c r="K295" s="65" t="e">
        <f>MIN($C$184*$C$186*I295/1000,(2.3*SQRT($C$183*$C$184*$C$186))/1000+(J295/4),$C$184*$C$186*I295/1000*(SQRT(2+4*$C$183/($C$184*$C$186*I295^2))-1)+J295/4)</f>
        <v>#DIV/0!</v>
      </c>
      <c r="L295" s="65" t="e">
        <f>B295*F295+#REF!*K295</f>
        <v>#DIV/0!</v>
      </c>
      <c r="M295" s="386"/>
    </row>
    <row r="296" spans="1:19" hidden="1">
      <c r="A296" s="14" t="s">
        <v>31</v>
      </c>
      <c r="B296" s="66">
        <v>1</v>
      </c>
      <c r="C296" s="66">
        <v>8</v>
      </c>
      <c r="D296" s="34">
        <f>80-23</f>
        <v>57</v>
      </c>
      <c r="E296" s="65">
        <f t="shared" si="89"/>
        <v>0</v>
      </c>
      <c r="F296" s="65" t="e">
        <f>MIN($C$184*$C$186*D296/1000,(2.3*SQRT($C$183*$C$184*$C$186))/1000+(E296/4),$C$184*$C$186*D296/1000*(SQRT(2+4*$C$183/($C$184*$C$186*D296^2))-1)+E296/4)</f>
        <v>#DIV/0!</v>
      </c>
      <c r="G296" s="66">
        <v>1</v>
      </c>
      <c r="H296" s="66">
        <v>8</v>
      </c>
      <c r="I296" s="34">
        <f>80-23</f>
        <v>57</v>
      </c>
      <c r="J296" s="65">
        <f t="shared" si="90"/>
        <v>0</v>
      </c>
      <c r="K296" s="65" t="e">
        <f>MIN($C$184*$C$186*I296/1000,(2.3*SQRT($C$183*$C$184*$C$186))/1000+(J296/4),$C$184*$C$186*I296/1000*(SQRT(2+4*$C$183/($C$184*$C$186*I296^2))-1)+J296/4)</f>
        <v>#DIV/0!</v>
      </c>
      <c r="L296" s="65" t="e">
        <f>B296*F296+#REF!*K296</f>
        <v>#DIV/0!</v>
      </c>
      <c r="M296" s="386"/>
    </row>
    <row r="297" spans="1:19" hidden="1">
      <c r="A297" s="44" t="s">
        <v>32</v>
      </c>
      <c r="B297" s="66">
        <v>1</v>
      </c>
      <c r="C297" s="66">
        <v>8</v>
      </c>
      <c r="D297" s="34">
        <f>80-23</f>
        <v>57</v>
      </c>
      <c r="E297" s="65">
        <f t="shared" si="89"/>
        <v>0</v>
      </c>
      <c r="F297" s="65" t="e">
        <f>MIN($C$184*$C$186*D297/1000,(2.3*SQRT($C$183*$C$184*$C$186))/1000+(E297/4),$C$184*$C$186*D297/1000*(SQRT(2+4*$C$183/($C$184*$C$186*D297^2))-1)+E297/4)</f>
        <v>#DIV/0!</v>
      </c>
      <c r="G297" s="66">
        <v>1</v>
      </c>
      <c r="H297" s="66">
        <v>8</v>
      </c>
      <c r="I297" s="34">
        <f>80-23</f>
        <v>57</v>
      </c>
      <c r="J297" s="65">
        <f t="shared" si="90"/>
        <v>0</v>
      </c>
      <c r="K297" s="65" t="e">
        <f>MIN($C$184*$C$186*I297/1000,(2.3*SQRT($C$183*$C$184*$C$186))/1000+(J297/4),$C$184*$C$186*I297/1000*(SQRT(2+4*$C$183/($C$184*$C$186*I297^2))-1)+J297/4)</f>
        <v>#DIV/0!</v>
      </c>
      <c r="L297" s="65" t="e">
        <f>B297*F297+#REF!*K297</f>
        <v>#DIV/0!</v>
      </c>
      <c r="M297" s="386"/>
    </row>
    <row r="298" spans="1:19" hidden="1">
      <c r="A298" s="14" t="s">
        <v>33</v>
      </c>
      <c r="B298" s="66">
        <v>1</v>
      </c>
      <c r="C298" s="66">
        <v>10</v>
      </c>
      <c r="D298" s="34">
        <f>100-25</f>
        <v>75</v>
      </c>
      <c r="E298" s="65">
        <f>(0.52*SQRT(C298)*D298^0.9*$B$182^0.8)/1000</f>
        <v>0</v>
      </c>
      <c r="F298" s="65" t="e">
        <f>MIN($B$184*$B$186*D298/1000,(2.3*SQRT($B$183*$B$184*$B$186))/1000+(E298/4),$B$184*$B$186*D298/1000*(SQRT(2+4*$B$183/($B$184*$B$186*D298^2))-1)+E298/4)</f>
        <v>#VALUE!</v>
      </c>
      <c r="G298" s="66">
        <v>1</v>
      </c>
      <c r="H298" s="66">
        <v>10</v>
      </c>
      <c r="I298" s="34">
        <f>100-25</f>
        <v>75</v>
      </c>
      <c r="J298" s="65">
        <f>(0.52*SQRT(H298)*I298^0.9*$B$182^0.8)/1000</f>
        <v>0</v>
      </c>
      <c r="K298" s="65" t="e">
        <f>MIN($B$184*$B$186*I298/1000,(2.3*SQRT($B$183*$B$184*$B$186))/1000+(J298/4),$B$184*$B$186*I298/1000*(SQRT(2+4*$B$183/($B$184*$B$186*I298^2))-1)+J298/4)</f>
        <v>#VALUE!</v>
      </c>
      <c r="L298" s="65" t="e">
        <f>B298*F298+#REF!*K298</f>
        <v>#VALUE!</v>
      </c>
      <c r="M298" s="386"/>
    </row>
    <row r="299" spans="1:19" hidden="1">
      <c r="A299" s="44" t="s">
        <v>34</v>
      </c>
      <c r="B299" s="66">
        <v>1</v>
      </c>
      <c r="C299" s="66">
        <v>10</v>
      </c>
      <c r="D299" s="34">
        <f>100-25</f>
        <v>75</v>
      </c>
      <c r="E299" s="65">
        <f t="shared" ref="E299:E301" si="91">(0.52*SQRT(C299)*D299^0.9*$B$182^0.8)/1000</f>
        <v>0</v>
      </c>
      <c r="F299" s="65" t="e">
        <f>MIN($B$184*$B$186*D299/1000,(2.3*SQRT($B$183*$B$184*$B$186))/1000+(E299/4),$B$184*$B$186*D299/1000*(SQRT(2+4*$B$183/($B$184*$B$186*D299^2))-1)+E299/4)</f>
        <v>#VALUE!</v>
      </c>
      <c r="G299" s="66">
        <v>1</v>
      </c>
      <c r="H299" s="66">
        <v>10</v>
      </c>
      <c r="I299" s="34">
        <f>100-25</f>
        <v>75</v>
      </c>
      <c r="J299" s="65">
        <f t="shared" ref="J299:J301" si="92">(0.52*SQRT(H299)*I299^0.9*$B$182^0.8)/1000</f>
        <v>0</v>
      </c>
      <c r="K299" s="65" t="e">
        <f>MIN($B$184*$B$186*I299/1000,(2.3*SQRT($B$183*$B$184*$B$186))/1000+(J299/4),$B$184*$B$186*I299/1000*(SQRT(2+4*$B$183/($B$184*$B$186*I299^2))-1)+J299/4)</f>
        <v>#VALUE!</v>
      </c>
      <c r="L299" s="65" t="e">
        <f>B299*F299+#REF!*K299</f>
        <v>#VALUE!</v>
      </c>
      <c r="M299" s="386"/>
    </row>
    <row r="300" spans="1:19" hidden="1">
      <c r="A300" s="44" t="s">
        <v>35</v>
      </c>
      <c r="B300" s="66">
        <v>1</v>
      </c>
      <c r="C300" s="66">
        <v>10</v>
      </c>
      <c r="D300" s="34">
        <f>100-25</f>
        <v>75</v>
      </c>
      <c r="E300" s="65">
        <f t="shared" si="91"/>
        <v>0</v>
      </c>
      <c r="F300" s="65" t="e">
        <f>MIN($B$184*$B$186*D300/1000,(2.3*SQRT($B$183*$B$184*$B$186))/1000+(E300/4),$B$184*$B$186*D300/1000*(SQRT(2+4*$B$183/($B$184*$B$186*D300^2))-1)+E300/4)</f>
        <v>#VALUE!</v>
      </c>
      <c r="G300" s="66">
        <v>1</v>
      </c>
      <c r="H300" s="66">
        <v>10</v>
      </c>
      <c r="I300" s="34">
        <f>100-25</f>
        <v>75</v>
      </c>
      <c r="J300" s="65">
        <f t="shared" si="92"/>
        <v>0</v>
      </c>
      <c r="K300" s="65" t="e">
        <f>MIN($B$184*$B$186*I300/1000,(2.3*SQRT($B$183*$B$184*$B$186))/1000+(J300/4),$B$184*$B$186*I300/1000*(SQRT(2+4*$B$183/($B$184*$B$186*I300^2))-1)+J300/4)</f>
        <v>#VALUE!</v>
      </c>
      <c r="L300" s="65" t="e">
        <f>B300*F300+#REF!*K300</f>
        <v>#VALUE!</v>
      </c>
      <c r="M300" s="386"/>
    </row>
    <row r="301" spans="1:19" hidden="1">
      <c r="A301" s="14" t="s">
        <v>36</v>
      </c>
      <c r="B301" s="66">
        <v>1</v>
      </c>
      <c r="C301" s="66">
        <v>10</v>
      </c>
      <c r="D301" s="34">
        <f>100-25</f>
        <v>75</v>
      </c>
      <c r="E301" s="65">
        <f t="shared" si="91"/>
        <v>0</v>
      </c>
      <c r="F301" s="65" t="e">
        <f>MIN($B$184*$B$186*D301/1000,(2.3*SQRT($B$183*$B$184*$B$186))/1000+(E301/4),$B$184*$B$186*D301/1000*(SQRT(2+4*$B$183/($B$184*$B$186*D301^2))-1)+E301/4)</f>
        <v>#VALUE!</v>
      </c>
      <c r="G301" s="66">
        <v>1</v>
      </c>
      <c r="H301" s="66">
        <v>10</v>
      </c>
      <c r="I301" s="34">
        <f>100-25</f>
        <v>75</v>
      </c>
      <c r="J301" s="65">
        <f t="shared" si="92"/>
        <v>0</v>
      </c>
      <c r="K301" s="65" t="e">
        <f>MIN($B$184*$B$186*I301/1000,(2.3*SQRT($B$183*$B$184*$B$186))/1000+(J301/4),$B$184*$B$186*I301/1000*(SQRT(2+4*$B$183/($B$184*$B$186*I301^2))-1)+J301/4)</f>
        <v>#VALUE!</v>
      </c>
      <c r="L301" s="65" t="e">
        <f>B301*F301+#REF!*K301</f>
        <v>#VALUE!</v>
      </c>
      <c r="M301" s="386"/>
    </row>
    <row r="302" spans="1:19" ht="30">
      <c r="A302" s="424" t="s">
        <v>775</v>
      </c>
      <c r="B302" s="63">
        <v>1</v>
      </c>
      <c r="C302" s="63">
        <v>8</v>
      </c>
      <c r="D302" s="303">
        <f>80-24.5</f>
        <v>55.5</v>
      </c>
      <c r="E302" s="64">
        <f>(0.52*SQRT(C302)*D302^0.9*$B$264^0.8)/1000</f>
        <v>6.3941173944115528</v>
      </c>
      <c r="F302" s="64">
        <f>MIN(C302*D302*$C$268/1000,(2.3*SQRT($C$265*$C$268*C302))/1000+(E302/4),C302*D302*$C$268/1000*(SQRT(2+4*$C$265/($C$268*C302*D302^2))-1)+E302/4)</f>
        <v>5.2078779245833671</v>
      </c>
      <c r="G302" s="63">
        <v>7</v>
      </c>
      <c r="H302" s="63">
        <v>8</v>
      </c>
      <c r="I302" s="303">
        <v>70</v>
      </c>
      <c r="J302" s="64">
        <f>(0.52*SQRT(H302)*I302^0.9*$B$264^0.8)/1000</f>
        <v>7.8796178754106014</v>
      </c>
      <c r="K302" s="64">
        <f>MIN(H302*I302*$C$268/1000,(2.3*SQRT($C$265*$C$268*H302))/1000+(J302/4),H302*I302*$C$268/1000*(SQRT(2+4*$C$265/($C$268*H302*I302^2))-1)+J302/4)</f>
        <v>5.7539958910348616</v>
      </c>
      <c r="L302" s="64">
        <f>B302^0.9*F302+G302^0.9*K302</f>
        <v>38.363546016241301</v>
      </c>
      <c r="M302" s="238" t="s">
        <v>384</v>
      </c>
    </row>
    <row r="303" spans="1:19" ht="30">
      <c r="A303" s="424" t="s">
        <v>776</v>
      </c>
      <c r="B303" s="63">
        <v>1</v>
      </c>
      <c r="C303" s="63">
        <v>8</v>
      </c>
      <c r="D303" s="303">
        <f>80-24.5</f>
        <v>55.5</v>
      </c>
      <c r="E303" s="64">
        <f>(0.52*SQRT(C303)*D303^0.9*$B$264^0.8)/1000</f>
        <v>6.3941173944115528</v>
      </c>
      <c r="F303" s="64">
        <f>MIN(C303*D303*$C$268/1000,(2.3*SQRT($C$265*$C$268*C303))/1000+(E303/4),C303*D303*$C$268/1000*(SQRT(2+4*$C$265/($C$268*C303*D303^2))-1)+E303/4)</f>
        <v>5.2078779245833671</v>
      </c>
      <c r="G303" s="63">
        <v>7</v>
      </c>
      <c r="H303" s="63">
        <v>8</v>
      </c>
      <c r="I303" s="303">
        <v>70</v>
      </c>
      <c r="J303" s="64">
        <f>(0.52*SQRT(H303)*I303^0.9*$B$264^0.8)/1000</f>
        <v>7.8796178754106014</v>
      </c>
      <c r="K303" s="64">
        <f>MIN(H303*I303*$C$268/1000,(2.3*SQRT($C$265*$C$268*H303))/1000+(J303/4),H303*I303*$C$268/1000*(SQRT(2+4*$C$265/($C$268*H303*I303^2))-1)+J303/4)</f>
        <v>5.7539958910348616</v>
      </c>
      <c r="L303" s="64">
        <f>B303^0.9*F303+G303^0.9*K303</f>
        <v>38.363546016241301</v>
      </c>
      <c r="M303" s="238" t="s">
        <v>384</v>
      </c>
    </row>
    <row r="304" spans="1:19" ht="30">
      <c r="A304" s="342" t="s">
        <v>777</v>
      </c>
      <c r="B304" s="63">
        <v>1</v>
      </c>
      <c r="C304" s="63">
        <v>8</v>
      </c>
      <c r="D304" s="303">
        <f>80-24.5</f>
        <v>55.5</v>
      </c>
      <c r="E304" s="64">
        <f t="shared" ref="E304:E309" si="93">(0.52*SQRT(C304)*D304^0.9*$B$264^0.8)/1000</f>
        <v>6.3941173944115528</v>
      </c>
      <c r="F304" s="64">
        <f>MIN(C304*D304*$C$268/1000,(2.3*SQRT($C$265*$C$268*C304))/1000+(E304/4),C304*D304*$C$268/1000*(SQRT(2+4*$C$265/($C$268*C304*D304^2))-1)+E304/4)</f>
        <v>5.2078779245833671</v>
      </c>
      <c r="G304" s="63">
        <v>8</v>
      </c>
      <c r="H304" s="63">
        <v>8</v>
      </c>
      <c r="I304" s="303">
        <v>70</v>
      </c>
      <c r="J304" s="64">
        <f t="shared" ref="J304:J309" si="94">(0.52*SQRT(H304)*I304^0.9*$B$264^0.8)/1000</f>
        <v>7.8796178754106014</v>
      </c>
      <c r="K304" s="64">
        <f>MIN(H304*I304*$C$268/1000,(2.3*SQRT($C$265*$C$268*H304))/1000+(J304/4),H304*I304*$C$268/1000*(SQRT(2+4*$C$265/($C$268*H304*I304^2))-1)+J304/4)</f>
        <v>5.7539958910348616</v>
      </c>
      <c r="L304" s="64">
        <f t="shared" ref="L304:L309" si="95">B304^0.9*F304+G304^0.9*K304</f>
        <v>42.597453533519349</v>
      </c>
      <c r="M304" s="238" t="s">
        <v>384</v>
      </c>
    </row>
    <row r="305" spans="1:21" ht="30">
      <c r="A305" s="342" t="s">
        <v>778</v>
      </c>
      <c r="B305" s="63">
        <v>1</v>
      </c>
      <c r="C305" s="63">
        <v>8</v>
      </c>
      <c r="D305" s="303">
        <f>80-24.5</f>
        <v>55.5</v>
      </c>
      <c r="E305" s="64">
        <f t="shared" si="93"/>
        <v>6.3941173944115528</v>
      </c>
      <c r="F305" s="64">
        <f>MIN(C305*D305*$C$268/1000,(2.3*SQRT($C$265*$C$268*C305))/1000+(E305/4),C305*D305*$C$268/1000*(SQRT(2+4*$C$265/($C$268*C305*D305^2))-1)+E305/4)</f>
        <v>5.2078779245833671</v>
      </c>
      <c r="G305" s="63">
        <v>8</v>
      </c>
      <c r="H305" s="63">
        <v>8</v>
      </c>
      <c r="I305" s="303">
        <v>70</v>
      </c>
      <c r="J305" s="64">
        <f t="shared" si="94"/>
        <v>7.8796178754106014</v>
      </c>
      <c r="K305" s="64">
        <f>MIN(H305*I305*$C$268/1000,(2.3*SQRT($C$265*$C$268*H305))/1000+(J305/4),H305*I305*$C$268/1000*(SQRT(2+4*$C$265/($C$268*H305*I305^2))-1)+J305/4)</f>
        <v>5.7539958910348616</v>
      </c>
      <c r="L305" s="64">
        <f t="shared" si="95"/>
        <v>42.597453533519349</v>
      </c>
      <c r="M305" s="238" t="s">
        <v>384</v>
      </c>
    </row>
    <row r="306" spans="1:21" ht="30">
      <c r="A306" s="342" t="s">
        <v>779</v>
      </c>
      <c r="B306" s="63">
        <v>1</v>
      </c>
      <c r="C306" s="63">
        <v>10</v>
      </c>
      <c r="D306" s="303">
        <f>100-25</f>
        <v>75</v>
      </c>
      <c r="E306" s="64">
        <f t="shared" si="93"/>
        <v>9.3740456535592109</v>
      </c>
      <c r="F306" s="64">
        <f>MIN(C306*D306*$B$268/1000,(2.3*SQRT($B$265*$B$268*C306))/1000+(E306/4),C306*D306*$B$268/1000*(SQRT(2+4*$B$265/($B$268*C306*D306^2))-1)+E306/4)</f>
        <v>7.7560268644377208</v>
      </c>
      <c r="G306" s="63">
        <v>8</v>
      </c>
      <c r="H306" s="63">
        <v>10</v>
      </c>
      <c r="I306" s="303">
        <v>85</v>
      </c>
      <c r="J306" s="64">
        <f t="shared" si="94"/>
        <v>10.491774806064372</v>
      </c>
      <c r="K306" s="64">
        <f>MIN(H306*I306*$B$268/1000,(2.3*SQRT($B$265*$B$268*H306))/1000+(J306/4),H306*I306*$B$268/1000*(SQRT(2+4*$B$265/($B$268*H306*I306^2))-1)+J306/4)</f>
        <v>8.0354591525640107</v>
      </c>
      <c r="L306" s="64">
        <f t="shared" si="95"/>
        <v>59.970594484379816</v>
      </c>
      <c r="M306" s="238" t="s">
        <v>384</v>
      </c>
    </row>
    <row r="307" spans="1:21" ht="30">
      <c r="A307" s="342" t="s">
        <v>780</v>
      </c>
      <c r="B307" s="63">
        <v>1</v>
      </c>
      <c r="C307" s="63">
        <v>10</v>
      </c>
      <c r="D307" s="303">
        <f>100-25</f>
        <v>75</v>
      </c>
      <c r="E307" s="64">
        <f t="shared" si="93"/>
        <v>9.3740456535592109</v>
      </c>
      <c r="F307" s="64">
        <f>MIN(C307*D307*$B$268/1000,(2.3*SQRT($B$265*$B$268*C307))/1000+(E307/4),C307*D307*$B$268/1000*(SQRT(2+4*$B$265/($B$268*C307*D307^2))-1)+E307/4)</f>
        <v>7.7560268644377208</v>
      </c>
      <c r="G307" s="63">
        <v>8</v>
      </c>
      <c r="H307" s="63">
        <v>10</v>
      </c>
      <c r="I307" s="303">
        <v>85</v>
      </c>
      <c r="J307" s="64">
        <f t="shared" si="94"/>
        <v>10.491774806064372</v>
      </c>
      <c r="K307" s="64">
        <f>MIN(H307*I307*$B$268/1000,(2.3*SQRT($B$265*$B$268*H307))/1000+(J307/4),H307*I307*$B$268/1000*(SQRT(2+4*$B$265/($B$268*H307*I307^2))-1)+J307/4)</f>
        <v>8.0354591525640107</v>
      </c>
      <c r="L307" s="64">
        <f t="shared" si="95"/>
        <v>59.970594484379816</v>
      </c>
      <c r="M307" s="238" t="s">
        <v>384</v>
      </c>
    </row>
    <row r="308" spans="1:21" ht="30">
      <c r="A308" s="342" t="s">
        <v>781</v>
      </c>
      <c r="B308" s="63">
        <v>1</v>
      </c>
      <c r="C308" s="63">
        <v>10</v>
      </c>
      <c r="D308" s="303">
        <f>100-25</f>
        <v>75</v>
      </c>
      <c r="E308" s="64">
        <f t="shared" si="93"/>
        <v>9.3740456535592109</v>
      </c>
      <c r="F308" s="64">
        <f>MIN(C308*D308*$B$268/1000,(2.3*SQRT($B$265*$B$268*C308))/1000+(E308/4),C308*D308*$B$268/1000*(SQRT(2+4*$B$265/($B$268*C308*D308^2))-1)+E308/4)</f>
        <v>7.7560268644377208</v>
      </c>
      <c r="G308" s="63">
        <v>8</v>
      </c>
      <c r="H308" s="63">
        <v>10</v>
      </c>
      <c r="I308" s="303">
        <v>85</v>
      </c>
      <c r="J308" s="64">
        <f t="shared" si="94"/>
        <v>10.491774806064372</v>
      </c>
      <c r="K308" s="64">
        <f>MIN(H308*I308*$B$268/1000,(2.3*SQRT($B$265*$B$268*H308))/1000+(J308/4),H308*I308*$B$268/1000*(SQRT(2+4*$B$265/($B$268*H308*I308^2))-1)+J308/4)</f>
        <v>8.0354591525640107</v>
      </c>
      <c r="L308" s="64">
        <f t="shared" si="95"/>
        <v>59.970594484379816</v>
      </c>
      <c r="M308" s="238" t="s">
        <v>384</v>
      </c>
    </row>
    <row r="309" spans="1:21" ht="30">
      <c r="A309" s="342" t="s">
        <v>781</v>
      </c>
      <c r="B309" s="63">
        <v>1</v>
      </c>
      <c r="C309" s="63">
        <v>10</v>
      </c>
      <c r="D309" s="303">
        <f>100-25</f>
        <v>75</v>
      </c>
      <c r="E309" s="64">
        <f t="shared" si="93"/>
        <v>9.3740456535592109</v>
      </c>
      <c r="F309" s="64">
        <f>MIN(C309*D309*$B$268/1000,(2.3*SQRT($B$265*$B$268*C309))/1000+(E309/4),C309*D309*$B$268/1000*(SQRT(2+4*$B$265/($B$268*C309*D309^2))-1)+E309/4)</f>
        <v>7.7560268644377208</v>
      </c>
      <c r="G309" s="63">
        <v>8</v>
      </c>
      <c r="H309" s="63">
        <v>10</v>
      </c>
      <c r="I309" s="303">
        <v>85</v>
      </c>
      <c r="J309" s="64">
        <f t="shared" si="94"/>
        <v>10.491774806064372</v>
      </c>
      <c r="K309" s="64">
        <f>MIN(H309*I309*$B$268/1000,(2.3*SQRT($B$265*$B$268*H309))/1000+(J309/4),H309*I309*$B$268/1000*(SQRT(2+4*$B$265/($B$268*H309*I309^2))-1)+J309/4)</f>
        <v>8.0354591525640107</v>
      </c>
      <c r="L309" s="64">
        <f t="shared" si="95"/>
        <v>59.970594484379816</v>
      </c>
      <c r="M309" s="238" t="s">
        <v>384</v>
      </c>
    </row>
    <row r="311" spans="1:21">
      <c r="A311" s="3"/>
      <c r="B311" s="77"/>
      <c r="F311" t="s">
        <v>72</v>
      </c>
      <c r="G311" s="3"/>
    </row>
    <row r="312" spans="1:21" ht="18">
      <c r="A312" s="4" t="s">
        <v>2</v>
      </c>
      <c r="B312" s="78" t="s">
        <v>61</v>
      </c>
      <c r="C312" s="78" t="s">
        <v>73</v>
      </c>
      <c r="D312" s="5" t="s">
        <v>74</v>
      </c>
      <c r="E312" s="78" t="s">
        <v>75</v>
      </c>
      <c r="F312" s="79" t="s">
        <v>85</v>
      </c>
      <c r="G312" s="80"/>
      <c r="O312" s="4" t="s">
        <v>2</v>
      </c>
      <c r="P312" s="710" t="s">
        <v>77</v>
      </c>
      <c r="Q312" s="711"/>
      <c r="R312" s="711"/>
      <c r="S312" s="711"/>
      <c r="T312" s="712"/>
    </row>
    <row r="313" spans="1:21">
      <c r="A313" s="8"/>
      <c r="B313" s="81" t="s">
        <v>17</v>
      </c>
      <c r="C313" s="82" t="s">
        <v>17</v>
      </c>
      <c r="D313" s="9" t="s">
        <v>78</v>
      </c>
      <c r="E313" s="82" t="s">
        <v>17</v>
      </c>
      <c r="F313" s="83" t="s">
        <v>17</v>
      </c>
      <c r="G313" s="84"/>
      <c r="O313" s="8"/>
      <c r="P313" s="104">
        <v>0.6</v>
      </c>
      <c r="Q313" s="104">
        <v>0.7</v>
      </c>
      <c r="R313" s="104">
        <v>0.8</v>
      </c>
      <c r="S313" s="104">
        <v>0.9</v>
      </c>
      <c r="T313" s="104">
        <v>1</v>
      </c>
      <c r="U313" s="621"/>
    </row>
    <row r="314" spans="1:21" hidden="1">
      <c r="A314" s="14" t="s">
        <v>29</v>
      </c>
      <c r="B314" s="65" t="e">
        <f t="shared" ref="B314:B329" si="96">L274</f>
        <v>#VALUE!</v>
      </c>
      <c r="C314" s="65">
        <v>34</v>
      </c>
      <c r="D314" s="106">
        <v>10.7</v>
      </c>
      <c r="E314" s="65" t="e">
        <f t="shared" ref="E314:E329" si="97">1/SQRT((1/L294)^2+(1/(D314*E294))^2)</f>
        <v>#DIV/0!</v>
      </c>
      <c r="F314" s="107" t="e">
        <f>MIN(B314,E314)</f>
        <v>#VALUE!</v>
      </c>
      <c r="G314" s="87"/>
      <c r="N314" s="103"/>
      <c r="O314" s="14" t="s">
        <v>29</v>
      </c>
      <c r="P314" s="88" t="e">
        <f>MIN(P$236*$B314/1.3,$C314/1,P$236*$E314/1.3)</f>
        <v>#VALUE!</v>
      </c>
      <c r="Q314" s="88" t="e">
        <f>MIN(Q$236*$B314/1.3,$C314/1,Q$236*$E314/1.3)</f>
        <v>#VALUE!</v>
      </c>
      <c r="R314" s="88" t="e">
        <f>MIN(R$236*$B314/1.3,$C314/1,R$236*$E314/1.3)</f>
        <v>#VALUE!</v>
      </c>
      <c r="S314" s="88" t="e">
        <f>MIN(S$236*$B314/1.3,$C314/1,S$236*$E314/1.3)</f>
        <v>#VALUE!</v>
      </c>
      <c r="T314" s="88" t="e">
        <f>MIN(T$236*$B314/1.3,$C314/1,T$236*$E314/1.3)</f>
        <v>#VALUE!</v>
      </c>
    </row>
    <row r="315" spans="1:21" hidden="1">
      <c r="A315" s="44" t="s">
        <v>30</v>
      </c>
      <c r="B315" s="65" t="e">
        <f t="shared" si="96"/>
        <v>#VALUE!</v>
      </c>
      <c r="C315" s="65">
        <v>34</v>
      </c>
      <c r="D315" s="106">
        <v>18.3</v>
      </c>
      <c r="E315" s="65" t="e">
        <f t="shared" si="97"/>
        <v>#DIV/0!</v>
      </c>
      <c r="F315" s="107" t="e">
        <f t="shared" ref="F315:F329" si="98">MIN(B315,E315)</f>
        <v>#VALUE!</v>
      </c>
      <c r="G315" s="87"/>
      <c r="N315" s="103"/>
      <c r="O315" s="44" t="s">
        <v>30</v>
      </c>
      <c r="P315" s="88" t="e">
        <f t="shared" ref="P315:T321" si="99">MIN(P$236*$B315/1.3,$C315/1,P$236*$E315/1.3)</f>
        <v>#VALUE!</v>
      </c>
      <c r="Q315" s="88" t="e">
        <f t="shared" si="99"/>
        <v>#VALUE!</v>
      </c>
      <c r="R315" s="88" t="e">
        <f t="shared" si="99"/>
        <v>#VALUE!</v>
      </c>
      <c r="S315" s="88" t="e">
        <f t="shared" si="99"/>
        <v>#VALUE!</v>
      </c>
      <c r="T315" s="88" t="e">
        <f t="shared" si="99"/>
        <v>#VALUE!</v>
      </c>
    </row>
    <row r="316" spans="1:21" hidden="1">
      <c r="A316" s="14" t="s">
        <v>31</v>
      </c>
      <c r="B316" s="65" t="e">
        <f t="shared" si="96"/>
        <v>#VALUE!</v>
      </c>
      <c r="C316" s="65">
        <v>34</v>
      </c>
      <c r="D316" s="106">
        <v>27.8</v>
      </c>
      <c r="E316" s="65" t="e">
        <f t="shared" si="97"/>
        <v>#DIV/0!</v>
      </c>
      <c r="F316" s="107" t="e">
        <f t="shared" si="98"/>
        <v>#VALUE!</v>
      </c>
      <c r="G316" s="87"/>
      <c r="N316" s="103"/>
      <c r="O316" s="14" t="s">
        <v>31</v>
      </c>
      <c r="P316" s="88" t="e">
        <f t="shared" si="99"/>
        <v>#VALUE!</v>
      </c>
      <c r="Q316" s="88" t="e">
        <f t="shared" si="99"/>
        <v>#VALUE!</v>
      </c>
      <c r="R316" s="88" t="e">
        <f t="shared" si="99"/>
        <v>#VALUE!</v>
      </c>
      <c r="S316" s="88" t="e">
        <f t="shared" si="99"/>
        <v>#VALUE!</v>
      </c>
      <c r="T316" s="88" t="e">
        <f t="shared" si="99"/>
        <v>#VALUE!</v>
      </c>
    </row>
    <row r="317" spans="1:21" hidden="1">
      <c r="A317" s="44" t="s">
        <v>32</v>
      </c>
      <c r="B317" s="65" t="e">
        <f t="shared" si="96"/>
        <v>#VALUE!</v>
      </c>
      <c r="C317" s="65">
        <v>34</v>
      </c>
      <c r="D317" s="106">
        <v>39.299999999999997</v>
      </c>
      <c r="E317" s="65" t="e">
        <f t="shared" si="97"/>
        <v>#DIV/0!</v>
      </c>
      <c r="F317" s="107" t="e">
        <f t="shared" si="98"/>
        <v>#VALUE!</v>
      </c>
      <c r="G317" s="87"/>
      <c r="N317" s="103"/>
      <c r="O317" s="44" t="s">
        <v>32</v>
      </c>
      <c r="P317" s="88" t="e">
        <f t="shared" si="99"/>
        <v>#VALUE!</v>
      </c>
      <c r="Q317" s="88" t="e">
        <f t="shared" si="99"/>
        <v>#VALUE!</v>
      </c>
      <c r="R317" s="88" t="e">
        <f t="shared" si="99"/>
        <v>#VALUE!</v>
      </c>
      <c r="S317" s="88" t="e">
        <f t="shared" si="99"/>
        <v>#VALUE!</v>
      </c>
      <c r="T317" s="88" t="e">
        <f t="shared" si="99"/>
        <v>#VALUE!</v>
      </c>
    </row>
    <row r="318" spans="1:21" hidden="1">
      <c r="A318" s="14" t="s">
        <v>33</v>
      </c>
      <c r="B318" s="65" t="e">
        <f t="shared" si="96"/>
        <v>#VALUE!</v>
      </c>
      <c r="C318" s="65">
        <v>50</v>
      </c>
      <c r="D318" s="106">
        <v>27.8</v>
      </c>
      <c r="E318" s="65" t="e">
        <f t="shared" si="97"/>
        <v>#VALUE!</v>
      </c>
      <c r="F318" s="107" t="e">
        <f t="shared" si="98"/>
        <v>#VALUE!</v>
      </c>
      <c r="G318" s="87"/>
      <c r="N318" s="103"/>
      <c r="O318" s="14" t="s">
        <v>33</v>
      </c>
      <c r="P318" s="88" t="e">
        <f t="shared" si="99"/>
        <v>#VALUE!</v>
      </c>
      <c r="Q318" s="88" t="e">
        <f t="shared" si="99"/>
        <v>#VALUE!</v>
      </c>
      <c r="R318" s="88" t="e">
        <f t="shared" si="99"/>
        <v>#VALUE!</v>
      </c>
      <c r="S318" s="88" t="e">
        <f t="shared" si="99"/>
        <v>#VALUE!</v>
      </c>
      <c r="T318" s="88" t="e">
        <f t="shared" si="99"/>
        <v>#VALUE!</v>
      </c>
    </row>
    <row r="319" spans="1:21" hidden="1">
      <c r="A319" s="44" t="s">
        <v>34</v>
      </c>
      <c r="B319" s="65" t="e">
        <f t="shared" si="96"/>
        <v>#VALUE!</v>
      </c>
      <c r="C319" s="65">
        <v>50</v>
      </c>
      <c r="D319" s="106">
        <v>39.299999999999997</v>
      </c>
      <c r="E319" s="65" t="e">
        <f t="shared" si="97"/>
        <v>#VALUE!</v>
      </c>
      <c r="F319" s="107" t="e">
        <f t="shared" si="98"/>
        <v>#VALUE!</v>
      </c>
      <c r="G319" s="87"/>
      <c r="N319" s="103"/>
      <c r="O319" s="44" t="s">
        <v>34</v>
      </c>
      <c r="P319" s="88" t="e">
        <f t="shared" si="99"/>
        <v>#VALUE!</v>
      </c>
      <c r="Q319" s="88" t="e">
        <f t="shared" si="99"/>
        <v>#VALUE!</v>
      </c>
      <c r="R319" s="88" t="e">
        <f t="shared" si="99"/>
        <v>#VALUE!</v>
      </c>
      <c r="S319" s="88" t="e">
        <f t="shared" si="99"/>
        <v>#VALUE!</v>
      </c>
      <c r="T319" s="88" t="e">
        <f t="shared" si="99"/>
        <v>#VALUE!</v>
      </c>
    </row>
    <row r="320" spans="1:21" hidden="1">
      <c r="A320" s="44" t="s">
        <v>35</v>
      </c>
      <c r="B320" s="65" t="e">
        <f t="shared" si="96"/>
        <v>#VALUE!</v>
      </c>
      <c r="C320" s="65">
        <v>50</v>
      </c>
      <c r="D320" s="106">
        <v>52.9</v>
      </c>
      <c r="E320" s="65" t="e">
        <f t="shared" si="97"/>
        <v>#VALUE!</v>
      </c>
      <c r="F320" s="107" t="e">
        <f t="shared" si="98"/>
        <v>#VALUE!</v>
      </c>
      <c r="G320" s="87"/>
      <c r="N320" s="103"/>
      <c r="O320" s="44" t="s">
        <v>35</v>
      </c>
      <c r="P320" s="88" t="e">
        <f t="shared" si="99"/>
        <v>#VALUE!</v>
      </c>
      <c r="Q320" s="88" t="e">
        <f t="shared" si="99"/>
        <v>#VALUE!</v>
      </c>
      <c r="R320" s="88" t="e">
        <f t="shared" si="99"/>
        <v>#VALUE!</v>
      </c>
      <c r="S320" s="88" t="e">
        <f t="shared" si="99"/>
        <v>#VALUE!</v>
      </c>
      <c r="T320" s="88" t="e">
        <f t="shared" si="99"/>
        <v>#VALUE!</v>
      </c>
    </row>
    <row r="321" spans="1:20" hidden="1">
      <c r="A321" s="14" t="s">
        <v>36</v>
      </c>
      <c r="B321" s="65" t="e">
        <f t="shared" si="96"/>
        <v>#VALUE!</v>
      </c>
      <c r="C321" s="65">
        <v>50</v>
      </c>
      <c r="D321" s="106">
        <v>68.400000000000006</v>
      </c>
      <c r="E321" s="65" t="e">
        <f t="shared" si="97"/>
        <v>#VALUE!</v>
      </c>
      <c r="F321" s="107" t="e">
        <f t="shared" si="98"/>
        <v>#VALUE!</v>
      </c>
      <c r="G321" s="87"/>
      <c r="N321" s="103"/>
      <c r="O321" s="14" t="s">
        <v>36</v>
      </c>
      <c r="P321" s="88" t="e">
        <f t="shared" si="99"/>
        <v>#VALUE!</v>
      </c>
      <c r="Q321" s="88" t="e">
        <f t="shared" si="99"/>
        <v>#VALUE!</v>
      </c>
      <c r="R321" s="88" t="e">
        <f t="shared" si="99"/>
        <v>#VALUE!</v>
      </c>
      <c r="S321" s="88" t="e">
        <f t="shared" si="99"/>
        <v>#VALUE!</v>
      </c>
      <c r="T321" s="88" t="e">
        <f t="shared" si="99"/>
        <v>#VALUE!</v>
      </c>
    </row>
    <row r="322" spans="1:20" ht="30">
      <c r="A322" s="424" t="s">
        <v>775</v>
      </c>
      <c r="B322" s="65">
        <f t="shared" si="96"/>
        <v>31.491496682526368</v>
      </c>
      <c r="C322" s="65">
        <v>34</v>
      </c>
      <c r="D322" s="106">
        <v>10.7</v>
      </c>
      <c r="E322" s="65">
        <f t="shared" si="97"/>
        <v>33.461995493984347</v>
      </c>
      <c r="F322" s="107">
        <f t="shared" si="98"/>
        <v>31.491496682526368</v>
      </c>
      <c r="G322" s="87"/>
      <c r="N322" s="103"/>
      <c r="O322" s="424" t="s">
        <v>775</v>
      </c>
      <c r="P322" s="88">
        <f>MIN(P$313*$B322/1.3,$C322/1,P$313*$E322/1.3)</f>
        <v>14.534536930396785</v>
      </c>
      <c r="Q322" s="88">
        <f t="shared" ref="Q322:T329" si="100">MIN(Q$313*$B322/1.3,$C322/1,Q$313*$E322/1.3)</f>
        <v>16.956959752129581</v>
      </c>
      <c r="R322" s="88">
        <f t="shared" si="100"/>
        <v>19.37938257386238</v>
      </c>
      <c r="S322" s="88">
        <f t="shared" si="100"/>
        <v>21.801805395595178</v>
      </c>
      <c r="T322" s="88">
        <f t="shared" si="100"/>
        <v>24.224228217327973</v>
      </c>
    </row>
    <row r="323" spans="1:20" ht="30">
      <c r="A323" s="424" t="s">
        <v>776</v>
      </c>
      <c r="B323" s="65">
        <f t="shared" si="96"/>
        <v>38.963464114889931</v>
      </c>
      <c r="C323" s="65">
        <v>34</v>
      </c>
      <c r="D323" s="106">
        <v>10.7</v>
      </c>
      <c r="E323" s="65">
        <f t="shared" si="97"/>
        <v>33.461995493984347</v>
      </c>
      <c r="F323" s="107">
        <f t="shared" si="98"/>
        <v>33.461995493984347</v>
      </c>
      <c r="G323" s="87"/>
      <c r="N323" s="103"/>
      <c r="O323" s="424" t="s">
        <v>776</v>
      </c>
      <c r="P323" s="88">
        <f t="shared" ref="P323:P329" si="101">MIN(P$313*$B323/1.3,$C323/1,P$313*$E323/1.3)</f>
        <v>15.443997920300466</v>
      </c>
      <c r="Q323" s="88">
        <f t="shared" si="100"/>
        <v>18.017997573683878</v>
      </c>
      <c r="R323" s="88">
        <f t="shared" si="100"/>
        <v>20.591997227067289</v>
      </c>
      <c r="S323" s="88">
        <f t="shared" si="100"/>
        <v>23.165996880450702</v>
      </c>
      <c r="T323" s="88">
        <f t="shared" si="100"/>
        <v>25.739996533834113</v>
      </c>
    </row>
    <row r="324" spans="1:20" ht="30">
      <c r="A324" s="342" t="s">
        <v>777</v>
      </c>
      <c r="B324" s="65">
        <f t="shared" si="96"/>
        <v>34.932860097435942</v>
      </c>
      <c r="C324" s="65">
        <v>34</v>
      </c>
      <c r="D324" s="106">
        <v>27.8</v>
      </c>
      <c r="E324" s="65">
        <f t="shared" si="97"/>
        <v>41.424610237180048</v>
      </c>
      <c r="F324" s="107">
        <f t="shared" si="98"/>
        <v>34.932860097435942</v>
      </c>
      <c r="G324" s="87"/>
      <c r="N324" s="103"/>
      <c r="O324" s="342" t="s">
        <v>777</v>
      </c>
      <c r="P324" s="88">
        <f t="shared" si="101"/>
        <v>16.122858506508894</v>
      </c>
      <c r="Q324" s="88">
        <f t="shared" si="100"/>
        <v>18.810001590927044</v>
      </c>
      <c r="R324" s="88">
        <f t="shared" si="100"/>
        <v>21.497144675345194</v>
      </c>
      <c r="S324" s="88">
        <f t="shared" si="100"/>
        <v>24.184287759763347</v>
      </c>
      <c r="T324" s="88">
        <f t="shared" si="100"/>
        <v>26.871430844181493</v>
      </c>
    </row>
    <row r="325" spans="1:20" ht="30">
      <c r="A325" s="342" t="s">
        <v>778</v>
      </c>
      <c r="B325" s="65">
        <f t="shared" si="96"/>
        <v>43.217233639431143</v>
      </c>
      <c r="C325" s="65">
        <v>34</v>
      </c>
      <c r="D325" s="106">
        <v>27.8</v>
      </c>
      <c r="E325" s="65">
        <f t="shared" si="97"/>
        <v>41.424610237180048</v>
      </c>
      <c r="F325" s="107">
        <f t="shared" si="98"/>
        <v>41.424610237180048</v>
      </c>
      <c r="G325" s="87"/>
      <c r="N325" s="103"/>
      <c r="O325" s="342" t="s">
        <v>778</v>
      </c>
      <c r="P325" s="88">
        <f t="shared" si="101"/>
        <v>19.119050878698481</v>
      </c>
      <c r="Q325" s="88">
        <f t="shared" si="100"/>
        <v>22.305559358481563</v>
      </c>
      <c r="R325" s="88">
        <f t="shared" si="100"/>
        <v>25.492067838264646</v>
      </c>
      <c r="S325" s="88">
        <f t="shared" si="100"/>
        <v>28.678576318047725</v>
      </c>
      <c r="T325" s="88">
        <f t="shared" si="100"/>
        <v>31.865084797830804</v>
      </c>
    </row>
    <row r="326" spans="1:20" ht="31.5" customHeight="1">
      <c r="A326" s="342" t="s">
        <v>779</v>
      </c>
      <c r="B326" s="65">
        <f t="shared" si="96"/>
        <v>48.84998370785852</v>
      </c>
      <c r="C326" s="65">
        <v>50</v>
      </c>
      <c r="D326" s="106">
        <v>27.8</v>
      </c>
      <c r="E326" s="65">
        <f t="shared" si="97"/>
        <v>58.443039446631978</v>
      </c>
      <c r="F326" s="107">
        <f t="shared" si="98"/>
        <v>48.84998370785852</v>
      </c>
      <c r="G326" s="87"/>
      <c r="N326" s="103"/>
      <c r="O326" s="342" t="s">
        <v>779</v>
      </c>
      <c r="P326" s="88">
        <f t="shared" si="101"/>
        <v>22.54614632670393</v>
      </c>
      <c r="Q326" s="88">
        <f t="shared" si="100"/>
        <v>26.303837381154583</v>
      </c>
      <c r="R326" s="88">
        <f t="shared" si="100"/>
        <v>30.061528435605243</v>
      </c>
      <c r="S326" s="88">
        <f t="shared" si="100"/>
        <v>33.8192194900559</v>
      </c>
      <c r="T326" s="88">
        <f t="shared" si="100"/>
        <v>37.576910544506553</v>
      </c>
    </row>
    <row r="327" spans="1:20" ht="31.5" customHeight="1">
      <c r="A327" s="342" t="s">
        <v>780</v>
      </c>
      <c r="B327" s="65">
        <f t="shared" si="96"/>
        <v>60.173759321907383</v>
      </c>
      <c r="C327" s="65">
        <v>50</v>
      </c>
      <c r="D327" s="106">
        <v>27.8</v>
      </c>
      <c r="E327" s="65">
        <f t="shared" si="97"/>
        <v>58.443039446631978</v>
      </c>
      <c r="F327" s="107">
        <f t="shared" si="98"/>
        <v>58.443039446631978</v>
      </c>
      <c r="G327" s="87"/>
      <c r="N327" s="103"/>
      <c r="O327" s="342" t="s">
        <v>780</v>
      </c>
      <c r="P327" s="88">
        <f t="shared" si="101"/>
        <v>26.973710513830145</v>
      </c>
      <c r="Q327" s="88">
        <f t="shared" si="100"/>
        <v>31.469328932801833</v>
      </c>
      <c r="R327" s="88">
        <f t="shared" si="100"/>
        <v>35.964947351773525</v>
      </c>
      <c r="S327" s="88">
        <f t="shared" si="100"/>
        <v>40.460565770745212</v>
      </c>
      <c r="T327" s="88">
        <f t="shared" si="100"/>
        <v>44.956184189716907</v>
      </c>
    </row>
    <row r="328" spans="1:20" ht="30" customHeight="1">
      <c r="A328" s="342" t="s">
        <v>781</v>
      </c>
      <c r="B328" s="65">
        <f t="shared" si="96"/>
        <v>48.84998370785852</v>
      </c>
      <c r="C328" s="65">
        <v>50</v>
      </c>
      <c r="D328" s="106">
        <v>68.400000000000006</v>
      </c>
      <c r="E328" s="65">
        <f t="shared" si="97"/>
        <v>59.709990723289614</v>
      </c>
      <c r="F328" s="107">
        <f t="shared" si="98"/>
        <v>48.84998370785852</v>
      </c>
      <c r="G328" s="87"/>
      <c r="N328" s="103"/>
      <c r="O328" s="342" t="s">
        <v>781</v>
      </c>
      <c r="P328" s="88">
        <f t="shared" si="101"/>
        <v>22.54614632670393</v>
      </c>
      <c r="Q328" s="88">
        <f t="shared" si="100"/>
        <v>26.303837381154583</v>
      </c>
      <c r="R328" s="88">
        <f t="shared" si="100"/>
        <v>30.061528435605243</v>
      </c>
      <c r="S328" s="88">
        <f t="shared" si="100"/>
        <v>33.8192194900559</v>
      </c>
      <c r="T328" s="88">
        <f t="shared" si="100"/>
        <v>37.576910544506553</v>
      </c>
    </row>
    <row r="329" spans="1:20" ht="30">
      <c r="A329" s="342" t="s">
        <v>781</v>
      </c>
      <c r="B329" s="65">
        <f t="shared" si="96"/>
        <v>60.173759321907383</v>
      </c>
      <c r="C329" s="65">
        <v>50</v>
      </c>
      <c r="D329" s="106">
        <v>68.400000000000006</v>
      </c>
      <c r="E329" s="65">
        <f t="shared" si="97"/>
        <v>59.709990723289614</v>
      </c>
      <c r="F329" s="107">
        <f t="shared" si="98"/>
        <v>59.709990723289614</v>
      </c>
      <c r="O329" s="342" t="s">
        <v>781</v>
      </c>
      <c r="P329" s="88">
        <f t="shared" si="101"/>
        <v>27.558457256902898</v>
      </c>
      <c r="Q329" s="88">
        <f t="shared" si="100"/>
        <v>32.151533466386709</v>
      </c>
      <c r="R329" s="88">
        <f t="shared" si="100"/>
        <v>36.744609675870528</v>
      </c>
      <c r="S329" s="88">
        <f t="shared" si="100"/>
        <v>41.337685885354347</v>
      </c>
      <c r="T329" s="88">
        <f t="shared" si="100"/>
        <v>45.930762094838165</v>
      </c>
    </row>
    <row r="335" spans="1:20" ht="18.75">
      <c r="A335" s="56" t="s">
        <v>86</v>
      </c>
    </row>
    <row r="336" spans="1:20" ht="18.75">
      <c r="A336" s="56"/>
    </row>
    <row r="337" spans="1:33">
      <c r="A337" s="21" t="s">
        <v>37</v>
      </c>
      <c r="B337" s="22" t="s">
        <v>25</v>
      </c>
      <c r="L337" s="3"/>
      <c r="M337" s="3"/>
      <c r="N337" s="3"/>
      <c r="O337" s="3"/>
      <c r="P337" s="108"/>
    </row>
    <row r="338" spans="1:33" ht="18">
      <c r="A338" s="23" t="s">
        <v>39</v>
      </c>
      <c r="B338" s="24">
        <f>VLOOKUP(B337,$V$7:$W$16,2,FALSE)</f>
        <v>385</v>
      </c>
      <c r="C338" t="s">
        <v>40</v>
      </c>
      <c r="L338" s="108"/>
      <c r="M338" s="3"/>
      <c r="N338" s="3"/>
      <c r="O338" s="108"/>
      <c r="P338" s="108"/>
    </row>
    <row r="339" spans="1:33">
      <c r="L339" s="108"/>
      <c r="M339" s="3"/>
      <c r="N339" s="3"/>
      <c r="O339" s="108"/>
      <c r="P339" s="108"/>
    </row>
    <row r="340" spans="1:33" ht="18.75" thickBot="1">
      <c r="A340" s="4" t="s">
        <v>2</v>
      </c>
      <c r="B340" s="5" t="s">
        <v>43</v>
      </c>
      <c r="C340" s="5" t="s">
        <v>87</v>
      </c>
      <c r="D340" s="5" t="s">
        <v>88</v>
      </c>
      <c r="E340" s="5" t="s">
        <v>89</v>
      </c>
      <c r="F340" s="5" t="s">
        <v>90</v>
      </c>
      <c r="I340" s="105" t="s">
        <v>91</v>
      </c>
      <c r="L340" s="108"/>
      <c r="M340" s="3"/>
      <c r="N340" s="3"/>
      <c r="O340" s="100"/>
      <c r="P340" s="100"/>
    </row>
    <row r="341" spans="1:33">
      <c r="A341" s="8"/>
      <c r="B341" s="9" t="s">
        <v>19</v>
      </c>
      <c r="C341" s="9" t="s">
        <v>18</v>
      </c>
      <c r="D341" s="9" t="s">
        <v>18</v>
      </c>
      <c r="E341" s="9" t="s">
        <v>92</v>
      </c>
      <c r="F341" s="9" t="s">
        <v>17</v>
      </c>
      <c r="I341" s="105" t="s">
        <v>93</v>
      </c>
      <c r="L341" s="108"/>
      <c r="M341" s="3"/>
      <c r="N341" s="3"/>
      <c r="O341" s="100"/>
      <c r="P341" s="100"/>
      <c r="W341" s="714" t="s">
        <v>94</v>
      </c>
      <c r="X341" s="715"/>
      <c r="Y341" s="715"/>
      <c r="Z341" s="715"/>
      <c r="AA341" s="715"/>
      <c r="AB341" s="25"/>
      <c r="AC341" s="715" t="s">
        <v>95</v>
      </c>
      <c r="AD341" s="715"/>
      <c r="AE341" s="715"/>
      <c r="AF341" s="715"/>
      <c r="AG341" s="716"/>
    </row>
    <row r="342" spans="1:33">
      <c r="A342" s="33" t="s">
        <v>96</v>
      </c>
      <c r="B342" s="35">
        <v>1</v>
      </c>
      <c r="C342" s="66">
        <v>12</v>
      </c>
      <c r="D342" s="66">
        <f>I52</f>
        <v>49</v>
      </c>
      <c r="E342" s="65">
        <f>0.082*(1-0.01*C342)*$B$338</f>
        <v>27.781600000000001</v>
      </c>
      <c r="F342" s="65">
        <f t="shared" ref="F342:F352" si="102">MIN(0.4*B342*C342*D342*E342/1000,B342*(1.15/1000*SQRT(2*I342*E342*C342)+((0.52*SQRT(C342)*D342^0.9*$B$338^0.8)/1000)/4))</f>
        <v>6.5342323200000019</v>
      </c>
      <c r="G342" s="90" t="s">
        <v>97</v>
      </c>
      <c r="H342" s="90"/>
      <c r="I342" s="109">
        <f t="shared" ref="I342:I352" si="103">0.15*600*C342^2.6</f>
        <v>57559.067465202104</v>
      </c>
      <c r="L342" s="108"/>
      <c r="M342" s="3"/>
      <c r="N342" s="3"/>
      <c r="O342" s="100"/>
      <c r="P342" s="100"/>
      <c r="W342" s="26"/>
      <c r="X342" s="27">
        <v>0.6</v>
      </c>
      <c r="Y342" s="27">
        <v>0.7</v>
      </c>
      <c r="Z342" s="27">
        <v>0.8</v>
      </c>
      <c r="AA342" s="27">
        <v>0.9</v>
      </c>
      <c r="AB342" s="28"/>
      <c r="AC342" s="28"/>
      <c r="AD342" s="27">
        <v>0.6</v>
      </c>
      <c r="AE342" s="27">
        <v>0.7</v>
      </c>
      <c r="AF342" s="27">
        <v>0.8</v>
      </c>
      <c r="AG342" s="29">
        <v>0.9</v>
      </c>
    </row>
    <row r="343" spans="1:33">
      <c r="A343" s="33" t="s">
        <v>98</v>
      </c>
      <c r="B343" s="35">
        <v>1</v>
      </c>
      <c r="C343" s="66">
        <v>12</v>
      </c>
      <c r="D343" s="66">
        <f>I53</f>
        <v>45</v>
      </c>
      <c r="E343" s="65">
        <f>0.082*(1-0.01*C343)*$B$338</f>
        <v>27.781600000000001</v>
      </c>
      <c r="F343" s="65">
        <f t="shared" si="102"/>
        <v>6.0008256000000006</v>
      </c>
      <c r="G343" s="90" t="s">
        <v>99</v>
      </c>
      <c r="H343" s="90"/>
      <c r="I343" s="109">
        <f t="shared" si="103"/>
        <v>57559.067465202104</v>
      </c>
      <c r="L343" s="108"/>
      <c r="M343" s="3"/>
      <c r="N343" s="3"/>
      <c r="O343" s="100"/>
      <c r="P343" s="100"/>
      <c r="W343" s="26">
        <v>350</v>
      </c>
      <c r="X343" s="30">
        <v>2.7416359384615387</v>
      </c>
      <c r="Y343" s="30">
        <v>3.1985752615384619</v>
      </c>
      <c r="Z343" s="30">
        <v>3.6555145846153856</v>
      </c>
      <c r="AA343" s="30">
        <v>4.1124539076923083</v>
      </c>
      <c r="AB343" s="28"/>
      <c r="AC343" s="28">
        <v>350</v>
      </c>
      <c r="AD343" s="30">
        <v>3.2757208615384621</v>
      </c>
      <c r="AE343" s="30">
        <v>3.8216743384615386</v>
      </c>
      <c r="AF343" s="30">
        <v>4.3676278153846164</v>
      </c>
      <c r="AG343" s="31">
        <v>4.9135812923076925</v>
      </c>
    </row>
    <row r="344" spans="1:33">
      <c r="A344" s="33" t="s">
        <v>100</v>
      </c>
      <c r="B344" s="35">
        <v>1</v>
      </c>
      <c r="C344" s="66">
        <v>12</v>
      </c>
      <c r="D344" s="66">
        <v>49</v>
      </c>
      <c r="E344" s="65">
        <f>0.082*(1-0.01*C344)*$B$338</f>
        <v>27.781600000000001</v>
      </c>
      <c r="F344" s="65">
        <f t="shared" si="102"/>
        <v>6.5342323200000019</v>
      </c>
      <c r="G344" s="90"/>
      <c r="H344" s="90"/>
      <c r="I344" s="109">
        <f t="shared" si="103"/>
        <v>57559.067465202104</v>
      </c>
      <c r="L344" s="108"/>
      <c r="M344" s="3"/>
      <c r="N344" s="3"/>
      <c r="O344" s="100"/>
      <c r="P344" s="100"/>
      <c r="W344" s="26">
        <v>380</v>
      </c>
      <c r="X344" s="30">
        <v>2.9766333046153846</v>
      </c>
      <c r="Y344" s="30">
        <v>3.4727388553846152</v>
      </c>
      <c r="Z344" s="30">
        <v>3.9688444061538473</v>
      </c>
      <c r="AA344" s="30">
        <v>4.4649499569230775</v>
      </c>
      <c r="AB344" s="28"/>
      <c r="AC344" s="28">
        <v>380</v>
      </c>
      <c r="AD344" s="30">
        <v>3.5564969353846152</v>
      </c>
      <c r="AE344" s="30">
        <v>4.1492464246153844</v>
      </c>
      <c r="AF344" s="30">
        <v>4.7419959138461545</v>
      </c>
      <c r="AG344" s="31">
        <v>5.3347454030769228</v>
      </c>
    </row>
    <row r="345" spans="1:33">
      <c r="A345" s="33" t="s">
        <v>101</v>
      </c>
      <c r="B345" s="35">
        <v>1</v>
      </c>
      <c r="C345" s="66">
        <v>12</v>
      </c>
      <c r="D345" s="66">
        <v>49</v>
      </c>
      <c r="E345" s="65">
        <f>0.082*(1-0.01*C345)*$B$338/(1.35+0.015*C345)</f>
        <v>18.157908496732027</v>
      </c>
      <c r="F345" s="65">
        <f t="shared" si="102"/>
        <v>4.2707400784313734</v>
      </c>
      <c r="G345" s="90"/>
      <c r="H345" s="90"/>
      <c r="I345" s="109">
        <f t="shared" si="103"/>
        <v>57559.067465202104</v>
      </c>
      <c r="L345" s="108"/>
      <c r="M345" s="3"/>
      <c r="N345" s="3"/>
      <c r="O345" s="100"/>
      <c r="P345" s="100"/>
      <c r="W345" s="26">
        <v>410</v>
      </c>
      <c r="X345" s="30">
        <v>3.2116306707692313</v>
      </c>
      <c r="Y345" s="30">
        <v>3.7469024492307694</v>
      </c>
      <c r="Z345" s="30">
        <v>4.282174227692308</v>
      </c>
      <c r="AA345" s="30">
        <v>4.8174460061538475</v>
      </c>
      <c r="AB345" s="28"/>
      <c r="AC345" s="28">
        <v>410</v>
      </c>
      <c r="AD345" s="30">
        <v>3.8372730092307696</v>
      </c>
      <c r="AE345" s="30">
        <v>4.4768185107692311</v>
      </c>
      <c r="AF345" s="30">
        <v>5.1163640123076934</v>
      </c>
      <c r="AG345" s="31">
        <v>5.7559095138461549</v>
      </c>
    </row>
    <row r="346" spans="1:33">
      <c r="A346" s="33" t="s">
        <v>102</v>
      </c>
      <c r="B346" s="35">
        <v>1</v>
      </c>
      <c r="C346" s="66">
        <v>8</v>
      </c>
      <c r="D346" s="66">
        <v>69</v>
      </c>
      <c r="E346" s="65">
        <f t="shared" ref="E346:E351" si="104">0.082*(1-0.01*C346)*$B$338</f>
        <v>29.044400000000003</v>
      </c>
      <c r="F346" s="65">
        <f t="shared" si="102"/>
        <v>5.4504953448271456</v>
      </c>
      <c r="G346" s="90" t="s">
        <v>97</v>
      </c>
      <c r="H346" s="90"/>
      <c r="I346" s="109">
        <v>20000</v>
      </c>
      <c r="L346" s="108"/>
      <c r="M346" s="3"/>
      <c r="N346" s="3"/>
      <c r="O346" s="100"/>
      <c r="P346" s="100"/>
      <c r="W346" s="26"/>
      <c r="X346" s="30"/>
      <c r="Y346" s="30"/>
      <c r="Z346" s="30"/>
      <c r="AA346" s="30"/>
      <c r="AB346" s="28"/>
      <c r="AC346" s="28"/>
      <c r="AD346" s="30"/>
      <c r="AE346" s="30"/>
      <c r="AF346" s="30"/>
      <c r="AG346" s="31"/>
    </row>
    <row r="347" spans="1:33">
      <c r="A347" s="33" t="s">
        <v>103</v>
      </c>
      <c r="B347" s="35">
        <v>1</v>
      </c>
      <c r="C347" s="66">
        <v>16</v>
      </c>
      <c r="D347" s="66">
        <v>46</v>
      </c>
      <c r="E347" s="65">
        <f t="shared" si="104"/>
        <v>26.518799999999999</v>
      </c>
      <c r="F347" s="65">
        <f t="shared" si="102"/>
        <v>7.8071347200000005</v>
      </c>
      <c r="G347" s="90" t="s">
        <v>97</v>
      </c>
      <c r="H347" s="90"/>
      <c r="I347" s="109">
        <f t="shared" si="103"/>
        <v>121605.84905682993</v>
      </c>
      <c r="L347" s="108"/>
      <c r="M347" s="3"/>
      <c r="N347" s="3"/>
      <c r="O347" s="100"/>
      <c r="P347" s="100"/>
      <c r="W347" s="26">
        <v>430</v>
      </c>
      <c r="X347" s="30">
        <v>3.3682955815384616</v>
      </c>
      <c r="Y347" s="30">
        <v>3.9296781784615389</v>
      </c>
      <c r="Z347" s="30">
        <v>4.4910607753846161</v>
      </c>
      <c r="AA347" s="30">
        <v>5.0524433723076934</v>
      </c>
      <c r="AB347" s="28"/>
      <c r="AC347" s="28">
        <v>430</v>
      </c>
      <c r="AD347" s="30">
        <v>4.0244570584615387</v>
      </c>
      <c r="AE347" s="30">
        <v>4.6951999015384613</v>
      </c>
      <c r="AF347" s="30">
        <v>5.3659427446153849</v>
      </c>
      <c r="AG347" s="31">
        <v>6.0366855876923076</v>
      </c>
    </row>
    <row r="348" spans="1:33">
      <c r="A348" s="33" t="s">
        <v>104</v>
      </c>
      <c r="B348" s="35">
        <v>1</v>
      </c>
      <c r="C348" s="66">
        <v>16</v>
      </c>
      <c r="D348" s="66">
        <v>46</v>
      </c>
      <c r="E348" s="65">
        <f t="shared" si="104"/>
        <v>26.518799999999999</v>
      </c>
      <c r="F348" s="65">
        <f t="shared" si="102"/>
        <v>7.8071347200000005</v>
      </c>
      <c r="G348" s="90" t="s">
        <v>97</v>
      </c>
      <c r="H348" s="90"/>
      <c r="I348" s="109">
        <f>0.15*600*C348^2.6</f>
        <v>121605.84905682993</v>
      </c>
      <c r="L348" s="108"/>
      <c r="M348" s="3"/>
      <c r="N348" s="3"/>
      <c r="O348" s="100"/>
      <c r="P348" s="100"/>
      <c r="W348" s="26">
        <v>450</v>
      </c>
      <c r="X348" s="30">
        <v>3.5249604923076929</v>
      </c>
      <c r="Y348" s="30">
        <v>4.1124539076923083</v>
      </c>
      <c r="Z348" s="30">
        <v>4.6999473230769242</v>
      </c>
      <c r="AA348" s="30">
        <v>5.2874407384615392</v>
      </c>
      <c r="AB348" s="28"/>
      <c r="AC348" s="28">
        <v>450</v>
      </c>
      <c r="AD348" s="30">
        <v>4.2116411076923068</v>
      </c>
      <c r="AE348" s="30">
        <v>4.9135812923076925</v>
      </c>
      <c r="AF348" s="30">
        <v>5.6155214769230772</v>
      </c>
      <c r="AG348" s="31">
        <v>6.317461661538462</v>
      </c>
    </row>
    <row r="349" spans="1:33">
      <c r="A349" s="33" t="s">
        <v>105</v>
      </c>
      <c r="B349" s="35">
        <v>1</v>
      </c>
      <c r="C349" s="66">
        <v>16</v>
      </c>
      <c r="D349" s="66">
        <v>45</v>
      </c>
      <c r="E349" s="65">
        <f t="shared" si="104"/>
        <v>26.518799999999999</v>
      </c>
      <c r="F349" s="65">
        <f t="shared" si="102"/>
        <v>7.6374143999999999</v>
      </c>
      <c r="G349" s="90" t="s">
        <v>99</v>
      </c>
      <c r="H349" s="90"/>
      <c r="I349" s="109">
        <f t="shared" si="103"/>
        <v>121605.84905682993</v>
      </c>
      <c r="L349" s="108"/>
      <c r="M349" s="3"/>
      <c r="N349" s="3"/>
      <c r="O349" s="100"/>
      <c r="P349" s="100"/>
      <c r="W349" s="26">
        <v>400</v>
      </c>
      <c r="X349" s="30">
        <v>3.1332982153846158</v>
      </c>
      <c r="Y349" s="30">
        <v>3.6555145846153847</v>
      </c>
      <c r="Z349" s="30">
        <v>4.1777309538461544</v>
      </c>
      <c r="AA349" s="30">
        <v>4.6999473230769242</v>
      </c>
      <c r="AB349" s="28"/>
      <c r="AC349" s="28">
        <v>400</v>
      </c>
      <c r="AD349" s="30">
        <v>3.7436809846153851</v>
      </c>
      <c r="AE349" s="30">
        <v>4.3676278153846155</v>
      </c>
      <c r="AF349" s="30">
        <v>4.9915746461538477</v>
      </c>
      <c r="AG349" s="31">
        <v>5.6155214769230772</v>
      </c>
    </row>
    <row r="350" spans="1:33">
      <c r="A350" s="33" t="s">
        <v>106</v>
      </c>
      <c r="B350" s="35">
        <v>1</v>
      </c>
      <c r="C350" s="66">
        <v>10</v>
      </c>
      <c r="D350" s="66">
        <v>60</v>
      </c>
      <c r="E350" s="65">
        <f t="shared" si="104"/>
        <v>28.413</v>
      </c>
      <c r="F350" s="65">
        <f t="shared" si="102"/>
        <v>6.8191199999999998</v>
      </c>
      <c r="G350" s="90" t="s">
        <v>97</v>
      </c>
      <c r="H350" s="90"/>
      <c r="I350" s="109">
        <v>35000</v>
      </c>
      <c r="L350" s="108"/>
      <c r="M350" s="3"/>
      <c r="N350" s="3"/>
      <c r="O350" s="100"/>
      <c r="P350" s="100"/>
      <c r="W350" s="110" t="s">
        <v>107</v>
      </c>
      <c r="X350" s="27"/>
      <c r="Y350" s="27"/>
      <c r="Z350" s="27"/>
      <c r="AA350" s="27"/>
      <c r="AB350" s="28"/>
      <c r="AC350" s="27" t="s">
        <v>108</v>
      </c>
      <c r="AD350" s="27"/>
      <c r="AE350" s="27"/>
      <c r="AF350" s="27"/>
      <c r="AG350" s="29"/>
    </row>
    <row r="351" spans="1:33">
      <c r="A351" s="33" t="s">
        <v>109</v>
      </c>
      <c r="B351" s="35">
        <v>1</v>
      </c>
      <c r="C351" s="66">
        <v>16</v>
      </c>
      <c r="D351" s="66">
        <v>46</v>
      </c>
      <c r="E351" s="65">
        <f t="shared" si="104"/>
        <v>26.518799999999999</v>
      </c>
      <c r="F351" s="65">
        <f t="shared" si="102"/>
        <v>7.8071347200000005</v>
      </c>
      <c r="G351" s="90"/>
      <c r="H351" s="90"/>
      <c r="I351" s="109">
        <f t="shared" si="103"/>
        <v>121605.84905682993</v>
      </c>
      <c r="L351" s="3"/>
      <c r="M351" s="3"/>
      <c r="N351" s="3"/>
      <c r="O351" s="3"/>
      <c r="P351" s="108"/>
      <c r="W351" s="26">
        <v>350</v>
      </c>
      <c r="X351" s="30">
        <v>2.466435080370649</v>
      </c>
      <c r="Y351" s="30">
        <v>2.877507593765757</v>
      </c>
      <c r="Z351" s="30">
        <v>3.288580107160866</v>
      </c>
      <c r="AA351" s="30">
        <v>3.6996526205559737</v>
      </c>
      <c r="AB351" s="28"/>
      <c r="AC351" s="28">
        <v>350</v>
      </c>
      <c r="AD351" s="30">
        <v>3.2757208615384621</v>
      </c>
      <c r="AE351" s="30">
        <v>3.8216743384615386</v>
      </c>
      <c r="AF351" s="30">
        <v>4.3676278153846164</v>
      </c>
      <c r="AG351" s="31">
        <v>4.9135812923076925</v>
      </c>
    </row>
    <row r="352" spans="1:33">
      <c r="A352" s="33" t="s">
        <v>110</v>
      </c>
      <c r="B352" s="35">
        <v>1</v>
      </c>
      <c r="C352" s="66">
        <v>16</v>
      </c>
      <c r="D352" s="66">
        <v>46</v>
      </c>
      <c r="E352" s="65">
        <f>0.082*(1-0.01*C352)*$B$338/(1.35+0.015*C352)</f>
        <v>16.678490566037734</v>
      </c>
      <c r="F352" s="65">
        <f t="shared" si="102"/>
        <v>4.9101476226415102</v>
      </c>
      <c r="G352" s="90"/>
      <c r="H352" s="90"/>
      <c r="I352" s="109">
        <f t="shared" si="103"/>
        <v>121605.84905682993</v>
      </c>
      <c r="W352" s="26">
        <v>380</v>
      </c>
      <c r="X352" s="30">
        <v>2.6625242828383633</v>
      </c>
      <c r="Y352" s="30">
        <v>3.1062783299780903</v>
      </c>
      <c r="Z352" s="30">
        <v>3.5500323771178182</v>
      </c>
      <c r="AA352" s="30">
        <v>3.9937864242575456</v>
      </c>
      <c r="AB352" s="28"/>
      <c r="AC352" s="28">
        <v>380</v>
      </c>
      <c r="AD352" s="30">
        <v>3.5564969353846152</v>
      </c>
      <c r="AE352" s="30">
        <v>4.1492464246153844</v>
      </c>
      <c r="AF352" s="30">
        <v>4.7419959138461545</v>
      </c>
      <c r="AG352" s="31">
        <v>5.3347454030769228</v>
      </c>
    </row>
    <row r="353" spans="1:33">
      <c r="A353" s="111"/>
      <c r="B353" s="90"/>
      <c r="C353" s="90"/>
      <c r="D353" s="90"/>
      <c r="E353" s="90"/>
      <c r="F353" s="90"/>
      <c r="G353" s="90"/>
      <c r="H353" s="90"/>
      <c r="W353" s="26">
        <v>410</v>
      </c>
      <c r="X353" s="30">
        <v>2.8311444965563237</v>
      </c>
      <c r="Y353" s="30">
        <v>3.303001912649044</v>
      </c>
      <c r="Z353" s="30">
        <v>3.7748593287417651</v>
      </c>
      <c r="AA353" s="30">
        <v>4.2467167448344858</v>
      </c>
      <c r="AB353" s="28"/>
      <c r="AC353" s="28">
        <v>410</v>
      </c>
      <c r="AD353" s="30">
        <v>3.8372730092307696</v>
      </c>
      <c r="AE353" s="30">
        <v>4.4768185107692311</v>
      </c>
      <c r="AF353" s="30">
        <v>5.1163640123076934</v>
      </c>
      <c r="AG353" s="31">
        <v>5.7559095138461549</v>
      </c>
    </row>
    <row r="354" spans="1:33" ht="18">
      <c r="A354" s="112" t="s">
        <v>2</v>
      </c>
      <c r="B354" s="113" t="s">
        <v>43</v>
      </c>
      <c r="C354" s="113" t="s">
        <v>9</v>
      </c>
      <c r="D354" s="113" t="s">
        <v>111</v>
      </c>
      <c r="E354" s="113" t="s">
        <v>112</v>
      </c>
      <c r="F354" s="113" t="s">
        <v>80</v>
      </c>
      <c r="G354" s="113" t="s">
        <v>113</v>
      </c>
      <c r="H354" s="113" t="s">
        <v>114</v>
      </c>
      <c r="W354" s="26">
        <v>430</v>
      </c>
      <c r="X354" s="30">
        <v>2.9428539145083121</v>
      </c>
      <c r="Y354" s="30">
        <v>3.4333295669263642</v>
      </c>
      <c r="Z354" s="30">
        <v>3.9238052193444162</v>
      </c>
      <c r="AA354" s="30">
        <v>4.4142808717624682</v>
      </c>
      <c r="AB354" s="28"/>
      <c r="AC354" s="28">
        <v>430</v>
      </c>
      <c r="AD354" s="30">
        <v>4.0244570584615387</v>
      </c>
      <c r="AE354" s="30">
        <v>4.6951999015384613</v>
      </c>
      <c r="AF354" s="30">
        <v>5.3659427446153849</v>
      </c>
      <c r="AG354" s="31">
        <v>6.0366855876923076</v>
      </c>
    </row>
    <row r="355" spans="1:33">
      <c r="A355" s="45"/>
      <c r="B355" s="47" t="s">
        <v>19</v>
      </c>
      <c r="C355" s="47" t="s">
        <v>18</v>
      </c>
      <c r="D355" s="47" t="s">
        <v>93</v>
      </c>
      <c r="E355" s="47" t="s">
        <v>92</v>
      </c>
      <c r="F355" s="47" t="s">
        <v>18</v>
      </c>
      <c r="G355" s="47" t="s">
        <v>17</v>
      </c>
      <c r="H355" s="47" t="s">
        <v>17</v>
      </c>
      <c r="W355" s="26">
        <v>450</v>
      </c>
      <c r="X355" s="30">
        <v>3.0540399285736144</v>
      </c>
      <c r="Y355" s="30">
        <v>3.5630465833358831</v>
      </c>
      <c r="Z355" s="30">
        <v>4.0720532380981531</v>
      </c>
      <c r="AA355" s="30">
        <v>4.5810598928604218</v>
      </c>
      <c r="AB355" s="28"/>
      <c r="AC355" s="28">
        <v>450</v>
      </c>
      <c r="AD355" s="30">
        <v>4.2116411076923068</v>
      </c>
      <c r="AE355" s="30">
        <v>4.9135812923076925</v>
      </c>
      <c r="AF355" s="30">
        <v>5.6155214769230772</v>
      </c>
      <c r="AG355" s="31">
        <v>6.317461661538462</v>
      </c>
    </row>
    <row r="356" spans="1:33">
      <c r="A356" s="33" t="s">
        <v>115</v>
      </c>
      <c r="B356" s="35">
        <v>3</v>
      </c>
      <c r="C356" s="66">
        <v>6</v>
      </c>
      <c r="D356" s="66">
        <v>6300</v>
      </c>
      <c r="E356" s="65">
        <f>(0.033+0.049)*$B$338*C356^-0.3</f>
        <v>18.442899801312514</v>
      </c>
      <c r="F356" s="66">
        <v>44</v>
      </c>
      <c r="G356" s="65">
        <f>(0.52*SQRT(C356)*44^0.9*$B$338^0.8)/1000</f>
        <v>4.4931918376450692</v>
      </c>
      <c r="H356" s="65">
        <f t="shared" ref="H356:H361" si="105">B356*MIN((2.3*SQRT(C356*D356*E356))/1000+G356/4,C356*E356*F356/1000,C356*E356*F356/1000*(SQRT(2+4*D356/(C356*E356*F356^2))-1)+G356/4)</f>
        <v>9.1310493327091002</v>
      </c>
      <c r="I356" t="s">
        <v>116</v>
      </c>
      <c r="W356" s="26">
        <v>400</v>
      </c>
      <c r="X356" s="30">
        <v>2.7750831585268934</v>
      </c>
      <c r="Y356" s="30">
        <v>3.237597018281376</v>
      </c>
      <c r="Z356" s="30">
        <v>3.7001108780358587</v>
      </c>
      <c r="AA356" s="30">
        <v>4.1626247377903409</v>
      </c>
      <c r="AB356" s="28"/>
      <c r="AC356" s="28">
        <v>400</v>
      </c>
      <c r="AD356" s="30">
        <v>3.7436809846153851</v>
      </c>
      <c r="AE356" s="30">
        <v>4.3676278153846155</v>
      </c>
      <c r="AF356" s="30">
        <v>4.9915746461538477</v>
      </c>
      <c r="AG356" s="31">
        <v>5.6155214769230772</v>
      </c>
    </row>
    <row r="357" spans="1:33">
      <c r="A357" s="33" t="s">
        <v>100</v>
      </c>
      <c r="B357" s="35">
        <v>3</v>
      </c>
      <c r="C357" s="66">
        <v>6</v>
      </c>
      <c r="D357" s="66">
        <v>6300</v>
      </c>
      <c r="E357" s="65">
        <f>(0.033)*$B$338*C357^-0.3</f>
        <v>7.4221426029672317</v>
      </c>
      <c r="F357" s="66">
        <v>44</v>
      </c>
      <c r="G357" s="65">
        <f>(0.52*SQRT(C357)*44^0.9*$B$338^0.8)/1000</f>
        <v>4.4931918376450692</v>
      </c>
      <c r="H357" s="65">
        <f t="shared" si="105"/>
        <v>5.8783369415500477</v>
      </c>
      <c r="W357" s="110" t="s">
        <v>117</v>
      </c>
      <c r="X357" s="27"/>
      <c r="Y357" s="27"/>
      <c r="Z357" s="27"/>
      <c r="AA357" s="27"/>
      <c r="AB357" s="28"/>
      <c r="AC357" s="27" t="s">
        <v>118</v>
      </c>
      <c r="AD357" s="27"/>
      <c r="AE357" s="27"/>
      <c r="AF357" s="27"/>
      <c r="AG357" s="29"/>
    </row>
    <row r="358" spans="1:33">
      <c r="A358" s="33" t="s">
        <v>119</v>
      </c>
      <c r="B358" s="35">
        <v>3</v>
      </c>
      <c r="C358" s="66">
        <v>10</v>
      </c>
      <c r="D358" s="66">
        <v>23900</v>
      </c>
      <c r="E358" s="65">
        <f>(0.033+0.049)*$B$338*C358^-0.3</f>
        <v>15.822480965612986</v>
      </c>
      <c r="F358" s="66">
        <v>54</v>
      </c>
      <c r="G358" s="65">
        <f>(0.52*SQRT(C358)*50^0.9*$B$338^0.8)/1000</f>
        <v>6.5079608419177726</v>
      </c>
      <c r="H358" s="65">
        <f t="shared" si="105"/>
        <v>17.32976009628636</v>
      </c>
      <c r="I358" t="s">
        <v>97</v>
      </c>
      <c r="W358" s="26">
        <v>350</v>
      </c>
      <c r="X358" s="30">
        <v>1.7919189140271494</v>
      </c>
      <c r="Y358" s="30">
        <v>2.0905720663650076</v>
      </c>
      <c r="Z358" s="30">
        <v>2.3892252187028662</v>
      </c>
      <c r="AA358" s="30">
        <v>2.6878783710407244</v>
      </c>
      <c r="AB358" s="28"/>
      <c r="AC358" s="28">
        <v>350</v>
      </c>
      <c r="AD358" s="30">
        <v>2.0602017997097244</v>
      </c>
      <c r="AE358" s="30">
        <v>2.4035687663280116</v>
      </c>
      <c r="AF358" s="30">
        <v>2.7469357329462993</v>
      </c>
      <c r="AG358" s="31">
        <v>3.0903026995645866</v>
      </c>
    </row>
    <row r="359" spans="1:33">
      <c r="A359" s="33" t="s">
        <v>119</v>
      </c>
      <c r="B359" s="35">
        <v>3</v>
      </c>
      <c r="C359" s="66">
        <v>6</v>
      </c>
      <c r="D359" s="66">
        <v>6300</v>
      </c>
      <c r="E359" s="65">
        <f>(0.033+0.049)*$B$338*C359^-0.3</f>
        <v>18.442899801312514</v>
      </c>
      <c r="F359" s="66">
        <v>44</v>
      </c>
      <c r="G359" s="65">
        <f>(0.52*SQRT(C359)*50^0.9*$B$338^0.8)/1000</f>
        <v>5.0410447917035075</v>
      </c>
      <c r="H359" s="65">
        <f t="shared" si="105"/>
        <v>9.541939048252928</v>
      </c>
      <c r="I359" t="s">
        <v>97</v>
      </c>
      <c r="W359" s="26">
        <v>380</v>
      </c>
      <c r="X359" s="30">
        <v>1.9455119638009055</v>
      </c>
      <c r="Y359" s="30">
        <v>2.2697639577677231</v>
      </c>
      <c r="Z359" s="30">
        <v>2.5940159517345407</v>
      </c>
      <c r="AA359" s="30">
        <v>2.9182679457013583</v>
      </c>
      <c r="AB359" s="28"/>
      <c r="AC359" s="28">
        <v>380</v>
      </c>
      <c r="AD359" s="30">
        <v>2.2367905253991291</v>
      </c>
      <c r="AE359" s="30">
        <v>2.6095889462989836</v>
      </c>
      <c r="AF359" s="30">
        <v>2.982387367198839</v>
      </c>
      <c r="AG359" s="31">
        <v>3.3551857880986939</v>
      </c>
    </row>
    <row r="360" spans="1:33">
      <c r="A360" s="33" t="s">
        <v>119</v>
      </c>
      <c r="B360" s="35">
        <v>3</v>
      </c>
      <c r="C360" s="66">
        <v>10</v>
      </c>
      <c r="D360" s="66">
        <v>23900</v>
      </c>
      <c r="E360" s="65">
        <f>(0.033+0.049)*$B$338*C360^-0.3</f>
        <v>15.822480965612986</v>
      </c>
      <c r="F360" s="66">
        <v>45</v>
      </c>
      <c r="G360" s="65">
        <f>(0.52*SQRT(C360)*50^0.9*$B$338^0.8)/1000</f>
        <v>6.5079608419177726</v>
      </c>
      <c r="H360" s="65">
        <f t="shared" si="105"/>
        <v>15.903729130692579</v>
      </c>
      <c r="I360" t="s">
        <v>99</v>
      </c>
      <c r="W360" s="26">
        <v>410</v>
      </c>
      <c r="X360" s="30">
        <v>2.0991050135746607</v>
      </c>
      <c r="Y360" s="30">
        <v>2.4489558491704377</v>
      </c>
      <c r="Z360" s="30">
        <v>2.7988066847662147</v>
      </c>
      <c r="AA360" s="30">
        <v>3.1486575203619913</v>
      </c>
      <c r="AB360" s="28"/>
      <c r="AC360" s="28">
        <v>410</v>
      </c>
      <c r="AD360" s="30">
        <v>2.4133792510885339</v>
      </c>
      <c r="AE360" s="30">
        <v>2.8156091262699561</v>
      </c>
      <c r="AF360" s="30">
        <v>3.2178390014513791</v>
      </c>
      <c r="AG360" s="31">
        <v>3.6200688766328009</v>
      </c>
    </row>
    <row r="361" spans="1:33">
      <c r="A361" s="33" t="s">
        <v>120</v>
      </c>
      <c r="B361" s="35">
        <v>3</v>
      </c>
      <c r="C361" s="66">
        <v>10</v>
      </c>
      <c r="D361" s="66">
        <v>23900</v>
      </c>
      <c r="E361" s="65">
        <f>(0.033)*$B$338*C361^-0.3</f>
        <v>6.3675838032344938</v>
      </c>
      <c r="F361" s="66">
        <v>55</v>
      </c>
      <c r="G361" s="65">
        <f>(0.52*SQRT(C361)*50^0.9*$B$338^0.8)/1000</f>
        <v>6.5079608419177726</v>
      </c>
      <c r="H361" s="65">
        <f t="shared" si="105"/>
        <v>10.506513275336916</v>
      </c>
      <c r="K361" s="24"/>
      <c r="W361" s="26">
        <v>430</v>
      </c>
      <c r="X361" s="30">
        <v>2.2015003800904984</v>
      </c>
      <c r="Y361" s="30">
        <v>2.5684171101055813</v>
      </c>
      <c r="Z361" s="30">
        <v>2.9353338401206646</v>
      </c>
      <c r="AA361" s="30">
        <v>3.3022505701357474</v>
      </c>
      <c r="AB361" s="28"/>
      <c r="AC361" s="28">
        <v>430</v>
      </c>
      <c r="AD361" s="30">
        <v>2.5311050682148037</v>
      </c>
      <c r="AE361" s="30">
        <v>2.9529559129172713</v>
      </c>
      <c r="AF361" s="30">
        <v>3.3748067576197389</v>
      </c>
      <c r="AG361" s="31">
        <v>3.7966576023222061</v>
      </c>
    </row>
    <row r="362" spans="1:33">
      <c r="A362" s="23"/>
      <c r="F362" s="24"/>
      <c r="G362" s="24"/>
      <c r="H362" s="24"/>
      <c r="I362" s="24"/>
      <c r="J362" s="24"/>
      <c r="K362" s="24"/>
      <c r="W362" s="26">
        <v>450</v>
      </c>
      <c r="X362" s="30">
        <v>2.3038957466063352</v>
      </c>
      <c r="Y362" s="30">
        <v>2.6878783710407244</v>
      </c>
      <c r="Z362" s="30">
        <v>3.0718609954751135</v>
      </c>
      <c r="AA362" s="30">
        <v>3.4558436199095031</v>
      </c>
      <c r="AB362" s="28"/>
      <c r="AC362" s="28">
        <v>450</v>
      </c>
      <c r="AD362" s="30">
        <v>2.648830885341074</v>
      </c>
      <c r="AE362" s="30">
        <v>3.0903026995645861</v>
      </c>
      <c r="AF362" s="30">
        <v>3.5317745137880991</v>
      </c>
      <c r="AG362" s="31">
        <v>3.9732463280116108</v>
      </c>
    </row>
    <row r="363" spans="1:33">
      <c r="A363" s="23"/>
      <c r="B363" s="77"/>
      <c r="F363" t="s">
        <v>72</v>
      </c>
      <c r="G363" s="3"/>
      <c r="H363" s="24"/>
      <c r="I363" s="24"/>
      <c r="J363" s="24"/>
      <c r="K363" s="24"/>
      <c r="W363" s="26">
        <v>400</v>
      </c>
      <c r="X363" s="30">
        <v>2.0479073303167423</v>
      </c>
      <c r="Y363" s="30">
        <v>2.3892252187028657</v>
      </c>
      <c r="Z363" s="30">
        <v>2.7305431070889901</v>
      </c>
      <c r="AA363" s="30">
        <v>3.0718609954751135</v>
      </c>
      <c r="AB363" s="28"/>
      <c r="AC363" s="28">
        <v>400</v>
      </c>
      <c r="AD363" s="30">
        <v>2.354516342525399</v>
      </c>
      <c r="AE363" s="30">
        <v>2.7469357329462989</v>
      </c>
      <c r="AF363" s="30">
        <v>3.1393551233671988</v>
      </c>
      <c r="AG363" s="31">
        <v>3.5317745137880991</v>
      </c>
    </row>
    <row r="364" spans="1:33" ht="18">
      <c r="A364" s="4" t="s">
        <v>2</v>
      </c>
      <c r="B364" s="78" t="s">
        <v>121</v>
      </c>
      <c r="C364" s="78" t="s">
        <v>73</v>
      </c>
      <c r="D364" s="5" t="s">
        <v>74</v>
      </c>
      <c r="E364" s="78" t="s">
        <v>122</v>
      </c>
      <c r="F364" s="79" t="s">
        <v>85</v>
      </c>
      <c r="G364" s="80"/>
      <c r="H364" s="721" t="s">
        <v>123</v>
      </c>
      <c r="I364" s="24"/>
      <c r="J364" s="24"/>
      <c r="K364" s="24"/>
      <c r="O364" s="4" t="s">
        <v>2</v>
      </c>
      <c r="P364" s="710" t="s">
        <v>77</v>
      </c>
      <c r="Q364" s="711"/>
      <c r="R364" s="711"/>
      <c r="S364" s="711"/>
      <c r="T364" s="712"/>
      <c r="W364" s="110" t="s">
        <v>124</v>
      </c>
      <c r="X364" s="27"/>
      <c r="Y364" s="27"/>
      <c r="Z364" s="27"/>
      <c r="AA364" s="27"/>
      <c r="AB364" s="28"/>
      <c r="AC364" s="27" t="s">
        <v>125</v>
      </c>
      <c r="AD364" s="27"/>
      <c r="AE364" s="27"/>
      <c r="AF364" s="27"/>
      <c r="AG364" s="29"/>
    </row>
    <row r="365" spans="1:33">
      <c r="A365" s="8"/>
      <c r="B365" s="81" t="s">
        <v>17</v>
      </c>
      <c r="C365" s="82" t="s">
        <v>17</v>
      </c>
      <c r="D365" s="9" t="s">
        <v>78</v>
      </c>
      <c r="E365" s="82" t="s">
        <v>17</v>
      </c>
      <c r="F365" s="83" t="s">
        <v>17</v>
      </c>
      <c r="G365" s="84"/>
      <c r="H365" s="721"/>
      <c r="I365" s="24"/>
      <c r="J365" s="24"/>
      <c r="K365" s="24"/>
      <c r="O365" s="8"/>
      <c r="P365" s="95">
        <v>0.6</v>
      </c>
      <c r="Q365" s="95">
        <v>0.7</v>
      </c>
      <c r="R365" s="95">
        <v>0.8</v>
      </c>
      <c r="S365" s="95">
        <v>0.9</v>
      </c>
      <c r="T365" s="95">
        <v>1</v>
      </c>
      <c r="W365" s="26">
        <v>350</v>
      </c>
      <c r="X365" s="30">
        <v>1.7919189140271494</v>
      </c>
      <c r="Y365" s="30">
        <v>2.0905720663650076</v>
      </c>
      <c r="Z365" s="30">
        <v>2.3892252187028662</v>
      </c>
      <c r="AA365" s="30">
        <v>2.6878783710407244</v>
      </c>
      <c r="AB365" s="28"/>
      <c r="AC365" s="28">
        <v>350</v>
      </c>
      <c r="AD365" s="30">
        <v>2.0602017997097244</v>
      </c>
      <c r="AE365" s="30">
        <v>2.4035687663280116</v>
      </c>
      <c r="AF365" s="30">
        <v>2.7469357329462993</v>
      </c>
      <c r="AG365" s="31">
        <v>3.0903026995645866</v>
      </c>
    </row>
    <row r="366" spans="1:33">
      <c r="A366" s="44" t="s">
        <v>96</v>
      </c>
      <c r="B366" s="16">
        <f t="shared" ref="B366:B376" si="106">F342</f>
        <v>6.5342323200000019</v>
      </c>
      <c r="C366" s="16">
        <v>17</v>
      </c>
      <c r="D366" s="114">
        <v>0</v>
      </c>
      <c r="E366" s="16">
        <f>H356</f>
        <v>9.1310493327091002</v>
      </c>
      <c r="F366" s="17">
        <f t="shared" ref="F366:F376" si="107">MIN(B366,C366,E366)</f>
        <v>6.5342323200000019</v>
      </c>
      <c r="G366" t="s">
        <v>97</v>
      </c>
      <c r="O366" s="44" t="s">
        <v>96</v>
      </c>
      <c r="P366" s="88">
        <f>MIN(P$365*$B366/1.3,$C366/1,P$365*$E366/1.3)</f>
        <v>3.0157995323076929</v>
      </c>
      <c r="Q366" s="88">
        <f>MIN(Q$365*$B366/1.3,$C366/1,Q$365*$E366/1.3)</f>
        <v>3.5184327876923081</v>
      </c>
      <c r="R366" s="88">
        <f>MIN(R$365*$B366/1.3,$C366/1,R$365*$E366/1.3)</f>
        <v>4.0210660430769245</v>
      </c>
      <c r="S366" s="88">
        <f>MIN(S$365*$B366/1.3,$C366/1,S$365*$E366/1.3)</f>
        <v>4.5236992984615396</v>
      </c>
      <c r="T366" s="88">
        <f>MIN(T$365*$B366/1.3,$C366/1,T$365*$E366/1.3)</f>
        <v>5.0263325538461547</v>
      </c>
      <c r="W366" s="26">
        <v>380</v>
      </c>
      <c r="X366" s="30">
        <v>1.9455119638009055</v>
      </c>
      <c r="Y366" s="30">
        <v>2.2697639577677231</v>
      </c>
      <c r="Z366" s="30">
        <v>2.5940159517345407</v>
      </c>
      <c r="AA366" s="30">
        <v>2.9182679457013583</v>
      </c>
      <c r="AB366" s="28"/>
      <c r="AC366" s="28">
        <v>380</v>
      </c>
      <c r="AD366" s="30">
        <v>2.2367905253991291</v>
      </c>
      <c r="AE366" s="30">
        <v>2.6095889462989836</v>
      </c>
      <c r="AF366" s="30">
        <v>2.982387367198839</v>
      </c>
      <c r="AG366" s="31">
        <v>3.3551857880986939</v>
      </c>
    </row>
    <row r="367" spans="1:33">
      <c r="A367" s="44" t="s">
        <v>98</v>
      </c>
      <c r="B367" s="16">
        <f t="shared" si="106"/>
        <v>6.0008256000000006</v>
      </c>
      <c r="C367" s="16">
        <v>17</v>
      </c>
      <c r="D367" s="114">
        <v>0</v>
      </c>
      <c r="E367" s="16">
        <f>H356</f>
        <v>9.1310493327091002</v>
      </c>
      <c r="F367" s="17">
        <f t="shared" si="107"/>
        <v>6.0008256000000006</v>
      </c>
      <c r="G367" t="s">
        <v>99</v>
      </c>
      <c r="H367" s="38">
        <f>F367/F366</f>
        <v>0.91836734693877531</v>
      </c>
      <c r="O367" s="88"/>
      <c r="P367" s="88"/>
      <c r="Q367" s="88"/>
      <c r="R367" s="88"/>
      <c r="S367" s="88"/>
      <c r="T367" s="88"/>
      <c r="W367" s="26">
        <v>410</v>
      </c>
      <c r="X367" s="30">
        <v>2.0991050135746607</v>
      </c>
      <c r="Y367" s="30">
        <v>2.4489558491704377</v>
      </c>
      <c r="Z367" s="30">
        <v>2.7988066847662147</v>
      </c>
      <c r="AA367" s="30">
        <v>3.1486575203619913</v>
      </c>
      <c r="AB367" s="28"/>
      <c r="AC367" s="28">
        <v>410</v>
      </c>
      <c r="AD367" s="30">
        <v>2.4133792510885339</v>
      </c>
      <c r="AE367" s="30">
        <v>2.8156091262699561</v>
      </c>
      <c r="AF367" s="30">
        <v>3.2178390014513791</v>
      </c>
      <c r="AG367" s="31">
        <v>3.6200688766328009</v>
      </c>
    </row>
    <row r="368" spans="1:33">
      <c r="A368" s="44" t="s">
        <v>100</v>
      </c>
      <c r="B368" s="16">
        <f t="shared" si="106"/>
        <v>6.5342323200000019</v>
      </c>
      <c r="C368" s="16">
        <v>17</v>
      </c>
      <c r="D368" s="114">
        <v>0</v>
      </c>
      <c r="E368" s="16">
        <f>H357</f>
        <v>5.8783369415500477</v>
      </c>
      <c r="F368" s="17">
        <f t="shared" si="107"/>
        <v>5.8783369415500477</v>
      </c>
      <c r="G368" s="12"/>
      <c r="O368" s="88"/>
      <c r="P368" s="88"/>
      <c r="Q368" s="88"/>
      <c r="R368" s="88"/>
      <c r="S368" s="88"/>
      <c r="T368" s="88"/>
      <c r="W368" s="26">
        <v>430</v>
      </c>
      <c r="X368" s="30">
        <v>2.2015003800904984</v>
      </c>
      <c r="Y368" s="30">
        <v>2.5684171101055813</v>
      </c>
      <c r="Z368" s="30">
        <v>2.9353338401206646</v>
      </c>
      <c r="AA368" s="30">
        <v>3.3022505701357474</v>
      </c>
      <c r="AB368" s="28"/>
      <c r="AC368" s="28">
        <v>430</v>
      </c>
      <c r="AD368" s="30">
        <v>2.5311050682148037</v>
      </c>
      <c r="AE368" s="30">
        <v>2.9529559129172713</v>
      </c>
      <c r="AF368" s="30">
        <v>3.3748067576197389</v>
      </c>
      <c r="AG368" s="31">
        <v>3.7966576023222061</v>
      </c>
    </row>
    <row r="369" spans="1:33">
      <c r="A369" s="44" t="s">
        <v>101</v>
      </c>
      <c r="B369" s="16">
        <f t="shared" si="106"/>
        <v>4.2707400784313734</v>
      </c>
      <c r="C369" s="16">
        <v>17</v>
      </c>
      <c r="D369" s="114">
        <v>0</v>
      </c>
      <c r="E369" s="16">
        <f>H356</f>
        <v>9.1310493327091002</v>
      </c>
      <c r="F369" s="17">
        <f t="shared" si="107"/>
        <v>4.2707400784313734</v>
      </c>
      <c r="G369" s="12"/>
      <c r="O369" s="88"/>
      <c r="P369" s="88"/>
      <c r="Q369" s="88"/>
      <c r="R369" s="88"/>
      <c r="S369" s="88"/>
      <c r="T369" s="88"/>
      <c r="W369" s="26">
        <v>450</v>
      </c>
      <c r="X369" s="30">
        <v>2.3038957466063352</v>
      </c>
      <c r="Y369" s="30">
        <v>2.6878783710407244</v>
      </c>
      <c r="Z369" s="30">
        <v>3.0718609954751135</v>
      </c>
      <c r="AA369" s="30">
        <v>3.4558436199095031</v>
      </c>
      <c r="AB369" s="28"/>
      <c r="AC369" s="28">
        <v>450</v>
      </c>
      <c r="AD369" s="30">
        <v>2.648830885341074</v>
      </c>
      <c r="AE369" s="30">
        <v>3.0903026995645861</v>
      </c>
      <c r="AF369" s="30">
        <v>3.5317745137880991</v>
      </c>
      <c r="AG369" s="31">
        <v>3.9732463280116108</v>
      </c>
    </row>
    <row r="370" spans="1:33">
      <c r="A370" s="44" t="s">
        <v>102</v>
      </c>
      <c r="B370" s="16">
        <f t="shared" si="106"/>
        <v>5.4504953448271456</v>
      </c>
      <c r="C370" s="16">
        <v>17</v>
      </c>
      <c r="D370" s="114">
        <v>0</v>
      </c>
      <c r="E370" s="16">
        <f>H356</f>
        <v>9.1310493327091002</v>
      </c>
      <c r="F370" s="17">
        <f t="shared" si="107"/>
        <v>5.4504953448271456</v>
      </c>
      <c r="G370" s="115"/>
      <c r="O370" s="88"/>
      <c r="P370" s="88"/>
      <c r="Q370" s="88"/>
      <c r="R370" s="88"/>
      <c r="S370" s="88"/>
      <c r="T370" s="88"/>
      <c r="W370" s="26"/>
      <c r="X370" s="30"/>
      <c r="Y370" s="30"/>
      <c r="Z370" s="30"/>
      <c r="AA370" s="30"/>
      <c r="AB370" s="28"/>
      <c r="AC370" s="28"/>
      <c r="AD370" s="30"/>
      <c r="AE370" s="30"/>
      <c r="AF370" s="30"/>
      <c r="AG370" s="31"/>
    </row>
    <row r="371" spans="1:33" ht="15.75" thickBot="1">
      <c r="A371" s="44" t="s">
        <v>103</v>
      </c>
      <c r="B371" s="16">
        <f t="shared" si="106"/>
        <v>7.8071347200000005</v>
      </c>
      <c r="C371" s="16">
        <v>17</v>
      </c>
      <c r="D371" s="114">
        <v>0</v>
      </c>
      <c r="E371" s="16">
        <f>H358</f>
        <v>17.32976009628636</v>
      </c>
      <c r="F371" s="17">
        <f t="shared" si="107"/>
        <v>7.8071347200000005</v>
      </c>
      <c r="G371" t="s">
        <v>97</v>
      </c>
      <c r="H371" s="108"/>
      <c r="I371" s="108"/>
      <c r="J371" s="108"/>
      <c r="K371" s="3"/>
      <c r="L371" s="3"/>
      <c r="O371" s="44" t="s">
        <v>103</v>
      </c>
      <c r="P371" s="88">
        <f>MIN(P$365*$B371/1.3,$C371/1,P$365*$E371/1.3)</f>
        <v>3.6032929476923075</v>
      </c>
      <c r="Q371" s="88">
        <f>MIN(Q$365*$B371/1.3,$C371/1,Q$365*$E371/1.3)</f>
        <v>4.2038417723076922</v>
      </c>
      <c r="R371" s="88">
        <f>MIN(R$365*$B371/1.3,$C371/1,R$365*$E371/1.3)</f>
        <v>4.8043905969230769</v>
      </c>
      <c r="S371" s="88">
        <f>MIN(S$365*$B371/1.3,$C371/1,S$365*$E371/1.3)</f>
        <v>5.4049394215384625</v>
      </c>
      <c r="T371" s="88">
        <f>MIN(T$365*$B371/1.3,$C371/1,T$365*$E371/1.3)</f>
        <v>6.0054882461538464</v>
      </c>
      <c r="W371" s="57">
        <v>400</v>
      </c>
      <c r="X371" s="58">
        <v>2.0479073303167423</v>
      </c>
      <c r="Y371" s="58">
        <v>2.3892252187028657</v>
      </c>
      <c r="Z371" s="58">
        <v>2.7305431070889901</v>
      </c>
      <c r="AA371" s="58">
        <v>3.0718609954751135</v>
      </c>
      <c r="AB371" s="59"/>
      <c r="AC371" s="59">
        <v>400</v>
      </c>
      <c r="AD371" s="58">
        <v>2.354516342525399</v>
      </c>
      <c r="AE371" s="58">
        <v>2.7469357329462989</v>
      </c>
      <c r="AF371" s="58">
        <v>3.1393551233671988</v>
      </c>
      <c r="AG371" s="60">
        <v>3.5317745137880991</v>
      </c>
    </row>
    <row r="372" spans="1:33">
      <c r="A372" s="44" t="s">
        <v>104</v>
      </c>
      <c r="B372" s="16">
        <f t="shared" si="106"/>
        <v>7.8071347200000005</v>
      </c>
      <c r="C372" s="16">
        <v>17</v>
      </c>
      <c r="D372" s="114">
        <v>0</v>
      </c>
      <c r="E372" s="16">
        <f>H359</f>
        <v>9.541939048252928</v>
      </c>
      <c r="F372" s="17">
        <f t="shared" si="107"/>
        <v>7.8071347200000005</v>
      </c>
      <c r="G372" t="s">
        <v>97</v>
      </c>
      <c r="H372" s="108"/>
      <c r="I372" s="108"/>
      <c r="J372" s="108"/>
      <c r="K372" s="3"/>
      <c r="L372" s="3"/>
      <c r="P372" s="116"/>
      <c r="Q372" s="116"/>
      <c r="R372" s="116"/>
      <c r="S372" s="116"/>
    </row>
    <row r="373" spans="1:33">
      <c r="A373" s="44" t="s">
        <v>105</v>
      </c>
      <c r="B373" s="16">
        <f t="shared" si="106"/>
        <v>7.6374143999999999</v>
      </c>
      <c r="C373" s="16">
        <v>17</v>
      </c>
      <c r="D373" s="114">
        <v>0</v>
      </c>
      <c r="E373" s="16">
        <f>H360</f>
        <v>15.903729130692579</v>
      </c>
      <c r="F373" s="17">
        <f t="shared" si="107"/>
        <v>7.6374143999999999</v>
      </c>
      <c r="G373" t="s">
        <v>99</v>
      </c>
      <c r="H373" s="117">
        <f>F373/F371</f>
        <v>0.97826086956521729</v>
      </c>
      <c r="I373" s="108"/>
      <c r="J373" s="108"/>
      <c r="K373" s="3"/>
      <c r="L373" s="3"/>
      <c r="P373" s="116"/>
      <c r="Q373" s="116"/>
      <c r="R373" s="116"/>
      <c r="S373" s="116"/>
    </row>
    <row r="374" spans="1:33">
      <c r="A374" s="44" t="s">
        <v>106</v>
      </c>
      <c r="B374" s="16">
        <f t="shared" si="106"/>
        <v>6.8191199999999998</v>
      </c>
      <c r="C374" s="16">
        <v>17</v>
      </c>
      <c r="D374" s="114">
        <v>0</v>
      </c>
      <c r="E374" s="16">
        <f>H358</f>
        <v>17.32976009628636</v>
      </c>
      <c r="F374" s="17">
        <f t="shared" si="107"/>
        <v>6.8191199999999998</v>
      </c>
      <c r="G374" t="s">
        <v>97</v>
      </c>
      <c r="H374" s="117">
        <f>F374/F371</f>
        <v>0.87344720496894401</v>
      </c>
      <c r="I374" s="108"/>
      <c r="J374" s="108"/>
      <c r="K374" s="3"/>
      <c r="L374" s="3"/>
      <c r="P374" s="116"/>
      <c r="Q374" s="116"/>
      <c r="R374" s="116"/>
      <c r="S374" s="116"/>
    </row>
    <row r="375" spans="1:33" s="3" customFormat="1">
      <c r="A375" s="44" t="s">
        <v>109</v>
      </c>
      <c r="B375" s="16">
        <f t="shared" si="106"/>
        <v>7.8071347200000005</v>
      </c>
      <c r="C375" s="16">
        <v>17</v>
      </c>
      <c r="D375" s="114">
        <v>0</v>
      </c>
      <c r="E375" s="16">
        <f>H361</f>
        <v>10.506513275336916</v>
      </c>
      <c r="F375" s="17">
        <f t="shared" si="107"/>
        <v>7.8071347200000005</v>
      </c>
      <c r="G375" s="115"/>
      <c r="H375" s="108"/>
      <c r="I375" s="108"/>
      <c r="J375" s="108"/>
      <c r="P375" s="116"/>
      <c r="Q375" s="116"/>
      <c r="R375" s="116"/>
      <c r="S375" s="116"/>
    </row>
    <row r="376" spans="1:33">
      <c r="A376" s="44" t="s">
        <v>126</v>
      </c>
      <c r="B376" s="16">
        <f t="shared" si="106"/>
        <v>4.9101476226415102</v>
      </c>
      <c r="C376" s="16">
        <v>17</v>
      </c>
      <c r="D376" s="114">
        <v>0</v>
      </c>
      <c r="E376" s="16">
        <f>H358</f>
        <v>17.32976009628636</v>
      </c>
      <c r="F376" s="17">
        <f t="shared" si="107"/>
        <v>4.9101476226415102</v>
      </c>
      <c r="G376" s="118"/>
      <c r="H376" s="100"/>
      <c r="I376" s="100"/>
      <c r="J376" s="100"/>
      <c r="K376" s="3"/>
      <c r="L376" s="3"/>
    </row>
    <row r="377" spans="1:33">
      <c r="A377" s="3"/>
      <c r="B377" s="108"/>
      <c r="C377" s="118"/>
      <c r="D377" s="100"/>
      <c r="E377" s="100"/>
      <c r="F377" s="108"/>
      <c r="G377" s="118"/>
      <c r="H377" s="100"/>
      <c r="I377" s="100"/>
      <c r="J377" s="100"/>
      <c r="K377" s="3"/>
      <c r="L377" s="3"/>
    </row>
    <row r="378" spans="1:33">
      <c r="A378" s="3"/>
      <c r="B378" s="108"/>
      <c r="C378" s="118"/>
      <c r="D378" s="100"/>
      <c r="E378" s="100"/>
      <c r="F378" s="108"/>
      <c r="G378" s="118"/>
      <c r="H378" s="100"/>
      <c r="I378" s="100"/>
      <c r="J378" s="100"/>
      <c r="K378" s="3"/>
      <c r="L378" s="3"/>
    </row>
    <row r="379" spans="1:33">
      <c r="A379" s="119"/>
      <c r="B379" s="12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2" spans="1:33" ht="26.25">
      <c r="A382" s="1" t="s">
        <v>127</v>
      </c>
    </row>
    <row r="383" spans="1:33" ht="23.25">
      <c r="A383" s="1"/>
    </row>
    <row r="384" spans="1:33" ht="18.75">
      <c r="A384" s="56" t="s">
        <v>58</v>
      </c>
    </row>
    <row r="385" spans="1:10" ht="18.75">
      <c r="A385" s="56"/>
    </row>
    <row r="386" spans="1:10">
      <c r="A386" s="21" t="s">
        <v>37</v>
      </c>
      <c r="B386" s="22" t="s">
        <v>25</v>
      </c>
    </row>
    <row r="387" spans="1:10" ht="18">
      <c r="A387" s="23" t="s">
        <v>39</v>
      </c>
      <c r="B387" s="24">
        <f>VLOOKUP(B386,$V$7:$W$16,2,FALSE)</f>
        <v>385</v>
      </c>
      <c r="C387" t="s">
        <v>40</v>
      </c>
    </row>
    <row r="388" spans="1:10" ht="18">
      <c r="A388" s="23" t="s">
        <v>62</v>
      </c>
      <c r="B388" s="90">
        <v>23900</v>
      </c>
      <c r="C388" t="s">
        <v>63</v>
      </c>
    </row>
    <row r="389" spans="1:10">
      <c r="A389" s="23" t="s">
        <v>64</v>
      </c>
      <c r="B389" s="90">
        <v>10</v>
      </c>
      <c r="C389" t="s">
        <v>65</v>
      </c>
    </row>
    <row r="390" spans="1:10" ht="18">
      <c r="A390" s="23" t="s">
        <v>66</v>
      </c>
      <c r="B390" s="101">
        <f>0.033*B387*B389^-0.3</f>
        <v>6.3675838032344938</v>
      </c>
      <c r="C390" t="s">
        <v>67</v>
      </c>
    </row>
    <row r="391" spans="1:10" ht="18">
      <c r="A391" s="23" t="s">
        <v>68</v>
      </c>
      <c r="B391" s="102">
        <f>0.082*B389^-0.3*B387</f>
        <v>15.822480965612984</v>
      </c>
      <c r="C391" t="s">
        <v>67</v>
      </c>
    </row>
    <row r="392" spans="1:10" ht="18.75">
      <c r="A392" s="56"/>
    </row>
    <row r="394" spans="1:10" ht="18">
      <c r="A394" s="4" t="s">
        <v>2</v>
      </c>
      <c r="B394" s="5" t="s">
        <v>43</v>
      </c>
      <c r="C394" s="5" t="s">
        <v>44</v>
      </c>
      <c r="D394" s="5" t="s">
        <v>59</v>
      </c>
      <c r="E394" s="5" t="s">
        <v>60</v>
      </c>
      <c r="F394" s="5" t="s">
        <v>43</v>
      </c>
      <c r="G394" s="5" t="s">
        <v>44</v>
      </c>
      <c r="H394" s="5" t="s">
        <v>59</v>
      </c>
      <c r="I394" s="5" t="s">
        <v>60</v>
      </c>
      <c r="J394" s="5" t="s">
        <v>61</v>
      </c>
    </row>
    <row r="395" spans="1:10">
      <c r="A395" s="8"/>
      <c r="B395" s="9" t="s">
        <v>19</v>
      </c>
      <c r="C395" s="9" t="s">
        <v>18</v>
      </c>
      <c r="D395" s="9" t="s">
        <v>17</v>
      </c>
      <c r="E395" s="9" t="s">
        <v>17</v>
      </c>
      <c r="F395" s="9" t="s">
        <v>19</v>
      </c>
      <c r="G395" s="9" t="s">
        <v>18</v>
      </c>
      <c r="H395" s="9" t="s">
        <v>17</v>
      </c>
      <c r="I395" s="9" t="s">
        <v>17</v>
      </c>
      <c r="J395" s="62" t="s">
        <v>17</v>
      </c>
    </row>
    <row r="396" spans="1:10" ht="45">
      <c r="A396" s="396" t="s">
        <v>370</v>
      </c>
      <c r="B396" s="69">
        <v>1</v>
      </c>
      <c r="C396" s="63">
        <v>84</v>
      </c>
      <c r="D396" s="64">
        <f>($H$399*0.52*SQRT($B$389)*84^0.9*$B$387^0.8)/1000</f>
        <v>3.1141859386286983</v>
      </c>
      <c r="E396" s="64">
        <f>MIN(C396*$B$389*$B$390/1000,(2.3*SQRT($B$388*$B$390*$B$389))/1000+D396/4,C396*$B$389*$B$390/1000*(SQRT(2+4*$B$388/(C396^2*$B$389*$B$390))-1)+D396/4)</f>
        <v>3.3862891193202023</v>
      </c>
      <c r="F396" s="69">
        <v>2</v>
      </c>
      <c r="G396" s="63">
        <v>84</v>
      </c>
      <c r="H396" s="64">
        <f>($H$399*0.52*SQRT($B$389)*84^0.9*$B$387^0.8)/1000</f>
        <v>3.1141859386286983</v>
      </c>
      <c r="I396" s="64">
        <f>MIN(G396*$B$389*$B$390/1000,(2.3*SQRT($B$388*$B$390*$B$389))/1000+H396/4,G396*$B$389*$B$390/1000*(SQRT(2+4*$B$388/(G396^2*$B$389*$B$390))-1)+H396/4)</f>
        <v>3.3862891193202023</v>
      </c>
      <c r="J396" s="64">
        <f>E396*B396+F396*I396</f>
        <v>10.158867357960606</v>
      </c>
    </row>
    <row r="397" spans="1:10" ht="45">
      <c r="A397" s="396" t="s">
        <v>369</v>
      </c>
      <c r="B397" s="69">
        <v>1</v>
      </c>
      <c r="C397" s="63">
        <v>84</v>
      </c>
      <c r="D397" s="64">
        <f>($H$399*0.52*SQRT($B$389)*84^0.9*$B$387^0.8)/1000</f>
        <v>3.1141859386286983</v>
      </c>
      <c r="E397" s="64">
        <f>MIN(C397*$B$389*$B$390/1000,(2.3*SQRT($B$388*$B$390*$B$389))/1000+D397/4,C397*$B$389*$B$390/1000*(SQRT(2+4*$B$388/(C397^2*$B$389*$B$390))-1)+D397/4)</f>
        <v>3.3862891193202023</v>
      </c>
      <c r="F397" s="69">
        <v>3</v>
      </c>
      <c r="G397" s="63">
        <v>84</v>
      </c>
      <c r="H397" s="64">
        <f>($H$399*0.52*SQRT($B$389)*84^0.9*$B$387^0.8)/1000</f>
        <v>3.1141859386286983</v>
      </c>
      <c r="I397" s="64">
        <f>MIN(G397*$B$389*$B$390/1000,(2.3*SQRT($B$388*$B$390*$B$389))/1000+H397/4,G397*$B$389*$B$390/1000*(SQRT(2+4*$B$388/(G397^2*$B$389*$B$390))-1)+H397/4)</f>
        <v>3.3862891193202023</v>
      </c>
      <c r="J397" s="64">
        <f>E397*B397+F397*I397</f>
        <v>13.545156477280809</v>
      </c>
    </row>
    <row r="398" spans="1:10" ht="45">
      <c r="A398" s="396" t="s">
        <v>371</v>
      </c>
      <c r="B398" s="69">
        <v>1</v>
      </c>
      <c r="C398" s="63">
        <v>84</v>
      </c>
      <c r="D398" s="64">
        <f>($H$399*0.52*SQRT($B$389)*84^0.9*$B$387^0.8)/1000</f>
        <v>3.1141859386286983</v>
      </c>
      <c r="E398" s="64">
        <f>MIN(C398*$B$389*$B$390/1000,(2.3*SQRT($B$388*$B$390*$B$389))/1000+D398/4,C398*$B$389*$B$390/1000*(SQRT(2+4*$B$388/(C398^2*$B$389*$B$390))-1)+D398/4)</f>
        <v>3.3862891193202023</v>
      </c>
      <c r="F398" s="69">
        <v>5</v>
      </c>
      <c r="G398" s="63">
        <v>84</v>
      </c>
      <c r="H398" s="64">
        <f>($H$399*0.52*SQRT($B$389)*84^0.9*$B$387^0.8)/1000</f>
        <v>3.1141859386286983</v>
      </c>
      <c r="I398" s="64">
        <f>MIN(G398*$B$389*$B$390/1000,(2.3*SQRT($B$388*$B$390*$B$389))/1000+H398/4,G398*$B$389*$B$390/1000*(SQRT(2+4*$B$388/(G398^2*$B$389*$B$390))-1)+H398/4)</f>
        <v>3.3862891193202023</v>
      </c>
      <c r="J398" s="64">
        <f>E398*B398+F398*I398</f>
        <v>20.317734715921215</v>
      </c>
    </row>
    <row r="399" spans="1:10">
      <c r="A399" s="91"/>
      <c r="B399" s="121"/>
      <c r="C399" s="122"/>
      <c r="D399" s="123"/>
      <c r="E399" s="123"/>
      <c r="F399" s="121"/>
      <c r="G399" s="122" t="s">
        <v>355</v>
      </c>
      <c r="H399" s="405">
        <v>0.3</v>
      </c>
      <c r="I399" s="123"/>
      <c r="J399" s="123"/>
    </row>
    <row r="400" spans="1:10">
      <c r="A400" s="3"/>
      <c r="B400" s="121"/>
      <c r="C400" s="122"/>
      <c r="D400" s="123"/>
      <c r="E400" s="123"/>
      <c r="F400" s="121"/>
      <c r="G400" s="122"/>
      <c r="H400" s="123"/>
      <c r="I400" s="123"/>
      <c r="J400" s="123"/>
    </row>
    <row r="402" spans="1:20">
      <c r="F402" s="24"/>
      <c r="G402" s="24"/>
      <c r="H402" s="24"/>
      <c r="I402" s="24"/>
      <c r="J402" s="24"/>
      <c r="K402" s="24"/>
    </row>
    <row r="403" spans="1:20" ht="18">
      <c r="A403" s="4" t="s">
        <v>2</v>
      </c>
      <c r="B403" s="5" t="s">
        <v>43</v>
      </c>
      <c r="C403" s="5" t="s">
        <v>44</v>
      </c>
      <c r="D403" s="5" t="s">
        <v>69</v>
      </c>
      <c r="E403" s="5" t="s">
        <v>70</v>
      </c>
      <c r="F403" s="5" t="s">
        <v>43</v>
      </c>
      <c r="G403" s="5" t="s">
        <v>44</v>
      </c>
      <c r="H403" s="5" t="s">
        <v>69</v>
      </c>
      <c r="I403" s="5" t="s">
        <v>70</v>
      </c>
      <c r="J403" s="5" t="s">
        <v>71</v>
      </c>
    </row>
    <row r="404" spans="1:20">
      <c r="A404" s="8"/>
      <c r="B404" s="9" t="s">
        <v>19</v>
      </c>
      <c r="C404" s="9" t="s">
        <v>18</v>
      </c>
      <c r="D404" s="9" t="s">
        <v>17</v>
      </c>
      <c r="E404" s="9" t="s">
        <v>17</v>
      </c>
      <c r="F404" s="9" t="s">
        <v>19</v>
      </c>
      <c r="G404" s="9" t="s">
        <v>18</v>
      </c>
      <c r="H404" s="9" t="s">
        <v>17</v>
      </c>
      <c r="I404" s="9" t="s">
        <v>17</v>
      </c>
      <c r="J404" s="62" t="s">
        <v>17</v>
      </c>
    </row>
    <row r="405" spans="1:20" ht="45">
      <c r="A405" s="396" t="s">
        <v>370</v>
      </c>
      <c r="B405" s="69">
        <v>1</v>
      </c>
      <c r="C405" s="63">
        <v>54</v>
      </c>
      <c r="D405" s="64">
        <f>(0.52*SQRT($B$389)*C405^0.9*$B$387^0.8)/1000</f>
        <v>6.974712508553587</v>
      </c>
      <c r="E405" s="64">
        <f>MIN(C405*$B$389*$B$391/1000,(2.3*SQRT($B$388*$B$391*$B$389))/1000+D405/4,C405*$B$389*$B$391/1000*(SQRT(2+4*$B$388/(C405^2*$B$389*$B$391))-1)+D405/4)</f>
        <v>5.8932746154210731</v>
      </c>
      <c r="F405" s="69">
        <v>2</v>
      </c>
      <c r="G405" s="63">
        <v>54</v>
      </c>
      <c r="H405" s="64">
        <f>(0.52*SQRT($B$389)*G405^0.9*$B$387^0.8)/1000</f>
        <v>6.974712508553587</v>
      </c>
      <c r="I405" s="64">
        <f>MIN(G405*$B$389*$B$391/1000,(2.3*SQRT($B$388*$B$391*$B$389))/1000+H405/4,G405*$B$389*$B$391/1000*(SQRT(2+4*$B$388/(G405^2*$B$389*$B$391))-1)+H405/4)</f>
        <v>5.8932746154210731</v>
      </c>
      <c r="J405" s="64">
        <f>E405*B405+F405*I405</f>
        <v>17.679823846263218</v>
      </c>
    </row>
    <row r="406" spans="1:20" ht="45">
      <c r="A406" s="396" t="s">
        <v>369</v>
      </c>
      <c r="B406" s="69">
        <v>1</v>
      </c>
      <c r="C406" s="63">
        <v>54</v>
      </c>
      <c r="D406" s="64">
        <f>(0.52*SQRT($B$389)*C406^0.9*$B$387^0.8)/1000</f>
        <v>6.974712508553587</v>
      </c>
      <c r="E406" s="64">
        <f>MIN(C406*$B$389*$B$391/1000,(2.3*SQRT($B$388*$B$391*$B$389))/1000+D406/4,C406*$B$389*$B$391/1000*(SQRT(2+4*$B$388/(C406^2*$B$389*$B$391))-1)+D406/4)</f>
        <v>5.8932746154210731</v>
      </c>
      <c r="F406" s="69">
        <v>3</v>
      </c>
      <c r="G406" s="63">
        <v>54</v>
      </c>
      <c r="H406" s="64">
        <f>(0.52*SQRT($B$389)*G406^0.9*$B$387^0.8)/1000</f>
        <v>6.974712508553587</v>
      </c>
      <c r="I406" s="64">
        <f>MIN(G406*$B$389*$B$391/1000,(2.3*SQRT($B$388*$B$391*$B$389))/1000+H406/4,G406*$B$389*$B$391/1000*(SQRT(2+4*$B$388/(G406^2*$B$389*$B$391))-1)+H406/4)</f>
        <v>5.8932746154210731</v>
      </c>
      <c r="J406" s="64">
        <f>E406*B406+F406*I406</f>
        <v>23.573098461684292</v>
      </c>
    </row>
    <row r="407" spans="1:20" ht="45">
      <c r="A407" s="396" t="s">
        <v>371</v>
      </c>
      <c r="B407" s="69">
        <v>1</v>
      </c>
      <c r="C407" s="63">
        <v>54</v>
      </c>
      <c r="D407" s="64">
        <f>(0.52*SQRT($B$389)*C407^0.9*$B$387^0.8)/1000</f>
        <v>6.974712508553587</v>
      </c>
      <c r="E407" s="64">
        <f>MIN(C407*$B$389*$B$391/1000,(2.3*SQRT($B$388*$B$391*$B$389))/1000+D407/4,C407*$B$389*$B$391/1000*(SQRT(2+4*$B$388/(C407^2*$B$389*$B$391))-1)+D407/4)</f>
        <v>5.8932746154210731</v>
      </c>
      <c r="F407" s="69">
        <v>5</v>
      </c>
      <c r="G407" s="63">
        <v>54</v>
      </c>
      <c r="H407" s="64">
        <f>(0.52*SQRT($B$389)*G407^0.9*$B$387^0.8)/1000</f>
        <v>6.974712508553587</v>
      </c>
      <c r="I407" s="64">
        <f>MIN(G407*$B$389*$B$391/1000,(2.3*SQRT($B$388*$B$391*$B$389))/1000+H407/4,G407*$B$389*$B$391/1000*(SQRT(2+4*$B$388/(G407^2*$B$389*$B$391))-1)+H407/4)</f>
        <v>5.8932746154210731</v>
      </c>
      <c r="J407" s="64">
        <f>E407*B407+F407*I407</f>
        <v>35.359647692526437</v>
      </c>
    </row>
    <row r="408" spans="1:20">
      <c r="A408" s="23"/>
      <c r="B408" s="77"/>
    </row>
    <row r="409" spans="1:20">
      <c r="A409" s="23"/>
      <c r="B409" s="77"/>
      <c r="F409" t="s">
        <v>72</v>
      </c>
      <c r="G409" s="3"/>
    </row>
    <row r="410" spans="1:20" ht="18">
      <c r="A410" s="4" t="s">
        <v>2</v>
      </c>
      <c r="B410" s="78" t="s">
        <v>61</v>
      </c>
      <c r="C410" s="78" t="s">
        <v>128</v>
      </c>
      <c r="D410" s="5" t="s">
        <v>129</v>
      </c>
      <c r="E410" s="78" t="s">
        <v>130</v>
      </c>
      <c r="F410" s="79" t="s">
        <v>131</v>
      </c>
      <c r="G410" s="80"/>
      <c r="O410" s="4" t="s">
        <v>2</v>
      </c>
      <c r="P410" s="710" t="s">
        <v>132</v>
      </c>
      <c r="Q410" s="711"/>
      <c r="R410" s="711"/>
      <c r="S410" s="711"/>
      <c r="T410" s="712"/>
    </row>
    <row r="411" spans="1:20">
      <c r="A411" s="8"/>
      <c r="B411" s="81" t="s">
        <v>17</v>
      </c>
      <c r="C411" s="82" t="s">
        <v>17</v>
      </c>
      <c r="D411" s="9" t="s">
        <v>78</v>
      </c>
      <c r="E411" s="82" t="s">
        <v>17</v>
      </c>
      <c r="F411" s="83" t="s">
        <v>17</v>
      </c>
      <c r="G411" s="84"/>
      <c r="O411" s="8"/>
      <c r="P411" s="95">
        <v>0.6</v>
      </c>
      <c r="Q411" s="95">
        <v>0.7</v>
      </c>
      <c r="R411" s="95">
        <v>0.8</v>
      </c>
      <c r="S411" s="95">
        <v>0.9</v>
      </c>
      <c r="T411" s="95">
        <v>1</v>
      </c>
    </row>
    <row r="412" spans="1:20" ht="45">
      <c r="A412" s="396" t="s">
        <v>370</v>
      </c>
      <c r="B412" s="64">
        <f>J396</f>
        <v>10.158867357960606</v>
      </c>
      <c r="C412" s="64">
        <v>12</v>
      </c>
      <c r="D412" s="85">
        <v>2.5499999999999998</v>
      </c>
      <c r="E412" s="64">
        <f>1/(SQRT((1/J405)^2+(1/(D412*D405))^2))</f>
        <v>12.538724423543149</v>
      </c>
      <c r="F412" s="406">
        <f>MIN(B412,E412)</f>
        <v>10.158867357960606</v>
      </c>
      <c r="G412" s="89"/>
      <c r="O412" s="396" t="s">
        <v>370</v>
      </c>
      <c r="P412" s="88">
        <f>MIN(P$411*$B412/1.3,$C412/1.25,P$411*$E412/1.3)</f>
        <v>4.6887080113664332</v>
      </c>
      <c r="Q412" s="88">
        <f>MIN(Q$411*$B412/1.3,$C412/1.25,Q$411*$E412/1.3)</f>
        <v>5.4701593465941718</v>
      </c>
      <c r="R412" s="88">
        <f>MIN(R$411*$B412/1.3,$C412/1.25,R$411*$E412/1.3)</f>
        <v>6.2516106818219113</v>
      </c>
      <c r="S412" s="88">
        <f>MIN(S$411*$B412/1.3,$C412/1.25,S$411*$E412/1.3)</f>
        <v>7.0330620170496498</v>
      </c>
      <c r="T412" s="88">
        <f>MIN(T$411*$B412/1.3,$C412/1.25,T$411*$E412/1.3)</f>
        <v>7.8145133522773893</v>
      </c>
    </row>
    <row r="413" spans="1:20" ht="45">
      <c r="A413" s="396" t="s">
        <v>369</v>
      </c>
      <c r="B413" s="64">
        <f>J397</f>
        <v>13.545156477280809</v>
      </c>
      <c r="C413" s="64">
        <v>12</v>
      </c>
      <c r="D413" s="85">
        <v>4.95</v>
      </c>
      <c r="E413" s="64">
        <f>1/(SQRT((1/J406)^2+(1/(D413*D406))^2))</f>
        <v>19.467956736265833</v>
      </c>
      <c r="F413" s="406">
        <f>MIN(B413,E413)</f>
        <v>13.545156477280809</v>
      </c>
      <c r="G413" s="89"/>
      <c r="O413" s="396" t="s">
        <v>369</v>
      </c>
      <c r="P413" s="88">
        <f t="shared" ref="P413:T414" si="108">MIN(P$411*$B413/1.3,$C413/1.25,P$411*$E413/1.3)</f>
        <v>6.2516106818219113</v>
      </c>
      <c r="Q413" s="88">
        <f t="shared" si="108"/>
        <v>7.293545795458896</v>
      </c>
      <c r="R413" s="88">
        <f t="shared" si="108"/>
        <v>8.3354809090958835</v>
      </c>
      <c r="S413" s="88">
        <f t="shared" si="108"/>
        <v>9.3774160227328682</v>
      </c>
      <c r="T413" s="88">
        <f t="shared" si="108"/>
        <v>9.6</v>
      </c>
    </row>
    <row r="414" spans="1:20" ht="45">
      <c r="A414" s="396" t="s">
        <v>371</v>
      </c>
      <c r="B414" s="64">
        <f>J398</f>
        <v>20.317734715921215</v>
      </c>
      <c r="C414" s="64">
        <v>12</v>
      </c>
      <c r="D414" s="85">
        <v>8.15</v>
      </c>
      <c r="E414" s="64">
        <f>1/(SQRT((1/J407)^2+(1/(D414*D407))^2))</f>
        <v>30.024686389656786</v>
      </c>
      <c r="F414" s="406">
        <f>MIN(B414,E414)</f>
        <v>20.317734715921215</v>
      </c>
      <c r="G414" s="89"/>
      <c r="O414" s="396" t="s">
        <v>371</v>
      </c>
      <c r="P414" s="88">
        <f t="shared" si="108"/>
        <v>9.3774160227328682</v>
      </c>
      <c r="Q414" s="88">
        <f t="shared" si="108"/>
        <v>9.6</v>
      </c>
      <c r="R414" s="88">
        <f t="shared" si="108"/>
        <v>9.6</v>
      </c>
      <c r="S414" s="88">
        <f t="shared" si="108"/>
        <v>9.6</v>
      </c>
      <c r="T414" s="88">
        <f t="shared" si="108"/>
        <v>9.6</v>
      </c>
    </row>
    <row r="415" spans="1:20">
      <c r="A415" s="23"/>
      <c r="B415" s="77"/>
      <c r="D415" s="99"/>
      <c r="P415"/>
      <c r="Q415"/>
      <c r="R415"/>
      <c r="S415"/>
    </row>
    <row r="416" spans="1:20">
      <c r="A416" s="23"/>
      <c r="B416" s="77"/>
      <c r="P416"/>
      <c r="Q416"/>
      <c r="R416"/>
      <c r="S416"/>
    </row>
    <row r="417" spans="1:19">
      <c r="A417" s="23"/>
      <c r="B417" s="77"/>
    </row>
    <row r="418" spans="1:19">
      <c r="A418" s="23"/>
      <c r="B418" s="77"/>
    </row>
    <row r="419" spans="1:19">
      <c r="A419" s="23"/>
      <c r="B419" s="77"/>
    </row>
    <row r="420" spans="1:19" ht="18.75">
      <c r="A420" s="56" t="s">
        <v>79</v>
      </c>
      <c r="B420" s="77"/>
    </row>
    <row r="422" spans="1:19">
      <c r="A422" s="21" t="s">
        <v>37</v>
      </c>
      <c r="B422" s="22" t="s">
        <v>25</v>
      </c>
    </row>
    <row r="423" spans="1:19" ht="18">
      <c r="A423" s="23" t="s">
        <v>39</v>
      </c>
      <c r="B423" s="24">
        <f>VLOOKUP(B422,$V$7:$W$16,2,FALSE)</f>
        <v>385</v>
      </c>
      <c r="C423" t="s">
        <v>40</v>
      </c>
    </row>
    <row r="424" spans="1:19" ht="18">
      <c r="A424" s="23" t="s">
        <v>62</v>
      </c>
      <c r="B424" s="90">
        <v>13400</v>
      </c>
      <c r="C424" s="90">
        <v>3900</v>
      </c>
      <c r="D424" t="s">
        <v>63</v>
      </c>
      <c r="P424"/>
      <c r="Q424"/>
      <c r="R424"/>
      <c r="S424"/>
    </row>
    <row r="425" spans="1:19">
      <c r="A425" s="23" t="s">
        <v>64</v>
      </c>
      <c r="B425" s="90">
        <v>8</v>
      </c>
      <c r="C425" s="90">
        <v>5</v>
      </c>
      <c r="D425" t="s">
        <v>65</v>
      </c>
      <c r="P425"/>
      <c r="Q425"/>
      <c r="R425"/>
      <c r="S425"/>
    </row>
    <row r="426" spans="1:19" ht="18">
      <c r="A426" s="23" t="s">
        <v>66</v>
      </c>
      <c r="B426" s="101">
        <f>0.033*$B$423*B425^-0.3</f>
        <v>6.808440920761802</v>
      </c>
      <c r="C426" s="101">
        <f>0.033*$B$423*C425^-0.3</f>
        <v>7.8394152258577217</v>
      </c>
      <c r="D426" t="s">
        <v>67</v>
      </c>
      <c r="P426"/>
      <c r="Q426"/>
      <c r="R426"/>
      <c r="S426"/>
    </row>
    <row r="427" spans="1:19" ht="18">
      <c r="A427" s="23" t="s">
        <v>68</v>
      </c>
      <c r="B427" s="102">
        <f>0.082*B425^-0.3*$B$423</f>
        <v>16.917944106135387</v>
      </c>
      <c r="C427" s="102">
        <f>0.082*C425^-0.3*$B$423</f>
        <v>19.479759046070704</v>
      </c>
      <c r="D427" t="s">
        <v>67</v>
      </c>
      <c r="P427"/>
      <c r="Q427"/>
      <c r="R427"/>
      <c r="S427"/>
    </row>
    <row r="428" spans="1:19">
      <c r="A428" s="23"/>
      <c r="B428" s="77"/>
      <c r="P428"/>
      <c r="Q428"/>
      <c r="R428"/>
      <c r="S428"/>
    </row>
    <row r="429" spans="1:19">
      <c r="A429" s="23"/>
      <c r="B429" s="77"/>
      <c r="P429"/>
      <c r="Q429"/>
      <c r="R429"/>
      <c r="S429"/>
    </row>
    <row r="430" spans="1:19" ht="18">
      <c r="A430" s="4" t="s">
        <v>2</v>
      </c>
      <c r="B430" s="5" t="s">
        <v>43</v>
      </c>
      <c r="C430" s="5" t="s">
        <v>9</v>
      </c>
      <c r="D430" s="5" t="s">
        <v>44</v>
      </c>
      <c r="E430" s="5" t="s">
        <v>59</v>
      </c>
      <c r="F430" s="5" t="s">
        <v>60</v>
      </c>
      <c r="G430" s="5" t="s">
        <v>43</v>
      </c>
      <c r="H430" s="5" t="s">
        <v>9</v>
      </c>
      <c r="I430" s="5" t="s">
        <v>44</v>
      </c>
      <c r="J430" s="5" t="s">
        <v>59</v>
      </c>
      <c r="K430" s="5" t="s">
        <v>60</v>
      </c>
      <c r="L430" s="5" t="s">
        <v>61</v>
      </c>
      <c r="P430"/>
      <c r="Q430"/>
      <c r="R430"/>
      <c r="S430"/>
    </row>
    <row r="431" spans="1:19">
      <c r="A431" s="8"/>
      <c r="B431" s="9" t="s">
        <v>19</v>
      </c>
      <c r="C431" s="9" t="s">
        <v>18</v>
      </c>
      <c r="D431" s="9" t="s">
        <v>18</v>
      </c>
      <c r="E431" s="9" t="s">
        <v>17</v>
      </c>
      <c r="F431" s="9" t="s">
        <v>17</v>
      </c>
      <c r="G431" s="9" t="s">
        <v>19</v>
      </c>
      <c r="H431" s="9" t="s">
        <v>18</v>
      </c>
      <c r="I431" s="9" t="s">
        <v>18</v>
      </c>
      <c r="J431" s="9" t="s">
        <v>17</v>
      </c>
      <c r="K431" s="9" t="s">
        <v>17</v>
      </c>
      <c r="L431" s="62" t="s">
        <v>17</v>
      </c>
      <c r="P431"/>
      <c r="Q431"/>
      <c r="R431"/>
      <c r="S431"/>
    </row>
    <row r="432" spans="1:19" ht="45">
      <c r="A432" s="396" t="s">
        <v>356</v>
      </c>
      <c r="B432" s="63">
        <v>1</v>
      </c>
      <c r="C432" s="63">
        <v>8</v>
      </c>
      <c r="D432" s="303">
        <v>65</v>
      </c>
      <c r="E432" s="64">
        <f>(0.3*0.52*SQRT($C432)*D432^0.9*$B$423^0.8)/1000</f>
        <v>2.2113638026311735</v>
      </c>
      <c r="F432" s="64">
        <f t="shared" ref="F432:F444" si="109">MIN($B$426*D432*C432/1000,(2.3*SQRT($B$424*$B$426*C432))/1000+(E432/4),$B$426*D432*C432/1000*(SQRT(2+4*$B$424/($B$426*D432^2*C432))-1)+E432/4)</f>
        <v>2.3028365309859833</v>
      </c>
      <c r="G432" s="63">
        <v>2</v>
      </c>
      <c r="H432" s="63">
        <v>5</v>
      </c>
      <c r="I432" s="303">
        <v>70</v>
      </c>
      <c r="J432" s="64">
        <f>(0.3*0.52*SQRT(H432)*I432^0.9*$B$423^0.8)/1000</f>
        <v>1.8688154683555778</v>
      </c>
      <c r="K432" s="64">
        <f t="shared" ref="K432:K444" si="110">MIN($C$426*I432*H432/1000,(2.3*SQRT($C$424*$C$426*H432))/1000+(J432/4),$C$426*I432*H432/1000*(SQRT(2+4*$C$424/($C$426*I432^2*H432))-1)+J432/4)</f>
        <v>1.3664673866555193</v>
      </c>
      <c r="L432" s="64">
        <f t="shared" ref="L432:L444" si="111">B432*F432+G432*K432</f>
        <v>5.0357713042970218</v>
      </c>
      <c r="P432"/>
      <c r="Q432"/>
      <c r="R432"/>
      <c r="S432"/>
    </row>
    <row r="433" spans="1:19" ht="45">
      <c r="A433" s="396" t="s">
        <v>360</v>
      </c>
      <c r="B433" s="63">
        <v>2</v>
      </c>
      <c r="C433" s="63">
        <v>8</v>
      </c>
      <c r="D433" s="303">
        <v>65</v>
      </c>
      <c r="E433" s="64">
        <f t="shared" ref="E433:E444" si="112">(0.3*0.52*SQRT($C433)*D433^0.9*$B$423^0.8)/1000</f>
        <v>2.2113638026311735</v>
      </c>
      <c r="F433" s="64">
        <f t="shared" si="109"/>
        <v>2.3028365309859833</v>
      </c>
      <c r="G433" s="63">
        <v>2</v>
      </c>
      <c r="H433" s="63">
        <v>5</v>
      </c>
      <c r="I433" s="303">
        <v>70</v>
      </c>
      <c r="J433" s="64">
        <f t="shared" ref="J433:J444" si="113">(0.3*0.52*SQRT(H433)*I433^0.9*$B$423^0.8)/1000</f>
        <v>1.8688154683555778</v>
      </c>
      <c r="K433" s="64">
        <f t="shared" si="110"/>
        <v>1.3664673866555193</v>
      </c>
      <c r="L433" s="64">
        <f t="shared" si="111"/>
        <v>7.3386078352830051</v>
      </c>
      <c r="P433"/>
      <c r="Q433"/>
      <c r="R433"/>
      <c r="S433"/>
    </row>
    <row r="434" spans="1:19" ht="45">
      <c r="A434" s="396" t="s">
        <v>357</v>
      </c>
      <c r="B434" s="63">
        <v>2</v>
      </c>
      <c r="C434" s="63">
        <v>8</v>
      </c>
      <c r="D434" s="303">
        <v>65</v>
      </c>
      <c r="E434" s="64">
        <f t="shared" si="112"/>
        <v>2.2113638026311735</v>
      </c>
      <c r="F434" s="64">
        <f t="shared" si="109"/>
        <v>2.3028365309859833</v>
      </c>
      <c r="G434" s="63">
        <v>4</v>
      </c>
      <c r="H434" s="63">
        <v>5</v>
      </c>
      <c r="I434" s="303">
        <v>70</v>
      </c>
      <c r="J434" s="64">
        <f t="shared" si="113"/>
        <v>1.8688154683555778</v>
      </c>
      <c r="K434" s="64">
        <f t="shared" si="110"/>
        <v>1.3664673866555193</v>
      </c>
      <c r="L434" s="64">
        <f t="shared" si="111"/>
        <v>10.071542608594044</v>
      </c>
      <c r="P434"/>
      <c r="Q434"/>
      <c r="R434"/>
      <c r="S434"/>
    </row>
    <row r="435" spans="1:19" ht="45">
      <c r="A435" s="396" t="s">
        <v>359</v>
      </c>
      <c r="B435" s="63">
        <v>2</v>
      </c>
      <c r="C435" s="63">
        <v>8</v>
      </c>
      <c r="D435" s="303">
        <v>65</v>
      </c>
      <c r="E435" s="64">
        <f t="shared" si="112"/>
        <v>2.2113638026311735</v>
      </c>
      <c r="F435" s="64">
        <f t="shared" si="109"/>
        <v>2.3028365309859833</v>
      </c>
      <c r="G435" s="63">
        <v>6</v>
      </c>
      <c r="H435" s="63">
        <v>5</v>
      </c>
      <c r="I435" s="303">
        <v>70</v>
      </c>
      <c r="J435" s="64">
        <f t="shared" si="113"/>
        <v>1.8688154683555778</v>
      </c>
      <c r="K435" s="64">
        <f t="shared" si="110"/>
        <v>1.3664673866555193</v>
      </c>
      <c r="L435" s="64">
        <f t="shared" si="111"/>
        <v>12.804477381905082</v>
      </c>
      <c r="P435"/>
      <c r="Q435"/>
      <c r="R435"/>
      <c r="S435"/>
    </row>
    <row r="436" spans="1:19" ht="45">
      <c r="A436" s="396" t="s">
        <v>358</v>
      </c>
      <c r="B436" s="63">
        <v>2</v>
      </c>
      <c r="C436" s="63">
        <v>8</v>
      </c>
      <c r="D436" s="303">
        <v>65</v>
      </c>
      <c r="E436" s="64">
        <f t="shared" si="112"/>
        <v>2.2113638026311735</v>
      </c>
      <c r="F436" s="64">
        <f t="shared" si="109"/>
        <v>2.3028365309859833</v>
      </c>
      <c r="G436" s="63">
        <v>8</v>
      </c>
      <c r="H436" s="63">
        <v>5</v>
      </c>
      <c r="I436" s="303">
        <v>70</v>
      </c>
      <c r="J436" s="64">
        <f t="shared" si="113"/>
        <v>1.8688154683555778</v>
      </c>
      <c r="K436" s="64">
        <f t="shared" si="110"/>
        <v>1.3664673866555193</v>
      </c>
      <c r="L436" s="64">
        <f t="shared" si="111"/>
        <v>15.537412155216121</v>
      </c>
      <c r="P436"/>
      <c r="Q436"/>
      <c r="R436"/>
      <c r="S436"/>
    </row>
    <row r="437" spans="1:19" ht="45">
      <c r="A437" s="396" t="s">
        <v>361</v>
      </c>
      <c r="B437" s="63">
        <v>2</v>
      </c>
      <c r="C437" s="63">
        <v>8</v>
      </c>
      <c r="D437" s="303">
        <v>65</v>
      </c>
      <c r="E437" s="64">
        <f t="shared" si="112"/>
        <v>2.2113638026311735</v>
      </c>
      <c r="F437" s="64">
        <f t="shared" si="109"/>
        <v>2.3028365309859833</v>
      </c>
      <c r="G437" s="63">
        <v>10</v>
      </c>
      <c r="H437" s="63">
        <v>5</v>
      </c>
      <c r="I437" s="303">
        <v>70</v>
      </c>
      <c r="J437" s="64">
        <f t="shared" si="113"/>
        <v>1.8688154683555778</v>
      </c>
      <c r="K437" s="64">
        <f t="shared" si="110"/>
        <v>1.3664673866555193</v>
      </c>
      <c r="L437" s="64">
        <f t="shared" si="111"/>
        <v>18.270346928527161</v>
      </c>
      <c r="P437"/>
      <c r="Q437"/>
      <c r="R437"/>
      <c r="S437"/>
    </row>
    <row r="438" spans="1:19" ht="45">
      <c r="A438" s="408" t="s">
        <v>362</v>
      </c>
      <c r="B438" s="63">
        <v>2</v>
      </c>
      <c r="C438" s="63">
        <v>8</v>
      </c>
      <c r="D438" s="303">
        <f>160-15</f>
        <v>145</v>
      </c>
      <c r="E438" s="64">
        <f>(0.3*0.52*SQRT($C438)*D438^0.9*$B$423^0.8)/1000</f>
        <v>4.5527036065307724</v>
      </c>
      <c r="F438" s="64">
        <f>MIN($B$426*D438*C438/1000,(2.3*SQRT($B$424*$B$426*C438))/1000+(E438/4),$B$426*D438*C438/1000*(SQRT(2+4*$B$424/($B$426*D438^2*C438))-1)+E438/4)</f>
        <v>3.1031148688459163</v>
      </c>
      <c r="G438" s="63">
        <v>8</v>
      </c>
      <c r="H438" s="63">
        <v>5</v>
      </c>
      <c r="I438" s="303">
        <v>70</v>
      </c>
      <c r="J438" s="64">
        <f>(0.3*0.52*SQRT(H438)*I438^0.9*$B$423^0.8)/1000</f>
        <v>1.8688154683555778</v>
      </c>
      <c r="K438" s="64">
        <f>MIN($C$426*I438*H438/1000,(2.3*SQRT($C$424*$C$426*H438))/1000+(J438/4),$C$426*I438*H438/1000*(SQRT(2+4*$C$424/($C$426*I438^2*H438))-1)+J438/4)</f>
        <v>1.3664673866555193</v>
      </c>
      <c r="L438" s="64">
        <f>B438*F438+G438*K438</f>
        <v>17.137968830935986</v>
      </c>
      <c r="P438"/>
      <c r="Q438"/>
      <c r="R438"/>
      <c r="S438"/>
    </row>
    <row r="439" spans="1:19" ht="45">
      <c r="A439" s="408" t="s">
        <v>363</v>
      </c>
      <c r="B439" s="63">
        <v>2</v>
      </c>
      <c r="C439" s="63">
        <v>8</v>
      </c>
      <c r="D439" s="303">
        <f>160-15</f>
        <v>145</v>
      </c>
      <c r="E439" s="64">
        <f>(0.3*0.52*SQRT($C439)*D439^0.9*$B$423^0.8)/1000</f>
        <v>4.5527036065307724</v>
      </c>
      <c r="F439" s="64">
        <f>MIN($B$426*D439*C439/1000,(2.3*SQRT($B$424*$B$426*C439))/1000+(E439/4),$B$426*D439*C439/1000*(SQRT(2+4*$B$424/($B$426*D439^2*C439))-1)+E439/4)</f>
        <v>3.1031148688459163</v>
      </c>
      <c r="G439" s="63">
        <v>10</v>
      </c>
      <c r="H439" s="63">
        <v>5</v>
      </c>
      <c r="I439" s="303">
        <v>70</v>
      </c>
      <c r="J439" s="64">
        <f>(0.3*0.52*SQRT(H439)*I439^0.9*$B$423^0.8)/1000</f>
        <v>1.8688154683555778</v>
      </c>
      <c r="K439" s="64">
        <f>MIN($C$426*I439*H439/1000,(2.3*SQRT($C$424*$C$426*H439))/1000+(J439/4),$C$426*I439*H439/1000*(SQRT(2+4*$C$424/($C$426*I439^2*H439))-1)+J439/4)</f>
        <v>1.3664673866555193</v>
      </c>
      <c r="L439" s="64">
        <f>B439*F439+G439*K439</f>
        <v>19.870903604247026</v>
      </c>
      <c r="P439"/>
      <c r="Q439"/>
      <c r="R439"/>
      <c r="S439"/>
    </row>
    <row r="440" spans="1:19" ht="45">
      <c r="A440" s="396" t="s">
        <v>364</v>
      </c>
      <c r="B440" s="63">
        <v>3</v>
      </c>
      <c r="C440" s="63">
        <v>8</v>
      </c>
      <c r="D440" s="303">
        <v>65</v>
      </c>
      <c r="E440" s="64">
        <f t="shared" si="112"/>
        <v>2.2113638026311735</v>
      </c>
      <c r="F440" s="64">
        <f t="shared" si="109"/>
        <v>2.3028365309859833</v>
      </c>
      <c r="G440" s="63">
        <v>4</v>
      </c>
      <c r="H440" s="63">
        <v>5</v>
      </c>
      <c r="I440" s="303">
        <v>70</v>
      </c>
      <c r="J440" s="64">
        <f t="shared" si="113"/>
        <v>1.8688154683555778</v>
      </c>
      <c r="K440" s="64">
        <f t="shared" si="110"/>
        <v>1.3664673866555193</v>
      </c>
      <c r="L440" s="64">
        <f t="shared" si="111"/>
        <v>12.374379139580027</v>
      </c>
      <c r="P440"/>
      <c r="Q440"/>
      <c r="R440"/>
      <c r="S440"/>
    </row>
    <row r="441" spans="1:19" ht="47.25" customHeight="1">
      <c r="A441" s="396" t="s">
        <v>365</v>
      </c>
      <c r="B441" s="63">
        <v>3</v>
      </c>
      <c r="C441" s="63">
        <v>8</v>
      </c>
      <c r="D441" s="303">
        <v>65</v>
      </c>
      <c r="E441" s="64">
        <f t="shared" si="112"/>
        <v>2.2113638026311735</v>
      </c>
      <c r="F441" s="64">
        <f t="shared" si="109"/>
        <v>2.3028365309859833</v>
      </c>
      <c r="G441" s="63">
        <v>8</v>
      </c>
      <c r="H441" s="63">
        <v>5</v>
      </c>
      <c r="I441" s="303">
        <v>70</v>
      </c>
      <c r="J441" s="64">
        <f t="shared" si="113"/>
        <v>1.8688154683555778</v>
      </c>
      <c r="K441" s="64">
        <f t="shared" si="110"/>
        <v>1.3664673866555193</v>
      </c>
      <c r="L441" s="64">
        <f t="shared" si="111"/>
        <v>17.840248686202102</v>
      </c>
      <c r="P441"/>
      <c r="Q441"/>
      <c r="R441"/>
      <c r="S441"/>
    </row>
    <row r="442" spans="1:19" ht="47.25" customHeight="1">
      <c r="A442" s="396" t="s">
        <v>366</v>
      </c>
      <c r="B442" s="63">
        <v>3</v>
      </c>
      <c r="C442" s="63">
        <v>8</v>
      </c>
      <c r="D442" s="303">
        <v>65</v>
      </c>
      <c r="E442" s="64">
        <f t="shared" si="112"/>
        <v>2.2113638026311735</v>
      </c>
      <c r="F442" s="64">
        <f t="shared" si="109"/>
        <v>2.3028365309859833</v>
      </c>
      <c r="G442" s="63">
        <v>12</v>
      </c>
      <c r="H442" s="63">
        <v>5</v>
      </c>
      <c r="I442" s="303">
        <v>70</v>
      </c>
      <c r="J442" s="64">
        <f t="shared" si="113"/>
        <v>1.8688154683555778</v>
      </c>
      <c r="K442" s="64">
        <f t="shared" si="110"/>
        <v>1.3664673866555193</v>
      </c>
      <c r="L442" s="64">
        <f t="shared" si="111"/>
        <v>23.306118232824183</v>
      </c>
    </row>
    <row r="443" spans="1:19" ht="47.25" customHeight="1">
      <c r="A443" s="396" t="s">
        <v>367</v>
      </c>
      <c r="B443" s="63">
        <v>3</v>
      </c>
      <c r="C443" s="63">
        <v>8</v>
      </c>
      <c r="D443" s="303">
        <v>65</v>
      </c>
      <c r="E443" s="64">
        <f t="shared" si="112"/>
        <v>2.2113638026311735</v>
      </c>
      <c r="F443" s="64">
        <f t="shared" si="109"/>
        <v>2.3028365309859833</v>
      </c>
      <c r="G443" s="63">
        <v>16</v>
      </c>
      <c r="H443" s="63">
        <v>5</v>
      </c>
      <c r="I443" s="303">
        <v>70</v>
      </c>
      <c r="J443" s="64">
        <f t="shared" si="113"/>
        <v>1.8688154683555778</v>
      </c>
      <c r="K443" s="64">
        <f t="shared" si="110"/>
        <v>1.3664673866555193</v>
      </c>
      <c r="L443" s="64">
        <f t="shared" si="111"/>
        <v>28.771987779446256</v>
      </c>
    </row>
    <row r="444" spans="1:19" ht="47.25" customHeight="1">
      <c r="A444" s="396" t="s">
        <v>368</v>
      </c>
      <c r="B444" s="63">
        <v>3</v>
      </c>
      <c r="C444" s="63">
        <v>8</v>
      </c>
      <c r="D444" s="303">
        <v>65</v>
      </c>
      <c r="E444" s="64">
        <f t="shared" si="112"/>
        <v>2.2113638026311735</v>
      </c>
      <c r="F444" s="64">
        <f t="shared" si="109"/>
        <v>2.3028365309859833</v>
      </c>
      <c r="G444" s="63">
        <v>20</v>
      </c>
      <c r="H444" s="63">
        <v>5</v>
      </c>
      <c r="I444" s="303">
        <v>70</v>
      </c>
      <c r="J444" s="64">
        <f t="shared" si="113"/>
        <v>1.8688154683555778</v>
      </c>
      <c r="K444" s="64">
        <f t="shared" si="110"/>
        <v>1.3664673866555193</v>
      </c>
      <c r="L444" s="64">
        <f t="shared" si="111"/>
        <v>34.237857326068337</v>
      </c>
    </row>
    <row r="445" spans="1:19">
      <c r="A445" s="91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</row>
    <row r="446" spans="1:19">
      <c r="A446" s="3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</row>
    <row r="447" spans="1:19" ht="18">
      <c r="A447" s="4" t="s">
        <v>2</v>
      </c>
      <c r="B447" s="113" t="s">
        <v>43</v>
      </c>
      <c r="C447" s="113" t="s">
        <v>9</v>
      </c>
      <c r="D447" s="113" t="s">
        <v>80</v>
      </c>
      <c r="E447" s="113" t="s">
        <v>81</v>
      </c>
      <c r="F447" s="113" t="s">
        <v>82</v>
      </c>
      <c r="G447" s="113" t="s">
        <v>43</v>
      </c>
      <c r="H447" s="113" t="s">
        <v>9</v>
      </c>
      <c r="I447" s="113" t="s">
        <v>80</v>
      </c>
      <c r="J447" s="113" t="s">
        <v>81</v>
      </c>
      <c r="K447" s="113" t="s">
        <v>82</v>
      </c>
      <c r="L447" s="113" t="s">
        <v>83</v>
      </c>
    </row>
    <row r="448" spans="1:19">
      <c r="A448" s="8"/>
      <c r="B448" s="47" t="s">
        <v>19</v>
      </c>
      <c r="C448" s="47" t="s">
        <v>18</v>
      </c>
      <c r="D448" s="47" t="s">
        <v>18</v>
      </c>
      <c r="E448" s="47" t="s">
        <v>17</v>
      </c>
      <c r="F448" s="47" t="s">
        <v>17</v>
      </c>
      <c r="G448" s="47" t="s">
        <v>19</v>
      </c>
      <c r="H448" s="47" t="s">
        <v>18</v>
      </c>
      <c r="I448" s="47" t="s">
        <v>18</v>
      </c>
      <c r="J448" s="47" t="s">
        <v>17</v>
      </c>
      <c r="K448" s="47" t="s">
        <v>17</v>
      </c>
      <c r="L448" s="124" t="s">
        <v>17</v>
      </c>
    </row>
    <row r="449" spans="1:20" ht="45">
      <c r="A449" s="396" t="s">
        <v>356</v>
      </c>
      <c r="B449" s="63">
        <v>1</v>
      </c>
      <c r="C449" s="63">
        <v>8</v>
      </c>
      <c r="D449" s="303">
        <v>35</v>
      </c>
      <c r="E449" s="64">
        <f t="shared" ref="E449:E461" si="114">(0.52*SQRT($C449)*35^0.9*$B$423^0.8)/1000</f>
        <v>4.2225826668958426</v>
      </c>
      <c r="F449" s="64">
        <f t="shared" ref="F449:F461" si="115">MIN($B$427*D449*C449/1000,(2.3*SQRT($B$424*$B$427*C449))/1000+(E449/4),$B$427*D449*C449/1000*(SQRT(2+4*$B$424/($B$427*D449^2*C449))-1)+E449/4)</f>
        <v>3.5389546758165444</v>
      </c>
      <c r="G449" s="63">
        <v>2</v>
      </c>
      <c r="H449" s="63">
        <v>5</v>
      </c>
      <c r="I449" s="303">
        <v>40</v>
      </c>
      <c r="J449" s="64">
        <f t="shared" ref="J449:J461" si="116">(0.52*SQRT(H449)*40^0.9*$B$423^0.8)/1000</f>
        <v>3.7645313796964266</v>
      </c>
      <c r="K449" s="64">
        <f t="shared" ref="K449:K461" si="117">MIN($C$427*I449*H449/1000,(2.3*SQRT($C$424*$C$427*H449))/1000+(J449/4),$C$427*I449*H449/1000*(SQRT(2+4*$C$424/($C$427*I449^2*H449))-1)+J449/4)</f>
        <v>2.3586780979574704</v>
      </c>
      <c r="L449" s="64">
        <f>B449*F449+G449*K449</f>
        <v>8.2563108717314861</v>
      </c>
    </row>
    <row r="450" spans="1:20" ht="45">
      <c r="A450" s="396" t="s">
        <v>360</v>
      </c>
      <c r="B450" s="63">
        <v>2</v>
      </c>
      <c r="C450" s="63">
        <v>8</v>
      </c>
      <c r="D450" s="303">
        <v>35</v>
      </c>
      <c r="E450" s="64">
        <f t="shared" si="114"/>
        <v>4.2225826668958426</v>
      </c>
      <c r="F450" s="64">
        <f t="shared" si="115"/>
        <v>3.5389546758165444</v>
      </c>
      <c r="G450" s="63">
        <v>2</v>
      </c>
      <c r="H450" s="63">
        <v>5</v>
      </c>
      <c r="I450" s="303">
        <v>40</v>
      </c>
      <c r="J450" s="64">
        <f t="shared" si="116"/>
        <v>3.7645313796964266</v>
      </c>
      <c r="K450" s="64">
        <f t="shared" si="117"/>
        <v>2.3586780979574704</v>
      </c>
      <c r="L450" s="64">
        <f t="shared" ref="L450:L461" si="118">B450*F450+G450*K450</f>
        <v>11.795265547548031</v>
      </c>
    </row>
    <row r="451" spans="1:20" ht="45">
      <c r="A451" s="396" t="s">
        <v>357</v>
      </c>
      <c r="B451" s="63">
        <v>2</v>
      </c>
      <c r="C451" s="63">
        <v>8</v>
      </c>
      <c r="D451" s="303">
        <v>35</v>
      </c>
      <c r="E451" s="64">
        <f t="shared" si="114"/>
        <v>4.2225826668958426</v>
      </c>
      <c r="F451" s="64">
        <f t="shared" si="115"/>
        <v>3.5389546758165444</v>
      </c>
      <c r="G451" s="63">
        <v>4</v>
      </c>
      <c r="H451" s="63">
        <v>5</v>
      </c>
      <c r="I451" s="303">
        <v>40</v>
      </c>
      <c r="J451" s="64">
        <f t="shared" si="116"/>
        <v>3.7645313796964266</v>
      </c>
      <c r="K451" s="64">
        <f t="shared" si="117"/>
        <v>2.3586780979574704</v>
      </c>
      <c r="L451" s="64">
        <f t="shared" si="118"/>
        <v>16.512621743462972</v>
      </c>
    </row>
    <row r="452" spans="1:20" ht="45">
      <c r="A452" s="396" t="s">
        <v>359</v>
      </c>
      <c r="B452" s="63">
        <v>2</v>
      </c>
      <c r="C452" s="63">
        <v>8</v>
      </c>
      <c r="D452" s="303">
        <v>35</v>
      </c>
      <c r="E452" s="64">
        <f t="shared" si="114"/>
        <v>4.2225826668958426</v>
      </c>
      <c r="F452" s="64">
        <f t="shared" si="115"/>
        <v>3.5389546758165444</v>
      </c>
      <c r="G452" s="63">
        <v>6</v>
      </c>
      <c r="H452" s="63">
        <v>5</v>
      </c>
      <c r="I452" s="303">
        <v>40</v>
      </c>
      <c r="J452" s="64">
        <f t="shared" si="116"/>
        <v>3.7645313796964266</v>
      </c>
      <c r="K452" s="64">
        <f t="shared" si="117"/>
        <v>2.3586780979574704</v>
      </c>
      <c r="L452" s="64">
        <f t="shared" si="118"/>
        <v>21.22997793937791</v>
      </c>
    </row>
    <row r="453" spans="1:20" ht="45">
      <c r="A453" s="396" t="s">
        <v>358</v>
      </c>
      <c r="B453" s="63">
        <v>2</v>
      </c>
      <c r="C453" s="63">
        <v>8</v>
      </c>
      <c r="D453" s="303">
        <v>35</v>
      </c>
      <c r="E453" s="64">
        <f t="shared" si="114"/>
        <v>4.2225826668958426</v>
      </c>
      <c r="F453" s="64">
        <f t="shared" si="115"/>
        <v>3.5389546758165444</v>
      </c>
      <c r="G453" s="63">
        <v>8</v>
      </c>
      <c r="H453" s="63">
        <v>5</v>
      </c>
      <c r="I453" s="303">
        <v>40</v>
      </c>
      <c r="J453" s="64">
        <f t="shared" si="116"/>
        <v>3.7645313796964266</v>
      </c>
      <c r="K453" s="64">
        <f t="shared" si="117"/>
        <v>2.3586780979574704</v>
      </c>
      <c r="L453" s="64">
        <f t="shared" si="118"/>
        <v>25.947334135292852</v>
      </c>
    </row>
    <row r="454" spans="1:20" ht="45">
      <c r="A454" s="396" t="s">
        <v>361</v>
      </c>
      <c r="B454" s="63">
        <v>2</v>
      </c>
      <c r="C454" s="63">
        <v>8</v>
      </c>
      <c r="D454" s="303">
        <v>35</v>
      </c>
      <c r="E454" s="64">
        <f t="shared" si="114"/>
        <v>4.2225826668958426</v>
      </c>
      <c r="F454" s="64">
        <f t="shared" si="115"/>
        <v>3.5389546758165444</v>
      </c>
      <c r="G454" s="63">
        <v>10</v>
      </c>
      <c r="H454" s="63">
        <v>5</v>
      </c>
      <c r="I454" s="303">
        <v>40</v>
      </c>
      <c r="J454" s="64">
        <f t="shared" si="116"/>
        <v>3.7645313796964266</v>
      </c>
      <c r="K454" s="64">
        <f t="shared" si="117"/>
        <v>2.3586780979574704</v>
      </c>
      <c r="L454" s="64">
        <f t="shared" si="118"/>
        <v>30.664690331207794</v>
      </c>
    </row>
    <row r="455" spans="1:20" ht="45">
      <c r="A455" s="408" t="s">
        <v>362</v>
      </c>
      <c r="B455" s="63">
        <v>2</v>
      </c>
      <c r="C455" s="63">
        <v>8</v>
      </c>
      <c r="D455" s="303">
        <v>35</v>
      </c>
      <c r="E455" s="64">
        <f t="shared" si="114"/>
        <v>4.2225826668958426</v>
      </c>
      <c r="F455" s="64">
        <f>MIN($B$427*D455*C455/1000,(2.3*SQRT($B$424*$B$427*C455))/1000+(E455/4),$B$427*D455*C455/1000*(SQRT(2+4*$B$424/($B$427*D455^2*C455))-1)+E455/4)</f>
        <v>3.5389546758165444</v>
      </c>
      <c r="G455" s="63">
        <v>8</v>
      </c>
      <c r="H455" s="63">
        <v>5</v>
      </c>
      <c r="I455" s="303">
        <v>70</v>
      </c>
      <c r="J455" s="64">
        <f>(0.52*SQRT(H455)*40^0.9*$B$423^0.8)/1000</f>
        <v>3.7645313796964266</v>
      </c>
      <c r="K455" s="64">
        <f>MIN($C$427*I455*H455/1000,(2.3*SQRT($C$424*$C$427*H455))/1000+(J455/4),$C$427*I455*H455/1000*(SQRT(2+4*$C$424/($C$427*I455^2*H455))-1)+J455/4)</f>
        <v>2.3586780979574704</v>
      </c>
      <c r="L455" s="64">
        <f>B455*F455+G455*K455</f>
        <v>25.947334135292852</v>
      </c>
    </row>
    <row r="456" spans="1:20" ht="45">
      <c r="A456" s="408" t="s">
        <v>363</v>
      </c>
      <c r="B456" s="63">
        <v>2</v>
      </c>
      <c r="C456" s="63">
        <v>8</v>
      </c>
      <c r="D456" s="303">
        <v>35</v>
      </c>
      <c r="E456" s="64">
        <f t="shared" si="114"/>
        <v>4.2225826668958426</v>
      </c>
      <c r="F456" s="64">
        <f>MIN($B$427*D456*C456/1000,(2.3*SQRT($B$424*$B$427*C456))/1000+(E456/4),$B$427*D456*C456/1000*(SQRT(2+4*$B$424/($B$427*D456^2*C456))-1)+E456/4)</f>
        <v>3.5389546758165444</v>
      </c>
      <c r="G456" s="63">
        <v>10</v>
      </c>
      <c r="H456" s="63">
        <v>5</v>
      </c>
      <c r="I456" s="303">
        <v>70</v>
      </c>
      <c r="J456" s="64">
        <f>(0.52*SQRT(H456)*40^0.9*$B$423^0.8)/1000</f>
        <v>3.7645313796964266</v>
      </c>
      <c r="K456" s="64">
        <f>MIN($C$427*I456*H456/1000,(2.3*SQRT($C$424*$C$427*H456))/1000+(J456/4),$C$427*I456*H456/1000*(SQRT(2+4*$C$424/($C$427*I456^2*H456))-1)+J456/4)</f>
        <v>2.3586780979574704</v>
      </c>
      <c r="L456" s="64">
        <f>B456*F456+G456*K456</f>
        <v>30.664690331207794</v>
      </c>
    </row>
    <row r="457" spans="1:20" ht="45">
      <c r="A457" s="396" t="s">
        <v>364</v>
      </c>
      <c r="B457" s="63">
        <v>3</v>
      </c>
      <c r="C457" s="63">
        <v>8</v>
      </c>
      <c r="D457" s="303">
        <v>35</v>
      </c>
      <c r="E457" s="64">
        <f t="shared" si="114"/>
        <v>4.2225826668958426</v>
      </c>
      <c r="F457" s="64">
        <f t="shared" si="115"/>
        <v>3.5389546758165444</v>
      </c>
      <c r="G457" s="63">
        <v>4</v>
      </c>
      <c r="H457" s="63">
        <v>5</v>
      </c>
      <c r="I457" s="303">
        <v>40</v>
      </c>
      <c r="J457" s="64">
        <f t="shared" si="116"/>
        <v>3.7645313796964266</v>
      </c>
      <c r="K457" s="64">
        <f t="shared" si="117"/>
        <v>2.3586780979574704</v>
      </c>
      <c r="L457" s="64">
        <f t="shared" si="118"/>
        <v>20.051576419279513</v>
      </c>
    </row>
    <row r="458" spans="1:20" ht="47.25" customHeight="1">
      <c r="A458" s="396" t="s">
        <v>365</v>
      </c>
      <c r="B458" s="63">
        <v>3</v>
      </c>
      <c r="C458" s="63">
        <v>8</v>
      </c>
      <c r="D458" s="303">
        <v>35</v>
      </c>
      <c r="E458" s="64">
        <f t="shared" si="114"/>
        <v>4.2225826668958426</v>
      </c>
      <c r="F458" s="64">
        <f t="shared" si="115"/>
        <v>3.5389546758165444</v>
      </c>
      <c r="G458" s="63">
        <v>8</v>
      </c>
      <c r="H458" s="63">
        <v>5</v>
      </c>
      <c r="I458" s="303">
        <v>40</v>
      </c>
      <c r="J458" s="64">
        <f t="shared" si="116"/>
        <v>3.7645313796964266</v>
      </c>
      <c r="K458" s="64">
        <f t="shared" si="117"/>
        <v>2.3586780979574704</v>
      </c>
      <c r="L458" s="64">
        <f t="shared" si="118"/>
        <v>29.486288811109397</v>
      </c>
    </row>
    <row r="459" spans="1:20" ht="47.25" customHeight="1">
      <c r="A459" s="396" t="s">
        <v>366</v>
      </c>
      <c r="B459" s="63">
        <v>3</v>
      </c>
      <c r="C459" s="63">
        <v>8</v>
      </c>
      <c r="D459" s="303">
        <v>35</v>
      </c>
      <c r="E459" s="64">
        <f t="shared" si="114"/>
        <v>4.2225826668958426</v>
      </c>
      <c r="F459" s="64">
        <f t="shared" si="115"/>
        <v>3.5389546758165444</v>
      </c>
      <c r="G459" s="63">
        <v>12</v>
      </c>
      <c r="H459" s="63">
        <v>5</v>
      </c>
      <c r="I459" s="303">
        <v>40</v>
      </c>
      <c r="J459" s="64">
        <f t="shared" si="116"/>
        <v>3.7645313796964266</v>
      </c>
      <c r="K459" s="64">
        <f t="shared" si="117"/>
        <v>2.3586780979574704</v>
      </c>
      <c r="L459" s="64">
        <f t="shared" si="118"/>
        <v>38.92100120293928</v>
      </c>
    </row>
    <row r="460" spans="1:20" ht="47.25" customHeight="1">
      <c r="A460" s="396" t="s">
        <v>367</v>
      </c>
      <c r="B460" s="63">
        <v>3</v>
      </c>
      <c r="C460" s="63">
        <v>8</v>
      </c>
      <c r="D460" s="303">
        <v>35</v>
      </c>
      <c r="E460" s="64">
        <f t="shared" si="114"/>
        <v>4.2225826668958426</v>
      </c>
      <c r="F460" s="64">
        <f t="shared" si="115"/>
        <v>3.5389546758165444</v>
      </c>
      <c r="G460" s="63">
        <v>16</v>
      </c>
      <c r="H460" s="63">
        <v>5</v>
      </c>
      <c r="I460" s="303">
        <v>40</v>
      </c>
      <c r="J460" s="64">
        <f t="shared" si="116"/>
        <v>3.7645313796964266</v>
      </c>
      <c r="K460" s="64">
        <f t="shared" si="117"/>
        <v>2.3586780979574704</v>
      </c>
      <c r="L460" s="64">
        <f t="shared" si="118"/>
        <v>48.355713594769156</v>
      </c>
    </row>
    <row r="461" spans="1:20" ht="47.25" customHeight="1">
      <c r="A461" s="396" t="s">
        <v>368</v>
      </c>
      <c r="B461" s="63">
        <v>3</v>
      </c>
      <c r="C461" s="63">
        <v>8</v>
      </c>
      <c r="D461" s="303">
        <v>35</v>
      </c>
      <c r="E461" s="64">
        <f t="shared" si="114"/>
        <v>4.2225826668958426</v>
      </c>
      <c r="F461" s="64">
        <f t="shared" si="115"/>
        <v>3.5389546758165444</v>
      </c>
      <c r="G461" s="63">
        <v>20</v>
      </c>
      <c r="H461" s="63">
        <v>5</v>
      </c>
      <c r="I461" s="303">
        <v>40</v>
      </c>
      <c r="J461" s="64">
        <f t="shared" si="116"/>
        <v>3.7645313796964266</v>
      </c>
      <c r="K461" s="64">
        <f t="shared" si="117"/>
        <v>2.3586780979574704</v>
      </c>
      <c r="L461" s="64">
        <f t="shared" si="118"/>
        <v>57.790425986599047</v>
      </c>
    </row>
    <row r="462" spans="1:20">
      <c r="A462" s="3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</row>
    <row r="463" spans="1:20">
      <c r="A463" s="3"/>
      <c r="B463" s="102"/>
      <c r="C463" s="90"/>
      <c r="D463" s="90"/>
      <c r="E463" s="90"/>
      <c r="F463" s="90" t="s">
        <v>72</v>
      </c>
      <c r="G463" s="90" t="s">
        <v>133</v>
      </c>
      <c r="H463" s="90"/>
      <c r="I463" s="90"/>
      <c r="J463" s="90"/>
      <c r="K463" s="90"/>
      <c r="L463" s="90"/>
    </row>
    <row r="464" spans="1:20" ht="18">
      <c r="A464" s="4" t="s">
        <v>2</v>
      </c>
      <c r="B464" s="125" t="s">
        <v>134</v>
      </c>
      <c r="C464" s="125" t="s">
        <v>135</v>
      </c>
      <c r="D464" s="113" t="s">
        <v>136</v>
      </c>
      <c r="E464" s="125" t="s">
        <v>137</v>
      </c>
      <c r="F464" s="126" t="s">
        <v>138</v>
      </c>
      <c r="G464" s="126" t="s">
        <v>139</v>
      </c>
      <c r="H464" s="90"/>
      <c r="I464" s="90"/>
      <c r="J464" s="90"/>
      <c r="K464" s="90"/>
      <c r="L464" s="90"/>
      <c r="O464" s="4" t="s">
        <v>2</v>
      </c>
      <c r="P464" s="710" t="s">
        <v>140</v>
      </c>
      <c r="Q464" s="711"/>
      <c r="R464" s="711"/>
      <c r="S464" s="711"/>
      <c r="T464" s="712"/>
    </row>
    <row r="465" spans="1:20">
      <c r="A465" s="8"/>
      <c r="B465" s="127" t="s">
        <v>17</v>
      </c>
      <c r="C465" s="128" t="s">
        <v>17</v>
      </c>
      <c r="D465" s="47" t="s">
        <v>78</v>
      </c>
      <c r="E465" s="128" t="s">
        <v>17</v>
      </c>
      <c r="F465" s="129" t="s">
        <v>17</v>
      </c>
      <c r="G465" s="129" t="s">
        <v>17</v>
      </c>
      <c r="H465" s="90"/>
      <c r="I465" s="90"/>
      <c r="J465" s="90"/>
      <c r="K465" s="90"/>
      <c r="L465" s="90"/>
      <c r="O465" s="8"/>
      <c r="P465" s="95">
        <v>0.6</v>
      </c>
      <c r="Q465" s="95">
        <v>0.7</v>
      </c>
      <c r="R465" s="95">
        <v>0.8</v>
      </c>
      <c r="S465" s="95">
        <v>0.9</v>
      </c>
      <c r="T465" s="95">
        <v>1</v>
      </c>
    </row>
    <row r="466" spans="1:20" ht="45">
      <c r="A466" s="396" t="s">
        <v>356</v>
      </c>
      <c r="B466" s="64">
        <f t="shared" ref="B466:B471" si="119">L432</f>
        <v>5.0357713042970218</v>
      </c>
      <c r="C466" s="64">
        <v>2.7</v>
      </c>
      <c r="D466" s="85">
        <v>2.2999999999999998</v>
      </c>
      <c r="E466" s="64">
        <f t="shared" ref="E466:E471" si="120">1/(SQRT((1/L449)^2+(1/(D466*E449)^2)))</f>
        <v>6.2904365361145143</v>
      </c>
      <c r="F466" s="141">
        <f>MIN(B466,C466,E466)</f>
        <v>2.7</v>
      </c>
      <c r="G466" s="141">
        <v>2.5299999999999998</v>
      </c>
      <c r="H466" s="90"/>
      <c r="I466" s="90"/>
      <c r="J466" s="90"/>
      <c r="K466" s="90"/>
      <c r="L466" s="90"/>
      <c r="O466" s="396" t="s">
        <v>356</v>
      </c>
      <c r="P466" s="88">
        <f>MIN(P$465*$B466/1.3,$C466/1.25,P$465*$E466/1.3)</f>
        <v>2.16</v>
      </c>
      <c r="Q466" s="88">
        <f>MIN(Q$465*$B466/1.3,$C466/1.25,Q$465*$E466/1.3)</f>
        <v>2.16</v>
      </c>
      <c r="R466" s="88">
        <f>MIN(R$465*$B466/1.3,$C466/1.25,R$465*$E466/1.3)</f>
        <v>2.16</v>
      </c>
      <c r="S466" s="88">
        <f>MIN(S$465*$B466/1.3,$C466/1.25,S$465*$E466/1.3)</f>
        <v>2.16</v>
      </c>
      <c r="T466" s="88">
        <f>MIN(T$465*$B466/1.3,$C466/1.25,T$465*$E466/1.3)</f>
        <v>2.16</v>
      </c>
    </row>
    <row r="467" spans="1:20" ht="45">
      <c r="A467" s="396" t="s">
        <v>360</v>
      </c>
      <c r="B467" s="64">
        <f t="shared" si="119"/>
        <v>7.3386078352830051</v>
      </c>
      <c r="C467" s="64">
        <v>2.7</v>
      </c>
      <c r="D467" s="85">
        <v>5.09</v>
      </c>
      <c r="E467" s="64">
        <f t="shared" si="120"/>
        <v>10.34044741465582</v>
      </c>
      <c r="F467" s="141">
        <f t="shared" ref="F467:F478" si="121">MIN(B467,C467,E467)</f>
        <v>2.7</v>
      </c>
      <c r="G467" s="141">
        <v>2.5299999999999998</v>
      </c>
      <c r="H467" s="90"/>
      <c r="I467" s="90"/>
      <c r="J467" s="90"/>
      <c r="K467" s="90"/>
      <c r="L467" s="90"/>
      <c r="O467" s="396" t="s">
        <v>360</v>
      </c>
      <c r="P467" s="88">
        <f t="shared" ref="P467:T478" si="122">MIN(P$465*$B467/1.3,$C467/1.25,P$465*$E467/1.3)</f>
        <v>2.16</v>
      </c>
      <c r="Q467" s="88">
        <f t="shared" si="122"/>
        <v>2.16</v>
      </c>
      <c r="R467" s="88">
        <f t="shared" si="122"/>
        <v>2.16</v>
      </c>
      <c r="S467" s="88">
        <f t="shared" si="122"/>
        <v>2.16</v>
      </c>
      <c r="T467" s="88">
        <f t="shared" si="122"/>
        <v>2.16</v>
      </c>
    </row>
    <row r="468" spans="1:20" ht="45">
      <c r="A468" s="396" t="s">
        <v>357</v>
      </c>
      <c r="B468" s="64">
        <f t="shared" si="119"/>
        <v>10.071542608594044</v>
      </c>
      <c r="C468" s="64">
        <v>2.7</v>
      </c>
      <c r="D468" s="85">
        <v>10.9</v>
      </c>
      <c r="E468" s="64">
        <f t="shared" si="120"/>
        <v>15.542620745026749</v>
      </c>
      <c r="F468" s="141">
        <f t="shared" si="121"/>
        <v>2.7</v>
      </c>
      <c r="G468" s="141">
        <v>2.5299999999999998</v>
      </c>
      <c r="H468" s="90"/>
      <c r="I468" s="90"/>
      <c r="J468" s="90"/>
      <c r="K468" s="90"/>
      <c r="L468" s="90"/>
      <c r="O468" s="396" t="s">
        <v>357</v>
      </c>
      <c r="P468" s="88">
        <f t="shared" si="122"/>
        <v>2.16</v>
      </c>
      <c r="Q468" s="88">
        <f t="shared" si="122"/>
        <v>2.16</v>
      </c>
      <c r="R468" s="88">
        <f t="shared" si="122"/>
        <v>2.16</v>
      </c>
      <c r="S468" s="88">
        <f t="shared" si="122"/>
        <v>2.16</v>
      </c>
      <c r="T468" s="88">
        <f t="shared" si="122"/>
        <v>2.16</v>
      </c>
    </row>
    <row r="469" spans="1:20" ht="45">
      <c r="A469" s="396" t="s">
        <v>359</v>
      </c>
      <c r="B469" s="64">
        <f t="shared" si="119"/>
        <v>12.804477381905082</v>
      </c>
      <c r="C469" s="64">
        <v>2.7</v>
      </c>
      <c r="D469" s="85">
        <v>19.100000000000001</v>
      </c>
      <c r="E469" s="64">
        <f t="shared" si="120"/>
        <v>20.530598646371722</v>
      </c>
      <c r="F469" s="141">
        <f t="shared" si="121"/>
        <v>2.7</v>
      </c>
      <c r="G469" s="141">
        <v>2.5299999999999998</v>
      </c>
      <c r="H469" s="90"/>
      <c r="I469" s="90"/>
      <c r="J469" s="90"/>
      <c r="K469" s="90"/>
      <c r="L469" s="90"/>
      <c r="O469" s="396" t="s">
        <v>359</v>
      </c>
      <c r="P469" s="88">
        <f t="shared" si="122"/>
        <v>2.16</v>
      </c>
      <c r="Q469" s="88">
        <f t="shared" si="122"/>
        <v>2.16</v>
      </c>
      <c r="R469" s="88">
        <f t="shared" si="122"/>
        <v>2.16</v>
      </c>
      <c r="S469" s="88">
        <f t="shared" si="122"/>
        <v>2.16</v>
      </c>
      <c r="T469" s="88">
        <f t="shared" si="122"/>
        <v>2.16</v>
      </c>
    </row>
    <row r="470" spans="1:20" ht="45">
      <c r="A470" s="396" t="s">
        <v>358</v>
      </c>
      <c r="B470" s="64">
        <f t="shared" si="119"/>
        <v>15.537412155216121</v>
      </c>
      <c r="C470" s="64">
        <v>2.7</v>
      </c>
      <c r="D470" s="85">
        <v>29.6</v>
      </c>
      <c r="E470" s="64">
        <f t="shared" si="120"/>
        <v>25.405656567957546</v>
      </c>
      <c r="F470" s="141">
        <f t="shared" si="121"/>
        <v>2.7</v>
      </c>
      <c r="G470" s="141">
        <v>2.5299999999999998</v>
      </c>
      <c r="H470" s="90"/>
      <c r="I470" s="90"/>
      <c r="J470" s="90"/>
      <c r="K470" s="90"/>
      <c r="L470" s="90"/>
      <c r="O470" s="396" t="s">
        <v>358</v>
      </c>
      <c r="P470" s="88">
        <f t="shared" si="122"/>
        <v>2.16</v>
      </c>
      <c r="Q470" s="88">
        <f t="shared" si="122"/>
        <v>2.16</v>
      </c>
      <c r="R470" s="88">
        <f t="shared" si="122"/>
        <v>2.16</v>
      </c>
      <c r="S470" s="88">
        <f t="shared" si="122"/>
        <v>2.16</v>
      </c>
      <c r="T470" s="88">
        <f t="shared" si="122"/>
        <v>2.16</v>
      </c>
    </row>
    <row r="471" spans="1:20" ht="45">
      <c r="A471" s="396" t="s">
        <v>361</v>
      </c>
      <c r="B471" s="64">
        <f t="shared" si="119"/>
        <v>18.270346928527161</v>
      </c>
      <c r="C471" s="64">
        <v>2.7</v>
      </c>
      <c r="D471" s="85">
        <v>42.6</v>
      </c>
      <c r="E471" s="64">
        <f t="shared" si="120"/>
        <v>30.228608043850425</v>
      </c>
      <c r="F471" s="141">
        <f t="shared" si="121"/>
        <v>2.7</v>
      </c>
      <c r="G471" s="141">
        <v>2.5299999999999998</v>
      </c>
      <c r="H471" s="90"/>
      <c r="I471" s="90"/>
      <c r="J471" s="90"/>
      <c r="K471" s="90"/>
      <c r="L471" s="90"/>
      <c r="O471" s="396" t="s">
        <v>361</v>
      </c>
      <c r="P471" s="88">
        <f t="shared" si="122"/>
        <v>2.16</v>
      </c>
      <c r="Q471" s="88">
        <f t="shared" si="122"/>
        <v>2.16</v>
      </c>
      <c r="R471" s="88">
        <f t="shared" si="122"/>
        <v>2.16</v>
      </c>
      <c r="S471" s="88">
        <f t="shared" si="122"/>
        <v>2.16</v>
      </c>
      <c r="T471" s="88">
        <f t="shared" si="122"/>
        <v>2.16</v>
      </c>
    </row>
    <row r="472" spans="1:20" ht="45">
      <c r="A472" s="408" t="s">
        <v>362</v>
      </c>
      <c r="B472" s="64">
        <f t="shared" ref="B472:B478" si="123">L438</f>
        <v>17.137968830935986</v>
      </c>
      <c r="C472" s="64">
        <v>2.7</v>
      </c>
      <c r="D472" s="85">
        <v>29.6</v>
      </c>
      <c r="E472" s="64">
        <f t="shared" ref="E472:E478" si="124">1/(SQRT((1/L455)^2+(1/(D472*E455)^2)))</f>
        <v>25.405656567957546</v>
      </c>
      <c r="F472" s="141">
        <f t="shared" si="121"/>
        <v>2.7</v>
      </c>
      <c r="G472" s="141">
        <v>2.5299999999999998</v>
      </c>
      <c r="H472" s="90"/>
      <c r="I472" s="90"/>
      <c r="J472" s="90"/>
      <c r="K472" s="90"/>
      <c r="L472" s="90"/>
      <c r="O472" s="396" t="s">
        <v>362</v>
      </c>
      <c r="P472" s="88">
        <f t="shared" si="122"/>
        <v>2.16</v>
      </c>
      <c r="Q472" s="88">
        <f t="shared" si="122"/>
        <v>2.16</v>
      </c>
      <c r="R472" s="88">
        <f t="shared" si="122"/>
        <v>2.16</v>
      </c>
      <c r="S472" s="88">
        <f t="shared" si="122"/>
        <v>2.16</v>
      </c>
      <c r="T472" s="88">
        <f t="shared" si="122"/>
        <v>2.16</v>
      </c>
    </row>
    <row r="473" spans="1:20" ht="45">
      <c r="A473" s="408" t="s">
        <v>363</v>
      </c>
      <c r="B473" s="64">
        <f t="shared" si="123"/>
        <v>19.870903604247026</v>
      </c>
      <c r="C473" s="64">
        <v>2.7</v>
      </c>
      <c r="D473" s="85">
        <v>42.6</v>
      </c>
      <c r="E473" s="64">
        <f t="shared" si="124"/>
        <v>30.228608043850425</v>
      </c>
      <c r="F473" s="141">
        <f t="shared" si="121"/>
        <v>2.7</v>
      </c>
      <c r="G473" s="141">
        <v>2.5299999999999998</v>
      </c>
      <c r="H473" s="90"/>
      <c r="I473" s="90"/>
      <c r="J473" s="90"/>
      <c r="K473" s="90"/>
      <c r="L473" s="90"/>
      <c r="O473" s="396" t="s">
        <v>363</v>
      </c>
      <c r="P473" s="88">
        <f t="shared" si="122"/>
        <v>2.16</v>
      </c>
      <c r="Q473" s="88">
        <f t="shared" si="122"/>
        <v>2.16</v>
      </c>
      <c r="R473" s="88">
        <f t="shared" si="122"/>
        <v>2.16</v>
      </c>
      <c r="S473" s="88">
        <f t="shared" si="122"/>
        <v>2.16</v>
      </c>
      <c r="T473" s="88">
        <f t="shared" si="122"/>
        <v>2.16</v>
      </c>
    </row>
    <row r="474" spans="1:20" ht="45">
      <c r="A474" s="396" t="s">
        <v>364</v>
      </c>
      <c r="B474" s="64">
        <f t="shared" si="123"/>
        <v>12.374379139580027</v>
      </c>
      <c r="C474" s="64">
        <v>2.7</v>
      </c>
      <c r="D474" s="85">
        <v>27.6</v>
      </c>
      <c r="E474" s="64">
        <f t="shared" si="124"/>
        <v>19.761222649658258</v>
      </c>
      <c r="F474" s="141">
        <f t="shared" si="121"/>
        <v>2.7</v>
      </c>
      <c r="G474" s="141">
        <v>2.5299999999999998</v>
      </c>
      <c r="H474" s="90"/>
      <c r="I474" s="90"/>
      <c r="J474" s="90"/>
      <c r="K474" s="90"/>
      <c r="L474" s="90"/>
      <c r="O474" s="396" t="s">
        <v>364</v>
      </c>
      <c r="P474" s="88">
        <f t="shared" si="122"/>
        <v>2.16</v>
      </c>
      <c r="Q474" s="88">
        <f t="shared" si="122"/>
        <v>2.16</v>
      </c>
      <c r="R474" s="88">
        <f t="shared" si="122"/>
        <v>2.16</v>
      </c>
      <c r="S474" s="88">
        <f t="shared" si="122"/>
        <v>2.16</v>
      </c>
      <c r="T474" s="88">
        <f t="shared" si="122"/>
        <v>2.16</v>
      </c>
    </row>
    <row r="475" spans="1:20" ht="48" customHeight="1">
      <c r="A475" s="396" t="s">
        <v>365</v>
      </c>
      <c r="B475" s="64">
        <f t="shared" si="123"/>
        <v>17.840248686202102</v>
      </c>
      <c r="C475" s="64">
        <v>2.7</v>
      </c>
      <c r="D475" s="85">
        <v>56.5</v>
      </c>
      <c r="E475" s="64">
        <f t="shared" si="124"/>
        <v>29.26363190050586</v>
      </c>
      <c r="F475" s="141">
        <f t="shared" si="121"/>
        <v>2.7</v>
      </c>
      <c r="G475" s="141">
        <v>2.5299999999999998</v>
      </c>
      <c r="H475" s="90"/>
      <c r="I475" s="90"/>
      <c r="J475" s="90"/>
      <c r="K475" s="90"/>
      <c r="L475" s="90"/>
      <c r="O475" s="396" t="s">
        <v>365</v>
      </c>
      <c r="P475" s="88">
        <f t="shared" si="122"/>
        <v>2.16</v>
      </c>
      <c r="Q475" s="88">
        <f t="shared" si="122"/>
        <v>2.16</v>
      </c>
      <c r="R475" s="88">
        <f t="shared" si="122"/>
        <v>2.16</v>
      </c>
      <c r="S475" s="88">
        <f t="shared" si="122"/>
        <v>2.16</v>
      </c>
      <c r="T475" s="88">
        <f t="shared" si="122"/>
        <v>2.16</v>
      </c>
    </row>
    <row r="476" spans="1:20" ht="48" customHeight="1">
      <c r="A476" s="396" t="s">
        <v>366</v>
      </c>
      <c r="B476" s="64">
        <f t="shared" si="123"/>
        <v>23.306118232824183</v>
      </c>
      <c r="C476" s="64">
        <v>2.7</v>
      </c>
      <c r="D476" s="85">
        <v>94.8</v>
      </c>
      <c r="E476" s="64">
        <f t="shared" si="124"/>
        <v>38.73832454314239</v>
      </c>
      <c r="F476" s="141">
        <f t="shared" si="121"/>
        <v>2.7</v>
      </c>
      <c r="G476" s="141">
        <v>2.5299999999999998</v>
      </c>
      <c r="H476" s="90"/>
      <c r="I476" s="90"/>
      <c r="J476" s="90"/>
      <c r="K476" s="90"/>
      <c r="L476" s="90"/>
      <c r="O476" s="396" t="s">
        <v>366</v>
      </c>
      <c r="P476" s="88">
        <f t="shared" si="122"/>
        <v>2.16</v>
      </c>
      <c r="Q476" s="88">
        <f t="shared" si="122"/>
        <v>2.16</v>
      </c>
      <c r="R476" s="88">
        <f t="shared" si="122"/>
        <v>2.16</v>
      </c>
      <c r="S476" s="88">
        <f t="shared" si="122"/>
        <v>2.16</v>
      </c>
      <c r="T476" s="88">
        <f t="shared" si="122"/>
        <v>2.16</v>
      </c>
    </row>
    <row r="477" spans="1:20" ht="48" customHeight="1">
      <c r="A477" s="396" t="s">
        <v>367</v>
      </c>
      <c r="B477" s="64">
        <f t="shared" si="123"/>
        <v>28.771987779446256</v>
      </c>
      <c r="C477" s="64">
        <v>2.7</v>
      </c>
      <c r="D477" s="85">
        <v>94.8</v>
      </c>
      <c r="E477" s="64">
        <f t="shared" si="124"/>
        <v>48.006718847093246</v>
      </c>
      <c r="F477" s="141">
        <f t="shared" si="121"/>
        <v>2.7</v>
      </c>
      <c r="G477" s="141">
        <v>3.53</v>
      </c>
      <c r="H477" s="90"/>
      <c r="I477" s="90"/>
      <c r="J477" s="90"/>
      <c r="K477" s="90"/>
      <c r="L477" s="90"/>
      <c r="O477" s="396" t="s">
        <v>367</v>
      </c>
      <c r="P477" s="88">
        <f t="shared" si="122"/>
        <v>2.16</v>
      </c>
      <c r="Q477" s="88">
        <f t="shared" si="122"/>
        <v>2.16</v>
      </c>
      <c r="R477" s="88">
        <f t="shared" si="122"/>
        <v>2.16</v>
      </c>
      <c r="S477" s="88">
        <f t="shared" si="122"/>
        <v>2.16</v>
      </c>
      <c r="T477" s="88">
        <f t="shared" si="122"/>
        <v>2.16</v>
      </c>
    </row>
    <row r="478" spans="1:20" ht="48" customHeight="1">
      <c r="A478" s="396" t="s">
        <v>368</v>
      </c>
      <c r="B478" s="64">
        <f t="shared" si="123"/>
        <v>34.237857326068337</v>
      </c>
      <c r="C478" s="64">
        <v>2.7</v>
      </c>
      <c r="D478" s="85">
        <v>94.8</v>
      </c>
      <c r="E478" s="64">
        <f t="shared" si="124"/>
        <v>57.197446004414836</v>
      </c>
      <c r="F478" s="141">
        <f t="shared" si="121"/>
        <v>2.7</v>
      </c>
      <c r="G478" s="141">
        <v>4.53</v>
      </c>
      <c r="H478" s="90"/>
      <c r="I478" s="90"/>
      <c r="J478" s="90"/>
      <c r="K478" s="90"/>
      <c r="L478" s="90"/>
      <c r="O478" s="396" t="s">
        <v>368</v>
      </c>
      <c r="P478" s="88">
        <f t="shared" si="122"/>
        <v>2.16</v>
      </c>
      <c r="Q478" s="88">
        <f t="shared" si="122"/>
        <v>2.16</v>
      </c>
      <c r="R478" s="88">
        <f t="shared" si="122"/>
        <v>2.16</v>
      </c>
      <c r="S478" s="88">
        <f t="shared" si="122"/>
        <v>2.16</v>
      </c>
      <c r="T478" s="88">
        <f t="shared" si="122"/>
        <v>2.16</v>
      </c>
    </row>
    <row r="479" spans="1:20">
      <c r="H479" s="90"/>
      <c r="I479" s="90"/>
      <c r="J479" s="90"/>
      <c r="K479" s="90"/>
      <c r="L479" s="90"/>
      <c r="P479" s="710" t="s">
        <v>141</v>
      </c>
      <c r="Q479" s="711"/>
      <c r="R479" s="711"/>
      <c r="S479" s="711"/>
      <c r="T479" s="712"/>
    </row>
    <row r="480" spans="1:20" ht="45">
      <c r="A480" s="396" t="s">
        <v>356</v>
      </c>
      <c r="B480" s="64">
        <f t="shared" ref="B480:B485" si="125">L432</f>
        <v>5.0357713042970218</v>
      </c>
      <c r="C480" s="64">
        <f>2.7*2</f>
        <v>5.4</v>
      </c>
      <c r="D480" s="85">
        <v>2.2999999999999998</v>
      </c>
      <c r="E480" s="64">
        <f t="shared" ref="E480:E485" si="126">1/(SQRT((1/L449)^2+(1/(D480*E449)^2)))</f>
        <v>6.2904365361145143</v>
      </c>
      <c r="F480" s="141">
        <f>MIN(B480,C480,E480)</f>
        <v>5.0357713042970218</v>
      </c>
      <c r="G480" s="141">
        <f>2.53*2</f>
        <v>5.0599999999999996</v>
      </c>
      <c r="H480" s="90"/>
      <c r="I480" s="90"/>
      <c r="J480" s="90"/>
      <c r="K480" s="90"/>
      <c r="L480" s="90"/>
      <c r="O480" s="396" t="s">
        <v>356</v>
      </c>
      <c r="P480" s="88">
        <f t="shared" ref="P480:T492" si="127">MIN(P$465*$B480/1.3,$C480/1.25,P$465*$E480/1.3)</f>
        <v>2.324202140444779</v>
      </c>
      <c r="Q480" s="88">
        <f t="shared" si="127"/>
        <v>2.7115691638522423</v>
      </c>
      <c r="R480" s="88">
        <f t="shared" si="127"/>
        <v>3.0989361872597057</v>
      </c>
      <c r="S480" s="88">
        <f t="shared" si="127"/>
        <v>3.4863032106671694</v>
      </c>
      <c r="T480" s="88">
        <f t="shared" si="127"/>
        <v>3.8736702340746318</v>
      </c>
    </row>
    <row r="481" spans="1:20" ht="45">
      <c r="A481" s="396" t="s">
        <v>360</v>
      </c>
      <c r="B481" s="64">
        <f t="shared" si="125"/>
        <v>7.3386078352830051</v>
      </c>
      <c r="C481" s="64">
        <f t="shared" ref="C481:C492" si="128">2.7*2</f>
        <v>5.4</v>
      </c>
      <c r="D481" s="85">
        <v>5.09</v>
      </c>
      <c r="E481" s="64">
        <f t="shared" si="126"/>
        <v>10.34044741465582</v>
      </c>
      <c r="F481" s="141">
        <f t="shared" ref="F481:F492" si="129">MIN(B481,C481,E481)</f>
        <v>5.4</v>
      </c>
      <c r="G481" s="141">
        <f t="shared" ref="G481:G492" si="130">2.53*2</f>
        <v>5.0599999999999996</v>
      </c>
      <c r="H481" s="90"/>
      <c r="I481" s="90"/>
      <c r="J481" s="90"/>
      <c r="K481" s="90"/>
      <c r="L481" s="90"/>
      <c r="O481" s="396" t="s">
        <v>360</v>
      </c>
      <c r="P481" s="88">
        <f t="shared" si="127"/>
        <v>3.3870497701306173</v>
      </c>
      <c r="Q481" s="88">
        <f t="shared" si="127"/>
        <v>3.9515580651523869</v>
      </c>
      <c r="R481" s="88">
        <f t="shared" si="127"/>
        <v>4.32</v>
      </c>
      <c r="S481" s="88">
        <f t="shared" si="127"/>
        <v>4.32</v>
      </c>
      <c r="T481" s="88">
        <f t="shared" si="127"/>
        <v>4.32</v>
      </c>
    </row>
    <row r="482" spans="1:20" ht="45">
      <c r="A482" s="396" t="s">
        <v>357</v>
      </c>
      <c r="B482" s="64">
        <f t="shared" si="125"/>
        <v>10.071542608594044</v>
      </c>
      <c r="C482" s="64">
        <f t="shared" si="128"/>
        <v>5.4</v>
      </c>
      <c r="D482" s="85">
        <v>10.9</v>
      </c>
      <c r="E482" s="64">
        <f t="shared" si="126"/>
        <v>15.542620745026749</v>
      </c>
      <c r="F482" s="141">
        <f t="shared" si="129"/>
        <v>5.4</v>
      </c>
      <c r="G482" s="141">
        <f t="shared" si="130"/>
        <v>5.0599999999999996</v>
      </c>
      <c r="H482" s="90"/>
      <c r="I482" s="90"/>
      <c r="J482" s="90"/>
      <c r="K482" s="90"/>
      <c r="L482" s="90"/>
      <c r="O482" s="396" t="s">
        <v>357</v>
      </c>
      <c r="P482" s="88">
        <f t="shared" si="127"/>
        <v>4.32</v>
      </c>
      <c r="Q482" s="88">
        <f t="shared" si="127"/>
        <v>4.32</v>
      </c>
      <c r="R482" s="88">
        <f t="shared" si="127"/>
        <v>4.32</v>
      </c>
      <c r="S482" s="88">
        <f t="shared" si="127"/>
        <v>4.32</v>
      </c>
      <c r="T482" s="88">
        <f t="shared" si="127"/>
        <v>4.32</v>
      </c>
    </row>
    <row r="483" spans="1:20" ht="45">
      <c r="A483" s="396" t="s">
        <v>359</v>
      </c>
      <c r="B483" s="64">
        <f t="shared" si="125"/>
        <v>12.804477381905082</v>
      </c>
      <c r="C483" s="64">
        <f t="shared" si="128"/>
        <v>5.4</v>
      </c>
      <c r="D483" s="85">
        <v>19.100000000000001</v>
      </c>
      <c r="E483" s="64">
        <f t="shared" si="126"/>
        <v>20.530598646371722</v>
      </c>
      <c r="F483" s="141">
        <f t="shared" si="129"/>
        <v>5.4</v>
      </c>
      <c r="G483" s="141">
        <f t="shared" si="130"/>
        <v>5.0599999999999996</v>
      </c>
      <c r="H483" s="90"/>
      <c r="I483" s="90"/>
      <c r="J483" s="90"/>
      <c r="K483" s="90"/>
      <c r="L483" s="90"/>
      <c r="O483" s="396" t="s">
        <v>359</v>
      </c>
      <c r="P483" s="88">
        <f t="shared" si="127"/>
        <v>4.32</v>
      </c>
      <c r="Q483" s="88">
        <f t="shared" si="127"/>
        <v>4.32</v>
      </c>
      <c r="R483" s="88">
        <f t="shared" si="127"/>
        <v>4.32</v>
      </c>
      <c r="S483" s="88">
        <f t="shared" si="127"/>
        <v>4.32</v>
      </c>
      <c r="T483" s="88">
        <f t="shared" si="127"/>
        <v>4.32</v>
      </c>
    </row>
    <row r="484" spans="1:20" ht="45">
      <c r="A484" s="396" t="s">
        <v>358</v>
      </c>
      <c r="B484" s="64">
        <f t="shared" si="125"/>
        <v>15.537412155216121</v>
      </c>
      <c r="C484" s="64">
        <f t="shared" si="128"/>
        <v>5.4</v>
      </c>
      <c r="D484" s="85">
        <v>29.6</v>
      </c>
      <c r="E484" s="64">
        <f t="shared" si="126"/>
        <v>25.405656567957546</v>
      </c>
      <c r="F484" s="141">
        <f t="shared" si="129"/>
        <v>5.4</v>
      </c>
      <c r="G484" s="141">
        <f t="shared" si="130"/>
        <v>5.0599999999999996</v>
      </c>
      <c r="H484" s="90"/>
      <c r="I484" s="90"/>
      <c r="J484" s="90"/>
      <c r="K484" s="90"/>
      <c r="L484" s="90"/>
      <c r="O484" s="396" t="s">
        <v>358</v>
      </c>
      <c r="P484" s="88">
        <f t="shared" si="127"/>
        <v>4.32</v>
      </c>
      <c r="Q484" s="88">
        <f t="shared" si="127"/>
        <v>4.32</v>
      </c>
      <c r="R484" s="88">
        <f t="shared" si="127"/>
        <v>4.32</v>
      </c>
      <c r="S484" s="88">
        <f t="shared" si="127"/>
        <v>4.32</v>
      </c>
      <c r="T484" s="88">
        <f t="shared" si="127"/>
        <v>4.32</v>
      </c>
    </row>
    <row r="485" spans="1:20" ht="45">
      <c r="A485" s="396" t="s">
        <v>361</v>
      </c>
      <c r="B485" s="64">
        <f t="shared" si="125"/>
        <v>18.270346928527161</v>
      </c>
      <c r="C485" s="64">
        <f t="shared" si="128"/>
        <v>5.4</v>
      </c>
      <c r="D485" s="85">
        <v>42.6</v>
      </c>
      <c r="E485" s="64">
        <f t="shared" si="126"/>
        <v>30.228608043850425</v>
      </c>
      <c r="F485" s="141">
        <f t="shared" si="129"/>
        <v>5.4</v>
      </c>
      <c r="G485" s="141">
        <f t="shared" si="130"/>
        <v>5.0599999999999996</v>
      </c>
      <c r="H485" s="90"/>
      <c r="I485" s="90"/>
      <c r="J485" s="90"/>
      <c r="K485" s="90"/>
      <c r="L485" s="90"/>
      <c r="O485" s="396" t="s">
        <v>361</v>
      </c>
      <c r="P485" s="88">
        <f t="shared" si="127"/>
        <v>4.32</v>
      </c>
      <c r="Q485" s="88">
        <f t="shared" si="127"/>
        <v>4.32</v>
      </c>
      <c r="R485" s="88">
        <f t="shared" si="127"/>
        <v>4.32</v>
      </c>
      <c r="S485" s="88">
        <f t="shared" si="127"/>
        <v>4.32</v>
      </c>
      <c r="T485" s="88">
        <f t="shared" si="127"/>
        <v>4.32</v>
      </c>
    </row>
    <row r="486" spans="1:20" ht="45">
      <c r="A486" s="408" t="s">
        <v>362</v>
      </c>
      <c r="B486" s="64">
        <f t="shared" ref="B486:B492" si="131">L438</f>
        <v>17.137968830935986</v>
      </c>
      <c r="C486" s="64">
        <f t="shared" si="128"/>
        <v>5.4</v>
      </c>
      <c r="D486" s="85">
        <v>29.6</v>
      </c>
      <c r="E486" s="64">
        <f t="shared" ref="E486:E492" si="132">1/(SQRT((1/L455)^2+(1/(D486*E455)^2)))</f>
        <v>25.405656567957546</v>
      </c>
      <c r="F486" s="141">
        <f>MIN(B486,C486,E486)</f>
        <v>5.4</v>
      </c>
      <c r="G486" s="141">
        <f t="shared" si="130"/>
        <v>5.0599999999999996</v>
      </c>
      <c r="H486" s="90"/>
      <c r="I486" s="90"/>
      <c r="J486" s="90"/>
      <c r="K486" s="90"/>
      <c r="L486" s="90"/>
      <c r="O486" s="408" t="s">
        <v>362</v>
      </c>
      <c r="P486" s="88">
        <f t="shared" si="127"/>
        <v>4.32</v>
      </c>
      <c r="Q486" s="88">
        <f t="shared" si="127"/>
        <v>4.32</v>
      </c>
      <c r="R486" s="88">
        <f t="shared" si="127"/>
        <v>4.32</v>
      </c>
      <c r="S486" s="88">
        <f t="shared" si="127"/>
        <v>4.32</v>
      </c>
      <c r="T486" s="88">
        <f t="shared" si="127"/>
        <v>4.32</v>
      </c>
    </row>
    <row r="487" spans="1:20" ht="45">
      <c r="A487" s="408" t="s">
        <v>363</v>
      </c>
      <c r="B487" s="64">
        <f t="shared" si="131"/>
        <v>19.870903604247026</v>
      </c>
      <c r="C487" s="64">
        <f t="shared" si="128"/>
        <v>5.4</v>
      </c>
      <c r="D487" s="85">
        <v>42.6</v>
      </c>
      <c r="E487" s="64">
        <f t="shared" si="132"/>
        <v>30.228608043850425</v>
      </c>
      <c r="F487" s="141">
        <f>MIN(B487,C487,E487)</f>
        <v>5.4</v>
      </c>
      <c r="G487" s="141">
        <f t="shared" si="130"/>
        <v>5.0599999999999996</v>
      </c>
      <c r="H487" s="90"/>
      <c r="I487" s="90"/>
      <c r="J487" s="90"/>
      <c r="K487" s="90"/>
      <c r="L487" s="90"/>
      <c r="O487" s="408" t="s">
        <v>363</v>
      </c>
      <c r="P487" s="88">
        <f t="shared" si="127"/>
        <v>4.32</v>
      </c>
      <c r="Q487" s="88">
        <f t="shared" si="127"/>
        <v>4.32</v>
      </c>
      <c r="R487" s="88">
        <f t="shared" si="127"/>
        <v>4.32</v>
      </c>
      <c r="S487" s="88">
        <f t="shared" si="127"/>
        <v>4.32</v>
      </c>
      <c r="T487" s="88">
        <f t="shared" si="127"/>
        <v>4.32</v>
      </c>
    </row>
    <row r="488" spans="1:20" ht="45">
      <c r="A488" s="396" t="s">
        <v>364</v>
      </c>
      <c r="B488" s="64">
        <f t="shared" si="131"/>
        <v>12.374379139580027</v>
      </c>
      <c r="C488" s="64">
        <f t="shared" si="128"/>
        <v>5.4</v>
      </c>
      <c r="D488" s="85">
        <v>27.6</v>
      </c>
      <c r="E488" s="64">
        <f t="shared" si="132"/>
        <v>19.761222649658258</v>
      </c>
      <c r="F488" s="141">
        <f t="shared" si="129"/>
        <v>5.4</v>
      </c>
      <c r="G488" s="141">
        <f t="shared" si="130"/>
        <v>5.0599999999999996</v>
      </c>
      <c r="H488" s="90"/>
      <c r="I488" s="90"/>
      <c r="J488" s="90"/>
      <c r="K488" s="90"/>
      <c r="L488" s="90"/>
      <c r="O488" s="396" t="s">
        <v>364</v>
      </c>
      <c r="P488" s="88">
        <f t="shared" si="127"/>
        <v>4.32</v>
      </c>
      <c r="Q488" s="88">
        <f t="shared" si="127"/>
        <v>4.32</v>
      </c>
      <c r="R488" s="88">
        <f t="shared" si="127"/>
        <v>4.32</v>
      </c>
      <c r="S488" s="88">
        <f t="shared" si="127"/>
        <v>4.32</v>
      </c>
      <c r="T488" s="88">
        <f t="shared" si="127"/>
        <v>4.32</v>
      </c>
    </row>
    <row r="489" spans="1:20" ht="45" customHeight="1">
      <c r="A489" s="396" t="s">
        <v>365</v>
      </c>
      <c r="B489" s="64">
        <f t="shared" si="131"/>
        <v>17.840248686202102</v>
      </c>
      <c r="C489" s="64">
        <f t="shared" si="128"/>
        <v>5.4</v>
      </c>
      <c r="D489" s="85">
        <v>56.5</v>
      </c>
      <c r="E489" s="64">
        <f t="shared" si="132"/>
        <v>29.26363190050586</v>
      </c>
      <c r="F489" s="141">
        <f t="shared" si="129"/>
        <v>5.4</v>
      </c>
      <c r="G489" s="141">
        <f t="shared" si="130"/>
        <v>5.0599999999999996</v>
      </c>
      <c r="H489" s="90"/>
      <c r="I489" s="90"/>
      <c r="J489" s="90"/>
      <c r="K489" s="90"/>
      <c r="L489" s="90"/>
      <c r="O489" s="396" t="s">
        <v>365</v>
      </c>
      <c r="P489" s="88">
        <f t="shared" si="127"/>
        <v>4.32</v>
      </c>
      <c r="Q489" s="88">
        <f t="shared" si="127"/>
        <v>4.32</v>
      </c>
      <c r="R489" s="88">
        <f t="shared" si="127"/>
        <v>4.32</v>
      </c>
      <c r="S489" s="88">
        <f t="shared" si="127"/>
        <v>4.32</v>
      </c>
      <c r="T489" s="88">
        <f t="shared" si="127"/>
        <v>4.32</v>
      </c>
    </row>
    <row r="490" spans="1:20" ht="45" customHeight="1">
      <c r="A490" s="396" t="s">
        <v>366</v>
      </c>
      <c r="B490" s="64">
        <f t="shared" si="131"/>
        <v>23.306118232824183</v>
      </c>
      <c r="C490" s="64">
        <f t="shared" si="128"/>
        <v>5.4</v>
      </c>
      <c r="D490" s="85">
        <v>94.8</v>
      </c>
      <c r="E490" s="64">
        <f t="shared" si="132"/>
        <v>38.73832454314239</v>
      </c>
      <c r="F490" s="141">
        <f t="shared" si="129"/>
        <v>5.4</v>
      </c>
      <c r="G490" s="141">
        <f t="shared" si="130"/>
        <v>5.0599999999999996</v>
      </c>
      <c r="O490" s="396" t="s">
        <v>366</v>
      </c>
      <c r="P490" s="88">
        <f t="shared" si="127"/>
        <v>4.32</v>
      </c>
      <c r="Q490" s="88">
        <f t="shared" si="127"/>
        <v>4.32</v>
      </c>
      <c r="R490" s="88">
        <f t="shared" si="127"/>
        <v>4.32</v>
      </c>
      <c r="S490" s="88">
        <f t="shared" si="127"/>
        <v>4.32</v>
      </c>
      <c r="T490" s="88">
        <f t="shared" si="127"/>
        <v>4.32</v>
      </c>
    </row>
    <row r="491" spans="1:20" ht="45" customHeight="1">
      <c r="A491" s="396" t="s">
        <v>367</v>
      </c>
      <c r="B491" s="64">
        <f t="shared" si="131"/>
        <v>28.771987779446256</v>
      </c>
      <c r="C491" s="64">
        <f t="shared" si="128"/>
        <v>5.4</v>
      </c>
      <c r="D491" s="85">
        <v>94.8</v>
      </c>
      <c r="E491" s="64">
        <f t="shared" si="132"/>
        <v>48.006718847093246</v>
      </c>
      <c r="F491" s="141">
        <f t="shared" si="129"/>
        <v>5.4</v>
      </c>
      <c r="G491" s="141">
        <f t="shared" si="130"/>
        <v>5.0599999999999996</v>
      </c>
      <c r="O491" s="396" t="s">
        <v>367</v>
      </c>
      <c r="P491" s="88">
        <f t="shared" si="127"/>
        <v>4.32</v>
      </c>
      <c r="Q491" s="88">
        <f t="shared" si="127"/>
        <v>4.32</v>
      </c>
      <c r="R491" s="88">
        <f t="shared" si="127"/>
        <v>4.32</v>
      </c>
      <c r="S491" s="88">
        <f t="shared" si="127"/>
        <v>4.32</v>
      </c>
      <c r="T491" s="88">
        <f t="shared" si="127"/>
        <v>4.32</v>
      </c>
    </row>
    <row r="492" spans="1:20" ht="45" customHeight="1">
      <c r="A492" s="396" t="s">
        <v>368</v>
      </c>
      <c r="B492" s="64">
        <f t="shared" si="131"/>
        <v>34.237857326068337</v>
      </c>
      <c r="C492" s="64">
        <f t="shared" si="128"/>
        <v>5.4</v>
      </c>
      <c r="D492" s="85">
        <v>94.8</v>
      </c>
      <c r="E492" s="64">
        <f t="shared" si="132"/>
        <v>57.197446004414836</v>
      </c>
      <c r="F492" s="141">
        <f t="shared" si="129"/>
        <v>5.4</v>
      </c>
      <c r="G492" s="141">
        <f t="shared" si="130"/>
        <v>5.0599999999999996</v>
      </c>
      <c r="O492" s="396" t="s">
        <v>368</v>
      </c>
      <c r="P492" s="88">
        <f t="shared" si="127"/>
        <v>4.32</v>
      </c>
      <c r="Q492" s="88">
        <f t="shared" si="127"/>
        <v>4.32</v>
      </c>
      <c r="R492" s="88">
        <f t="shared" si="127"/>
        <v>4.32</v>
      </c>
      <c r="S492" s="88">
        <f t="shared" si="127"/>
        <v>4.32</v>
      </c>
      <c r="T492" s="88">
        <f t="shared" si="127"/>
        <v>4.32</v>
      </c>
    </row>
    <row r="493" spans="1:20">
      <c r="A493" s="3"/>
      <c r="D493" s="100"/>
    </row>
    <row r="494" spans="1:20" ht="18.75">
      <c r="A494" s="56" t="s">
        <v>84</v>
      </c>
      <c r="D494" s="100"/>
    </row>
    <row r="495" spans="1:20">
      <c r="A495" s="21" t="s">
        <v>37</v>
      </c>
      <c r="B495" s="22" t="s">
        <v>25</v>
      </c>
      <c r="D495" s="100"/>
    </row>
    <row r="496" spans="1:20" ht="18">
      <c r="A496" s="23" t="s">
        <v>39</v>
      </c>
      <c r="B496" s="24">
        <f>VLOOKUP(B495,$V$7:$W$16,2,FALSE)</f>
        <v>385</v>
      </c>
      <c r="C496" t="s">
        <v>40</v>
      </c>
      <c r="P496"/>
      <c r="Q496"/>
      <c r="R496"/>
      <c r="S496"/>
    </row>
    <row r="497" spans="1:19" ht="18">
      <c r="A497" s="23" t="s">
        <v>62</v>
      </c>
      <c r="B497" s="90">
        <v>35000</v>
      </c>
      <c r="C497" s="90">
        <v>20000</v>
      </c>
      <c r="D497" t="s">
        <v>63</v>
      </c>
      <c r="P497"/>
      <c r="Q497"/>
      <c r="R497"/>
      <c r="S497"/>
    </row>
    <row r="498" spans="1:19">
      <c r="A498" s="23" t="s">
        <v>64</v>
      </c>
      <c r="B498" s="90">
        <v>10</v>
      </c>
      <c r="C498" s="90">
        <v>8</v>
      </c>
      <c r="D498" t="s">
        <v>65</v>
      </c>
      <c r="P498"/>
      <c r="Q498"/>
      <c r="R498"/>
      <c r="S498"/>
    </row>
    <row r="499" spans="1:19" ht="18">
      <c r="A499" s="23" t="s">
        <v>66</v>
      </c>
      <c r="B499" s="101">
        <f>0.033*$B$496*B498^-0.3</f>
        <v>6.3675838032344938</v>
      </c>
      <c r="C499" s="101">
        <f>0.033*$B$496*C498^-0.3</f>
        <v>6.808440920761802</v>
      </c>
      <c r="D499" t="s">
        <v>67</v>
      </c>
      <c r="P499"/>
      <c r="Q499"/>
      <c r="R499"/>
      <c r="S499"/>
    </row>
    <row r="500" spans="1:19" ht="18">
      <c r="A500" s="23" t="s">
        <v>68</v>
      </c>
      <c r="B500" s="102">
        <f>0.082*B498^-0.3*$B$496</f>
        <v>15.822480965612984</v>
      </c>
      <c r="C500" s="102">
        <f>0.082*C498^-0.3*$B$496</f>
        <v>16.917944106135387</v>
      </c>
      <c r="D500" t="s">
        <v>67</v>
      </c>
      <c r="P500"/>
      <c r="Q500"/>
      <c r="R500"/>
      <c r="S500"/>
    </row>
    <row r="502" spans="1:19">
      <c r="A502" s="3"/>
      <c r="D502" s="100"/>
      <c r="P502"/>
      <c r="Q502"/>
      <c r="R502"/>
      <c r="S502"/>
    </row>
    <row r="503" spans="1:19">
      <c r="A503" s="3"/>
      <c r="P503"/>
      <c r="Q503"/>
      <c r="R503"/>
      <c r="S503"/>
    </row>
    <row r="504" spans="1:19" ht="18">
      <c r="A504" s="4" t="s">
        <v>2</v>
      </c>
      <c r="B504" s="5" t="s">
        <v>43</v>
      </c>
      <c r="C504" s="5" t="s">
        <v>9</v>
      </c>
      <c r="D504" s="5" t="s">
        <v>44</v>
      </c>
      <c r="E504" s="5" t="s">
        <v>59</v>
      </c>
      <c r="F504" s="180" t="s">
        <v>60</v>
      </c>
      <c r="G504" s="5" t="s">
        <v>61</v>
      </c>
      <c r="H504" s="165"/>
      <c r="I504" s="165"/>
      <c r="J504" s="165"/>
      <c r="K504" s="165"/>
      <c r="P504"/>
      <c r="Q504"/>
      <c r="R504"/>
      <c r="S504"/>
    </row>
    <row r="505" spans="1:19">
      <c r="A505" s="8"/>
      <c r="B505" s="9" t="s">
        <v>19</v>
      </c>
      <c r="C505" s="9" t="s">
        <v>18</v>
      </c>
      <c r="D505" s="9" t="s">
        <v>18</v>
      </c>
      <c r="E505" s="9" t="s">
        <v>17</v>
      </c>
      <c r="F505" s="182" t="s">
        <v>17</v>
      </c>
      <c r="G505" s="62" t="s">
        <v>17</v>
      </c>
      <c r="H505" s="165"/>
      <c r="I505" s="165"/>
      <c r="J505" s="165"/>
      <c r="K505" s="165"/>
      <c r="P505"/>
      <c r="Q505"/>
      <c r="R505"/>
      <c r="S505"/>
    </row>
    <row r="506" spans="1:19" hidden="1">
      <c r="A506" s="14" t="s">
        <v>29</v>
      </c>
      <c r="B506" s="66">
        <v>1</v>
      </c>
      <c r="C506" s="66">
        <v>8</v>
      </c>
      <c r="D506" s="34">
        <v>137</v>
      </c>
      <c r="E506" s="65">
        <f>(0.3*0.52*SQRT(C506)*D506^0.9*$B$496^0.8)/1000</f>
        <v>4.3260017012857244</v>
      </c>
      <c r="F506" s="426">
        <f>MIN($C$499*$C$498*D506/1000,(2.3*SQRT($C$497*$C$498*$C$499))/1000+(E506/4),$C$499*$C$498*D506/1000*(SQRT(2+4*$C$497/($C$499*$C$498*D506^2))-1)+E506/4)</f>
        <v>3.482055443506348</v>
      </c>
      <c r="G506" s="65" t="e">
        <f>B506*F506+#REF!*K506</f>
        <v>#REF!</v>
      </c>
      <c r="H506" s="122">
        <v>8</v>
      </c>
      <c r="I506" s="314">
        <f>160-10</f>
        <v>150</v>
      </c>
      <c r="J506" s="123">
        <f>0.3*0.52*SQRT(H506)*I506^0.9*$B$496^0.8/1000</f>
        <v>4.6937538287484974</v>
      </c>
      <c r="K506" s="123">
        <f>MIN($C$499*$C$498*I506/1000,(2.3*SQRT($C$497*$C$498*$C$499))/1000+(J506/4),$C$499*$C$498*I506/1000*(SQRT(2+4*$C$497/($C$499*$C$498*I506^2))-1)+J506/4)</f>
        <v>3.573993475372041</v>
      </c>
      <c r="P506"/>
      <c r="Q506"/>
      <c r="R506"/>
      <c r="S506"/>
    </row>
    <row r="507" spans="1:19" hidden="1">
      <c r="A507" s="44" t="s">
        <v>30</v>
      </c>
      <c r="B507" s="66">
        <v>1</v>
      </c>
      <c r="C507" s="66">
        <v>8</v>
      </c>
      <c r="D507" s="34">
        <v>137</v>
      </c>
      <c r="E507" s="65">
        <f t="shared" ref="E507:E513" si="133">(0.3*0.52*SQRT(C507)*D507^0.9*$B$496^0.8)/1000</f>
        <v>4.3260017012857244</v>
      </c>
      <c r="F507" s="426">
        <f>MIN($C$499*$C$498*D507/1000,(2.3*SQRT($C$497*$C$498*$C$499))/1000+(E507/4),$C$499*$C$498*D507/1000*(SQRT(2+4*$C$497/($C$499*$C$498*D507^2))-1)+E507/4)</f>
        <v>3.482055443506348</v>
      </c>
      <c r="G507" s="65" t="e">
        <f>B507*F507+#REF!*K507</f>
        <v>#REF!</v>
      </c>
      <c r="H507" s="122">
        <v>8</v>
      </c>
      <c r="I507" s="314">
        <f>160-10</f>
        <v>150</v>
      </c>
      <c r="J507" s="123">
        <f t="shared" ref="J507:J513" si="134">0.3*0.52*SQRT(H507)*I507^0.9*$B$496^0.8/1000</f>
        <v>4.6937538287484974</v>
      </c>
      <c r="K507" s="123">
        <f>MIN($C$499*$C$498*I507/1000,(2.3*SQRT($C$497*$C$498*$C$499))/1000+(J507/4),$C$499*$C$498*I507/1000*(SQRT(2+4*$C$497/($C$499*$C$498*I507^2))-1)+J507/4)</f>
        <v>3.573993475372041</v>
      </c>
      <c r="P507"/>
      <c r="Q507"/>
      <c r="R507"/>
      <c r="S507"/>
    </row>
    <row r="508" spans="1:19" hidden="1">
      <c r="A508" s="14" t="s">
        <v>31</v>
      </c>
      <c r="B508" s="66">
        <v>1</v>
      </c>
      <c r="C508" s="66">
        <v>8</v>
      </c>
      <c r="D508" s="34">
        <v>137</v>
      </c>
      <c r="E508" s="65">
        <f t="shared" si="133"/>
        <v>4.3260017012857244</v>
      </c>
      <c r="F508" s="426">
        <f>MIN($C$499*$C$498*D508/1000,(2.3*SQRT($C$497*$C$498*$C$499))/1000+(E508/4),$C$499*$C$498*D508/1000*(SQRT(2+4*$C$497/($C$499*$C$498*D508^2))-1)+E508/4)</f>
        <v>3.482055443506348</v>
      </c>
      <c r="G508" s="65" t="e">
        <f>B508*F508+#REF!*K508</f>
        <v>#REF!</v>
      </c>
      <c r="H508" s="122">
        <v>8</v>
      </c>
      <c r="I508" s="314">
        <f>160-10</f>
        <v>150</v>
      </c>
      <c r="J508" s="123">
        <f t="shared" si="134"/>
        <v>4.6937538287484974</v>
      </c>
      <c r="K508" s="123">
        <f>MIN($C$499*$C$498*I508/1000,(2.3*SQRT($C$497*$C$498*$C$499))/1000+(J508/4),$C$499*$C$498*I508/1000*(SQRT(2+4*$C$497/($C$499*$C$498*I508^2))-1)+J508/4)</f>
        <v>3.573993475372041</v>
      </c>
      <c r="P508"/>
      <c r="Q508"/>
      <c r="R508"/>
      <c r="S508"/>
    </row>
    <row r="509" spans="1:19" hidden="1">
      <c r="A509" s="44" t="s">
        <v>32</v>
      </c>
      <c r="B509" s="66">
        <v>1</v>
      </c>
      <c r="C509" s="66">
        <v>8</v>
      </c>
      <c r="D509" s="34">
        <v>137</v>
      </c>
      <c r="E509" s="65">
        <f t="shared" si="133"/>
        <v>4.3260017012857244</v>
      </c>
      <c r="F509" s="426">
        <f>MIN($C$499*$C$498*D509/1000,(2.3*SQRT($C$497*$C$498*$C$499))/1000+(E509/4),$C$499*$C$498*D509/1000*(SQRT(2+4*$C$497/($C$499*$C$498*D509^2))-1)+E509/4)</f>
        <v>3.482055443506348</v>
      </c>
      <c r="G509" s="65" t="e">
        <f>B509*F509+#REF!*K509</f>
        <v>#REF!</v>
      </c>
      <c r="H509" s="122">
        <v>8</v>
      </c>
      <c r="I509" s="314">
        <f>160-10</f>
        <v>150</v>
      </c>
      <c r="J509" s="123">
        <f t="shared" si="134"/>
        <v>4.6937538287484974</v>
      </c>
      <c r="K509" s="123">
        <f>MIN($C$499*$C$498*I509/1000,(2.3*SQRT($C$497*$C$498*$C$499))/1000+(J509/4),$C$499*$C$498*I509/1000*(SQRT(2+4*$C$497/($C$499*$C$498*I509^2))-1)+J509/4)</f>
        <v>3.573993475372041</v>
      </c>
      <c r="P509"/>
      <c r="Q509"/>
      <c r="R509"/>
      <c r="S509"/>
    </row>
    <row r="510" spans="1:19" hidden="1">
      <c r="A510" s="14" t="s">
        <v>33</v>
      </c>
      <c r="B510" s="66">
        <v>1</v>
      </c>
      <c r="C510" s="66">
        <v>10</v>
      </c>
      <c r="D510" s="34">
        <v>175</v>
      </c>
      <c r="E510" s="65">
        <f t="shared" si="133"/>
        <v>6.0287520940422592</v>
      </c>
      <c r="F510" s="426">
        <f>MIN($B$499*$B$498*D510/1000,(2.3*SQRT($B$497*$B$498*$B$499))/1000+(E510/4),$B$499*$B$498*D510/1000*(SQRT(2+4*$B$497/($B$499*$B$498*D510^2))-1)+E510/4)</f>
        <v>4.9407840119298001</v>
      </c>
      <c r="G510" s="65" t="e">
        <f>B510*F510+#REF!*K510</f>
        <v>#REF!</v>
      </c>
      <c r="H510" s="122">
        <v>10</v>
      </c>
      <c r="I510" s="314">
        <v>190</v>
      </c>
      <c r="J510" s="123">
        <f t="shared" si="134"/>
        <v>6.4918940417166029</v>
      </c>
      <c r="K510" s="123">
        <f>MIN($B$499*$B$498*I510/1000,(2.3*SQRT($B$497*$B$498*$B$499))/1000+(J510/4),$B$499*$B$498*I510/1000*(SQRT(2+4*$B$497/($B$499*$B$498*I510^2))-1)+J510/4)</f>
        <v>5.0565694988483862</v>
      </c>
      <c r="P510"/>
      <c r="Q510"/>
      <c r="R510"/>
      <c r="S510"/>
    </row>
    <row r="511" spans="1:19" hidden="1">
      <c r="A511" s="44" t="s">
        <v>34</v>
      </c>
      <c r="B511" s="66">
        <v>1</v>
      </c>
      <c r="C511" s="66">
        <v>10</v>
      </c>
      <c r="D511" s="34">
        <v>175</v>
      </c>
      <c r="E511" s="65">
        <f t="shared" si="133"/>
        <v>6.0287520940422592</v>
      </c>
      <c r="F511" s="426">
        <f>MIN($B$499*$B$498*D511/1000,(2.3*SQRT($B$497*$B$498*$B$499))/1000+(E511/4),$B$499*$B$498*D511/1000*(SQRT(2+4*$B$497/($B$499*$B$498*D511^2))-1)+E511/4)</f>
        <v>4.9407840119298001</v>
      </c>
      <c r="G511" s="65" t="e">
        <f>B511*F511+#REF!*K511</f>
        <v>#REF!</v>
      </c>
      <c r="H511" s="122">
        <v>10</v>
      </c>
      <c r="I511" s="314">
        <v>190</v>
      </c>
      <c r="J511" s="123">
        <f t="shared" si="134"/>
        <v>6.4918940417166029</v>
      </c>
      <c r="K511" s="123">
        <f>MIN($B$499*$B$498*I511/1000,(2.3*SQRT($B$497*$B$498*$B$499))/1000+(J511/4),$B$499*$B$498*I511/1000*(SQRT(2+4*$B$497/($B$499*$B$498*I511^2))-1)+J511/4)</f>
        <v>5.0565694988483862</v>
      </c>
      <c r="P511"/>
      <c r="Q511"/>
      <c r="R511"/>
      <c r="S511"/>
    </row>
    <row r="512" spans="1:19" hidden="1">
      <c r="A512" s="44" t="s">
        <v>35</v>
      </c>
      <c r="B512" s="66">
        <v>1</v>
      </c>
      <c r="C512" s="66">
        <v>10</v>
      </c>
      <c r="D512" s="34">
        <v>175</v>
      </c>
      <c r="E512" s="65">
        <f t="shared" si="133"/>
        <v>6.0287520940422592</v>
      </c>
      <c r="F512" s="426">
        <f>MIN($B$499*$B$498*D512/1000,(2.3*SQRT($B$497*$B$498*$B$499))/1000+(E512/4),$B$499*$B$498*D512/1000*(SQRT(2+4*$B$497/($B$499*$B$498*D512^2))-1)+E512/4)</f>
        <v>4.9407840119298001</v>
      </c>
      <c r="G512" s="65" t="e">
        <f>B512*F512+#REF!*K512</f>
        <v>#REF!</v>
      </c>
      <c r="H512" s="122">
        <v>10</v>
      </c>
      <c r="I512" s="314">
        <v>190</v>
      </c>
      <c r="J512" s="123">
        <f t="shared" si="134"/>
        <v>6.4918940417166029</v>
      </c>
      <c r="K512" s="123">
        <f>MIN($B$499*$B$498*I512/1000,(2.3*SQRT($B$497*$B$498*$B$499))/1000+(J512/4),$B$499*$B$498*I512/1000*(SQRT(2+4*$B$497/($B$499*$B$498*I512^2))-1)+J512/4)</f>
        <v>5.0565694988483862</v>
      </c>
      <c r="P512"/>
      <c r="Q512"/>
      <c r="R512"/>
      <c r="S512"/>
    </row>
    <row r="513" spans="1:19" hidden="1">
      <c r="A513" s="14" t="s">
        <v>36</v>
      </c>
      <c r="B513" s="66">
        <v>1</v>
      </c>
      <c r="C513" s="66">
        <v>10</v>
      </c>
      <c r="D513" s="34">
        <v>175</v>
      </c>
      <c r="E513" s="65">
        <f t="shared" si="133"/>
        <v>6.0287520940422592</v>
      </c>
      <c r="F513" s="426">
        <f>MIN($B$499*$B$498*D513/1000,(2.3*SQRT($B$497*$B$498*$B$499))/1000+(E513/4),$B$499*$B$498*D513/1000*(SQRT(2+4*$B$497/($B$499*$B$498*D513^2))-1)+E513/4)</f>
        <v>4.9407840119298001</v>
      </c>
      <c r="G513" s="65" t="e">
        <f>B513*F513+#REF!*K513</f>
        <v>#REF!</v>
      </c>
      <c r="H513" s="122">
        <v>10</v>
      </c>
      <c r="I513" s="314">
        <v>190</v>
      </c>
      <c r="J513" s="123">
        <f t="shared" si="134"/>
        <v>6.4918940417166029</v>
      </c>
      <c r="K513" s="123">
        <f>MIN($B$499*$B$498*I513/1000,(2.3*SQRT($B$497*$B$498*$B$499))/1000+(J513/4),$B$499*$B$498*I513/1000*(SQRT(2+4*$B$497/($B$499*$B$498*I513^2))-1)+J513/4)</f>
        <v>5.0565694988483862</v>
      </c>
      <c r="P513"/>
      <c r="Q513"/>
      <c r="R513"/>
      <c r="S513"/>
    </row>
    <row r="514" spans="1:19" ht="30">
      <c r="A514" s="424" t="s">
        <v>377</v>
      </c>
      <c r="B514" s="66">
        <v>10</v>
      </c>
      <c r="C514" s="66">
        <v>8</v>
      </c>
      <c r="D514" s="34">
        <v>150</v>
      </c>
      <c r="E514" s="65">
        <f t="shared" ref="E514:E519" si="135">($E$520*0.52*SQRT(C514)*D514^0.9*$B$496^0.8)/1000</f>
        <v>4.6937538287484974</v>
      </c>
      <c r="F514" s="426">
        <f>MIN($C$499*$C$498*D514/1000,(2.3*SQRT($C$497*$C$498*$C$499))/1000+(E514/4),$C$499*$C$498*D514/1000*(SQRT(2+4*$C$497/($C$499*$C$498*D514^2))-1)+E514/4)</f>
        <v>3.573993475372041</v>
      </c>
      <c r="G514" s="65">
        <f t="shared" ref="G514:G519" si="136">B514^0.9*F514</f>
        <v>28.389239282083743</v>
      </c>
      <c r="H514" s="122"/>
      <c r="I514" s="314"/>
      <c r="J514" s="123"/>
      <c r="K514" s="123"/>
      <c r="P514"/>
      <c r="Q514"/>
      <c r="R514"/>
      <c r="S514"/>
    </row>
    <row r="515" spans="1:19" ht="30">
      <c r="A515" s="342" t="s">
        <v>379</v>
      </c>
      <c r="B515" s="66">
        <v>10</v>
      </c>
      <c r="C515" s="66">
        <v>8</v>
      </c>
      <c r="D515" s="34">
        <v>230</v>
      </c>
      <c r="E515" s="65">
        <f t="shared" si="135"/>
        <v>6.8959360897190116</v>
      </c>
      <c r="F515" s="426">
        <f>MIN($C$499*$C$498*D515/1000,(2.3*SQRT($C$497*$C$498*$C$499))/1000+(E515/4),$C$499*$C$498*D515/1000*(SQRT(2+4*$C$497/($C$499*$C$498*D515^2))-1)+E515/4)</f>
        <v>4.1245390406146694</v>
      </c>
      <c r="G515" s="65">
        <f t="shared" si="136"/>
        <v>32.762378151828329</v>
      </c>
      <c r="H515" s="122"/>
      <c r="I515" s="314"/>
      <c r="J515" s="123"/>
      <c r="K515" s="123"/>
      <c r="P515"/>
      <c r="Q515"/>
      <c r="R515"/>
      <c r="S515"/>
    </row>
    <row r="516" spans="1:19" ht="30">
      <c r="A516" s="342" t="s">
        <v>380</v>
      </c>
      <c r="B516" s="66">
        <v>16</v>
      </c>
      <c r="C516" s="66">
        <v>8</v>
      </c>
      <c r="D516" s="34">
        <v>150</v>
      </c>
      <c r="E516" s="65">
        <f t="shared" si="135"/>
        <v>4.6937538287484974</v>
      </c>
      <c r="F516" s="426">
        <f>MIN($C$499*$C$498*D516/1000,(2.3*SQRT($C$497*$C$498*$C$499))/1000+(E516/4),$C$499*$C$498*D516/1000*(SQRT(2+4*$C$497/($C$499*$C$498*D516^2))-1)+E516/4)</f>
        <v>3.573993475372041</v>
      </c>
      <c r="G516" s="65">
        <f t="shared" si="136"/>
        <v>43.337288953771797</v>
      </c>
      <c r="H516" s="122"/>
      <c r="I516" s="314"/>
      <c r="J516" s="123"/>
      <c r="K516" s="123"/>
      <c r="P516"/>
      <c r="Q516"/>
      <c r="R516"/>
      <c r="S516"/>
    </row>
    <row r="517" spans="1:19" ht="30">
      <c r="A517" s="342" t="s">
        <v>381</v>
      </c>
      <c r="B517" s="66">
        <v>16</v>
      </c>
      <c r="C517" s="66">
        <v>8</v>
      </c>
      <c r="D517" s="34">
        <v>230</v>
      </c>
      <c r="E517" s="65">
        <f t="shared" si="135"/>
        <v>6.8959360897190116</v>
      </c>
      <c r="F517" s="426">
        <f>MIN($C$499*$C$498*D517/1000,(2.3*SQRT($C$497*$C$498*$C$499))/1000+(E517/4),$C$499*$C$498*D517/1000*(SQRT(2+4*$C$497/($C$499*$C$498*D517^2))-1)+E517/4)</f>
        <v>4.1245390406146694</v>
      </c>
      <c r="G517" s="65">
        <f t="shared" si="136"/>
        <v>50.013057224628461</v>
      </c>
      <c r="H517" s="122"/>
      <c r="I517" s="314"/>
      <c r="J517" s="123"/>
      <c r="K517" s="123"/>
      <c r="P517"/>
      <c r="Q517"/>
      <c r="R517"/>
      <c r="S517"/>
    </row>
    <row r="518" spans="1:19" ht="30">
      <c r="A518" s="342" t="s">
        <v>383</v>
      </c>
      <c r="B518" s="66">
        <v>16</v>
      </c>
      <c r="C518" s="66">
        <v>10</v>
      </c>
      <c r="D518" s="34">
        <v>190</v>
      </c>
      <c r="E518" s="65">
        <f t="shared" si="135"/>
        <v>6.4918940417166029</v>
      </c>
      <c r="F518" s="426">
        <f>MIN($B$499*$B$498*D518/1000,(2.3*SQRT($B$497*$B$498*$B$499))/1000+(E518/4),$B$499*$B$498*D518/1000*(SQRT(2+4*$B$497/($B$499*$B$498*D518^2))-1)+E518/4)</f>
        <v>5.0565694988483862</v>
      </c>
      <c r="G518" s="65">
        <f t="shared" si="136"/>
        <v>61.314609272925438</v>
      </c>
      <c r="H518" s="122"/>
      <c r="I518" s="314"/>
      <c r="J518" s="123"/>
      <c r="K518" s="123"/>
      <c r="P518"/>
      <c r="Q518"/>
      <c r="R518"/>
      <c r="S518"/>
    </row>
    <row r="519" spans="1:19" ht="30">
      <c r="A519" s="342" t="s">
        <v>382</v>
      </c>
      <c r="B519" s="66">
        <v>25</v>
      </c>
      <c r="C519" s="66">
        <v>10</v>
      </c>
      <c r="D519" s="34">
        <v>190</v>
      </c>
      <c r="E519" s="65">
        <f t="shared" si="135"/>
        <v>6.4918940417166029</v>
      </c>
      <c r="F519" s="426">
        <f>MIN($B$499*$B$498*D519/1000,(2.3*SQRT($B$497*$B$498*$B$499))/1000+(E519/4),$B$499*$B$498*D519/1000*(SQRT(2+4*$B$497/($B$499*$B$498*D519^2))-1)+E519/4)</f>
        <v>5.0565694988483862</v>
      </c>
      <c r="G519" s="65">
        <f t="shared" si="136"/>
        <v>91.622468518455676</v>
      </c>
      <c r="H519" s="122"/>
      <c r="I519" s="314"/>
      <c r="J519" s="123"/>
      <c r="K519" s="123"/>
      <c r="P519"/>
      <c r="Q519"/>
      <c r="R519"/>
      <c r="S519"/>
    </row>
    <row r="520" spans="1:19">
      <c r="B520" s="90"/>
      <c r="C520" s="90"/>
      <c r="D520" s="133" t="s">
        <v>355</v>
      </c>
      <c r="E520" s="369">
        <v>0.3</v>
      </c>
      <c r="F520" s="90"/>
      <c r="G520" s="90"/>
      <c r="H520" s="90"/>
      <c r="I520" s="90"/>
      <c r="J520" s="90"/>
      <c r="K520" s="90"/>
      <c r="L520" s="90"/>
      <c r="P520"/>
      <c r="Q520"/>
      <c r="R520"/>
      <c r="S520"/>
    </row>
    <row r="521" spans="1:19"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P521"/>
      <c r="Q521"/>
      <c r="R521"/>
      <c r="S521"/>
    </row>
    <row r="522" spans="1:19" ht="18">
      <c r="A522" s="4" t="s">
        <v>2</v>
      </c>
      <c r="B522" s="113" t="s">
        <v>43</v>
      </c>
      <c r="C522" s="113" t="s">
        <v>9</v>
      </c>
      <c r="D522" s="113" t="s">
        <v>80</v>
      </c>
      <c r="E522" s="113" t="s">
        <v>81</v>
      </c>
      <c r="F522" s="427" t="s">
        <v>82</v>
      </c>
      <c r="G522" s="113" t="s">
        <v>83</v>
      </c>
      <c r="H522" s="121"/>
      <c r="I522" s="121"/>
      <c r="J522" s="121"/>
      <c r="K522" s="121"/>
      <c r="P522"/>
      <c r="Q522"/>
      <c r="R522"/>
      <c r="S522"/>
    </row>
    <row r="523" spans="1:19">
      <c r="A523" s="8"/>
      <c r="B523" s="47" t="s">
        <v>19</v>
      </c>
      <c r="C523" s="47" t="s">
        <v>18</v>
      </c>
      <c r="D523" s="47" t="s">
        <v>18</v>
      </c>
      <c r="E523" s="47" t="s">
        <v>17</v>
      </c>
      <c r="F523" s="428" t="s">
        <v>17</v>
      </c>
      <c r="G523" s="124" t="s">
        <v>17</v>
      </c>
      <c r="H523" s="121"/>
      <c r="I523" s="121"/>
      <c r="J523" s="121"/>
      <c r="K523" s="121"/>
      <c r="P523"/>
      <c r="Q523"/>
      <c r="R523"/>
      <c r="S523"/>
    </row>
    <row r="524" spans="1:19" hidden="1">
      <c r="A524" s="14" t="s">
        <v>29</v>
      </c>
      <c r="B524" s="66">
        <v>1</v>
      </c>
      <c r="C524" s="66">
        <v>8</v>
      </c>
      <c r="D524" s="34">
        <f>80-23</f>
        <v>57</v>
      </c>
      <c r="E524" s="65">
        <f t="shared" ref="E524:E537" si="137">(0.52*SQRT(C524)*D524^0.9*$B$496^0.8)/1000</f>
        <v>6.5494418543005892</v>
      </c>
      <c r="F524" s="426">
        <f>MIN($C$500*$C$498*D524/1000,(2.3*SQRT($C$497*$C$498*$C$500))/1000+(E524/4),$C$500*$C$498*D524/1000*(SQRT(2+4*$C$497/($C$500*$C$498*D524^2))-1)+E524/4)</f>
        <v>5.3182617456072272</v>
      </c>
      <c r="G524" s="65" t="e">
        <f>B524*F524+#REF!*K524</f>
        <v>#REF!</v>
      </c>
      <c r="H524" s="122"/>
      <c r="I524" s="314"/>
      <c r="J524" s="123"/>
      <c r="K524" s="123"/>
      <c r="P524"/>
      <c r="Q524"/>
      <c r="R524"/>
      <c r="S524"/>
    </row>
    <row r="525" spans="1:19" hidden="1">
      <c r="A525" s="44" t="s">
        <v>30</v>
      </c>
      <c r="B525" s="66">
        <v>1</v>
      </c>
      <c r="C525" s="66">
        <v>8</v>
      </c>
      <c r="D525" s="34">
        <f>80-23</f>
        <v>57</v>
      </c>
      <c r="E525" s="65">
        <f t="shared" si="137"/>
        <v>6.5494418543005892</v>
      </c>
      <c r="F525" s="426">
        <f>MIN($C$500*$C$498*D525/1000,(2.3*SQRT($C$497*$C$498*$C$500))/1000+(E525/4),$C$500*$C$498*D525/1000*(SQRT(2+4*$C$497/($C$500*$C$498*D525^2))-1)+E525/4)</f>
        <v>5.3182617456072272</v>
      </c>
      <c r="G525" s="65" t="e">
        <f>B525*F525+#REF!*K525</f>
        <v>#REF!</v>
      </c>
      <c r="H525" s="122"/>
      <c r="I525" s="314"/>
      <c r="J525" s="123"/>
      <c r="K525" s="123"/>
      <c r="P525"/>
      <c r="Q525"/>
      <c r="R525"/>
      <c r="S525"/>
    </row>
    <row r="526" spans="1:19" hidden="1">
      <c r="A526" s="14" t="s">
        <v>31</v>
      </c>
      <c r="B526" s="66">
        <v>1</v>
      </c>
      <c r="C526" s="66">
        <v>8</v>
      </c>
      <c r="D526" s="34">
        <f>80-23</f>
        <v>57</v>
      </c>
      <c r="E526" s="65">
        <f t="shared" si="137"/>
        <v>6.5494418543005892</v>
      </c>
      <c r="F526" s="426">
        <f>MIN($C$500*$C$498*D526/1000,(2.3*SQRT($C$497*$C$498*$C$500))/1000+(E526/4),$C$500*$C$498*D526/1000*(SQRT(2+4*$C$497/($C$500*$C$498*D526^2))-1)+E526/4)</f>
        <v>5.3182617456072272</v>
      </c>
      <c r="G526" s="65" t="e">
        <f>B526*F526+#REF!*K526</f>
        <v>#REF!</v>
      </c>
      <c r="H526" s="122"/>
      <c r="I526" s="314"/>
      <c r="J526" s="123"/>
      <c r="K526" s="123"/>
      <c r="P526"/>
      <c r="Q526"/>
      <c r="R526"/>
      <c r="S526"/>
    </row>
    <row r="527" spans="1:19" hidden="1">
      <c r="A527" s="44" t="s">
        <v>32</v>
      </c>
      <c r="B527" s="66">
        <v>1</v>
      </c>
      <c r="C527" s="66">
        <v>8</v>
      </c>
      <c r="D527" s="34">
        <f>80-23</f>
        <v>57</v>
      </c>
      <c r="E527" s="65">
        <f t="shared" si="137"/>
        <v>6.5494418543005892</v>
      </c>
      <c r="F527" s="426">
        <f>MIN($C$500*$C$498*D527/1000,(2.3*SQRT($C$497*$C$498*$C$500))/1000+(E527/4),$C$500*$C$498*D527/1000*(SQRT(2+4*$C$497/($C$500*$C$498*D527^2))-1)+E527/4)</f>
        <v>5.3182617456072272</v>
      </c>
      <c r="G527" s="65" t="e">
        <f>B527*F527+#REF!*K527</f>
        <v>#REF!</v>
      </c>
      <c r="H527" s="122"/>
      <c r="I527" s="314"/>
      <c r="J527" s="123"/>
      <c r="K527" s="123"/>
      <c r="P527"/>
      <c r="Q527"/>
      <c r="R527"/>
      <c r="S527"/>
    </row>
    <row r="528" spans="1:19" hidden="1">
      <c r="A528" s="14" t="s">
        <v>33</v>
      </c>
      <c r="B528" s="66">
        <v>1</v>
      </c>
      <c r="C528" s="66">
        <v>10</v>
      </c>
      <c r="D528" s="34">
        <f>100-25</f>
        <v>75</v>
      </c>
      <c r="E528" s="65">
        <f t="shared" si="137"/>
        <v>9.3740456535592109</v>
      </c>
      <c r="F528" s="426">
        <f>MIN($B$500*$B$498*D528/1000,(2.3*SQRT($B$497*$B$498*$B$500))/1000+(E528/4),$B$500*$B$498*D528/1000*(SQRT(2+4*$B$497/($B$500*$B$498*D528^2))-1)+E528/4)</f>
        <v>7.7560268644377199</v>
      </c>
      <c r="G528" s="65" t="e">
        <f>B528*F528+#REF!*K528</f>
        <v>#REF!</v>
      </c>
      <c r="H528" s="122"/>
      <c r="I528" s="314"/>
      <c r="J528" s="123"/>
      <c r="K528" s="123"/>
      <c r="P528"/>
      <c r="Q528"/>
      <c r="R528"/>
      <c r="S528"/>
    </row>
    <row r="529" spans="1:20" hidden="1">
      <c r="A529" s="44" t="s">
        <v>34</v>
      </c>
      <c r="B529" s="66">
        <v>1</v>
      </c>
      <c r="C529" s="66">
        <v>10</v>
      </c>
      <c r="D529" s="34">
        <f>100-25</f>
        <v>75</v>
      </c>
      <c r="E529" s="65">
        <f t="shared" si="137"/>
        <v>9.3740456535592109</v>
      </c>
      <c r="F529" s="426">
        <f>MIN($B$500*$B$498*D529/1000,(2.3*SQRT($B$497*$B$498*$B$500))/1000+(E529/4),$B$500*$B$498*D529/1000*(SQRT(2+4*$B$497/($B$500*$B$498*D529^2))-1)+E529/4)</f>
        <v>7.7560268644377199</v>
      </c>
      <c r="G529" s="65" t="e">
        <f>B529*F529+#REF!*K529</f>
        <v>#REF!</v>
      </c>
      <c r="H529" s="122"/>
      <c r="I529" s="314"/>
      <c r="J529" s="123"/>
      <c r="K529" s="123"/>
      <c r="P529"/>
      <c r="Q529"/>
      <c r="R529"/>
      <c r="S529"/>
    </row>
    <row r="530" spans="1:20" hidden="1">
      <c r="A530" s="44" t="s">
        <v>35</v>
      </c>
      <c r="B530" s="66">
        <v>1</v>
      </c>
      <c r="C530" s="66">
        <v>10</v>
      </c>
      <c r="D530" s="34">
        <f>100-25</f>
        <v>75</v>
      </c>
      <c r="E530" s="65">
        <f t="shared" si="137"/>
        <v>9.3740456535592109</v>
      </c>
      <c r="F530" s="426">
        <f>MIN($B$500*$B$498*D530/1000,(2.3*SQRT($B$497*$B$498*$B$500))/1000+(E530/4),$B$500*$B$498*D530/1000*(SQRT(2+4*$B$497/($B$500*$B$498*D530^2))-1)+E530/4)</f>
        <v>7.7560268644377199</v>
      </c>
      <c r="G530" s="65" t="e">
        <f>B530*F530+#REF!*K530</f>
        <v>#REF!</v>
      </c>
      <c r="H530" s="122"/>
      <c r="I530" s="314"/>
      <c r="J530" s="123"/>
      <c r="K530" s="123"/>
      <c r="P530"/>
      <c r="Q530"/>
      <c r="R530"/>
      <c r="S530"/>
    </row>
    <row r="531" spans="1:20" hidden="1">
      <c r="A531" s="14" t="s">
        <v>36</v>
      </c>
      <c r="B531" s="66">
        <v>1</v>
      </c>
      <c r="C531" s="66">
        <v>10</v>
      </c>
      <c r="D531" s="34">
        <f>100-25</f>
        <v>75</v>
      </c>
      <c r="E531" s="65">
        <f t="shared" si="137"/>
        <v>9.3740456535592109</v>
      </c>
      <c r="F531" s="426">
        <f>MIN($B$500*$B$498*D531/1000,(2.3*SQRT($B$497*$B$498*$B$500))/1000+(E531/4),$B$500*$B$498*D531/1000*(SQRT(2+4*$B$497/($B$500*$B$498*D531^2))-1)+E531/4)</f>
        <v>7.7560268644377199</v>
      </c>
      <c r="G531" s="65" t="e">
        <f>B531*F531+#REF!*K531</f>
        <v>#REF!</v>
      </c>
      <c r="H531" s="122"/>
      <c r="I531" s="314"/>
      <c r="J531" s="123"/>
      <c r="K531" s="123"/>
      <c r="P531"/>
      <c r="Q531"/>
      <c r="R531"/>
      <c r="S531"/>
    </row>
    <row r="532" spans="1:20" ht="30">
      <c r="A532" s="424" t="s">
        <v>377</v>
      </c>
      <c r="B532" s="66">
        <v>10</v>
      </c>
      <c r="C532" s="66">
        <v>8</v>
      </c>
      <c r="D532" s="34">
        <v>70</v>
      </c>
      <c r="E532" s="65">
        <f t="shared" si="137"/>
        <v>7.8796178754106014</v>
      </c>
      <c r="F532" s="426">
        <f>MIN($C$500*$C$498*D532/1000,(2.3*SQRT($C$497*$C$498*$C$500))/1000+(E532/4),$C$500*$C$498*D532/1000*(SQRT(2+4*$C$497/($C$500*$C$498*D532^2))-1)+E532/4)</f>
        <v>5.7539958910348616</v>
      </c>
      <c r="G532" s="65">
        <f t="shared" ref="G532:G537" si="138">B532^0.9*F532</f>
        <v>45.70561398736492</v>
      </c>
      <c r="H532" s="122"/>
      <c r="I532" s="314"/>
      <c r="J532" s="123"/>
      <c r="K532" s="123"/>
      <c r="P532"/>
      <c r="Q532"/>
      <c r="R532"/>
      <c r="S532"/>
    </row>
    <row r="533" spans="1:20" ht="30">
      <c r="A533" s="342" t="s">
        <v>379</v>
      </c>
      <c r="B533" s="66">
        <v>10</v>
      </c>
      <c r="C533" s="66">
        <v>8</v>
      </c>
      <c r="D533" s="34">
        <v>70</v>
      </c>
      <c r="E533" s="65">
        <f t="shared" si="137"/>
        <v>7.8796178754106014</v>
      </c>
      <c r="F533" s="426">
        <f>MIN($C$500*$C$498*D533/1000,(2.3*SQRT($C$497*$C$498*$C$500))/1000+(E533/4),$C$500*$C$498*D533/1000*(SQRT(2+4*$C$497/($C$500*$C$498*D533^2))-1)+E533/4)</f>
        <v>5.7539958910348616</v>
      </c>
      <c r="G533" s="65">
        <f t="shared" si="138"/>
        <v>45.70561398736492</v>
      </c>
      <c r="H533" s="122"/>
      <c r="I533" s="314"/>
      <c r="J533" s="123"/>
      <c r="K533" s="123"/>
      <c r="P533"/>
      <c r="Q533"/>
      <c r="R533"/>
      <c r="S533"/>
    </row>
    <row r="534" spans="1:20" ht="30">
      <c r="A534" s="342" t="s">
        <v>380</v>
      </c>
      <c r="B534" s="66">
        <v>16</v>
      </c>
      <c r="C534" s="66">
        <v>8</v>
      </c>
      <c r="D534" s="34">
        <v>70</v>
      </c>
      <c r="E534" s="65">
        <f t="shared" si="137"/>
        <v>7.8796178754106014</v>
      </c>
      <c r="F534" s="426">
        <f>MIN($C$500*$C$498*D534/1000,(2.3*SQRT($C$497*$C$498*$C$500))/1000+(E534/4),$C$500*$C$498*D534/1000*(SQRT(2+4*$C$497/($C$500*$C$498*D534^2))-1)+E534/4)</f>
        <v>5.7539958910348616</v>
      </c>
      <c r="G534" s="65">
        <f t="shared" si="138"/>
        <v>69.771415165394387</v>
      </c>
      <c r="H534" s="122"/>
      <c r="I534" s="314"/>
      <c r="J534" s="123"/>
      <c r="K534" s="123"/>
      <c r="P534"/>
      <c r="Q534"/>
      <c r="R534"/>
      <c r="S534"/>
    </row>
    <row r="535" spans="1:20" ht="30">
      <c r="A535" s="342" t="s">
        <v>381</v>
      </c>
      <c r="B535" s="66">
        <v>16</v>
      </c>
      <c r="C535" s="66">
        <v>8</v>
      </c>
      <c r="D535" s="34">
        <v>70</v>
      </c>
      <c r="E535" s="65">
        <f t="shared" si="137"/>
        <v>7.8796178754106014</v>
      </c>
      <c r="F535" s="426">
        <f>MIN($C$500*$C$498*D535/1000,(2.3*SQRT($C$497*$C$498*$C$500))/1000+(E535/4),$C$500*$C$498*D535/1000*(SQRT(2+4*$C$497/($C$500*$C$498*D535^2))-1)+E535/4)</f>
        <v>5.7539958910348616</v>
      </c>
      <c r="G535" s="65">
        <f t="shared" si="138"/>
        <v>69.771415165394387</v>
      </c>
      <c r="H535" s="122"/>
      <c r="I535" s="314"/>
      <c r="J535" s="123"/>
      <c r="K535" s="123"/>
      <c r="P535"/>
      <c r="Q535"/>
      <c r="R535"/>
      <c r="S535"/>
    </row>
    <row r="536" spans="1:20" ht="30">
      <c r="A536" s="342" t="s">
        <v>383</v>
      </c>
      <c r="B536" s="66">
        <v>16</v>
      </c>
      <c r="C536" s="66">
        <v>10</v>
      </c>
      <c r="D536" s="34">
        <v>90</v>
      </c>
      <c r="E536" s="65">
        <f t="shared" si="137"/>
        <v>11.045622226154116</v>
      </c>
      <c r="F536" s="426">
        <f>MIN($B$500*$B$498*D536/1000,(2.3*SQRT($B$497*$B$498*$B$500))/1000+(E536/4),$B$500*$B$498*D536/1000*(SQRT(2+4*$B$497/($B$500*$B$498*D536^2))-1)+E536/4)</f>
        <v>8.173921007586447</v>
      </c>
      <c r="G536" s="65">
        <f t="shared" si="138"/>
        <v>99.114779876369141</v>
      </c>
      <c r="H536" s="122"/>
      <c r="I536" s="314"/>
      <c r="J536" s="123"/>
      <c r="K536" s="123"/>
      <c r="P536"/>
      <c r="Q536"/>
      <c r="R536"/>
      <c r="S536"/>
    </row>
    <row r="537" spans="1:20" ht="30">
      <c r="A537" s="342" t="s">
        <v>382</v>
      </c>
      <c r="B537" s="66">
        <v>25</v>
      </c>
      <c r="C537" s="66">
        <v>10</v>
      </c>
      <c r="D537" s="34">
        <v>90</v>
      </c>
      <c r="E537" s="65">
        <f t="shared" si="137"/>
        <v>11.045622226154116</v>
      </c>
      <c r="F537" s="426">
        <f>MIN($B$500*$B$498*D537/1000,(2.3*SQRT($B$497*$B$498*$B$500))/1000+(E537/4),$B$500*$B$498*D537/1000*(SQRT(2+4*$B$497/($B$500*$B$498*D537^2))-1)+E537/4)</f>
        <v>8.173921007586447</v>
      </c>
      <c r="G537" s="65">
        <f t="shared" si="138"/>
        <v>148.10729297016388</v>
      </c>
      <c r="H537" s="122"/>
      <c r="I537" s="314"/>
      <c r="J537" s="123"/>
      <c r="K537" s="123"/>
      <c r="P537"/>
      <c r="Q537"/>
      <c r="R537"/>
      <c r="S537"/>
    </row>
    <row r="540" spans="1:20">
      <c r="A540" s="3"/>
      <c r="B540" s="77"/>
      <c r="F540" t="s">
        <v>72</v>
      </c>
    </row>
    <row r="541" spans="1:20" ht="18">
      <c r="A541" s="4" t="s">
        <v>2</v>
      </c>
      <c r="B541" s="78" t="s">
        <v>61</v>
      </c>
      <c r="C541" s="78" t="s">
        <v>128</v>
      </c>
      <c r="D541" s="5" t="s">
        <v>129</v>
      </c>
      <c r="E541" s="78" t="s">
        <v>130</v>
      </c>
      <c r="F541" s="79" t="s">
        <v>131</v>
      </c>
      <c r="G541" s="80"/>
      <c r="O541" s="4" t="s">
        <v>2</v>
      </c>
      <c r="P541" s="710" t="s">
        <v>132</v>
      </c>
      <c r="Q541" s="711"/>
      <c r="R541" s="711"/>
      <c r="S541" s="711"/>
      <c r="T541" s="712"/>
    </row>
    <row r="542" spans="1:20">
      <c r="A542" s="8"/>
      <c r="B542" s="81" t="s">
        <v>17</v>
      </c>
      <c r="C542" s="82" t="s">
        <v>17</v>
      </c>
      <c r="D542" s="9" t="s">
        <v>78</v>
      </c>
      <c r="E542" s="82" t="s">
        <v>17</v>
      </c>
      <c r="F542" s="83" t="s">
        <v>17</v>
      </c>
      <c r="G542" s="84"/>
      <c r="O542" s="8"/>
      <c r="P542" s="95">
        <v>0.6</v>
      </c>
      <c r="Q542" s="95">
        <v>0.7</v>
      </c>
      <c r="R542" s="95">
        <v>0.8</v>
      </c>
      <c r="S542" s="95">
        <v>0.9</v>
      </c>
      <c r="T542" s="95">
        <v>1</v>
      </c>
    </row>
    <row r="543" spans="1:20" hidden="1">
      <c r="A543" s="14" t="s">
        <v>29</v>
      </c>
      <c r="B543" s="65" t="e">
        <f t="shared" ref="B543:B556" si="139">G506</f>
        <v>#REF!</v>
      </c>
      <c r="C543" s="65">
        <v>18</v>
      </c>
      <c r="D543" s="106">
        <v>10.7</v>
      </c>
      <c r="E543" s="65" t="e">
        <f t="shared" ref="E543:E556" si="140">1/SQRT((1/G524)^2+(1/(D543*E524))^2)</f>
        <v>#REF!</v>
      </c>
      <c r="F543" s="107" t="e">
        <f>MIN(B543,C543,E543)</f>
        <v>#REF!</v>
      </c>
      <c r="G543" s="87"/>
      <c r="O543" s="14" t="s">
        <v>29</v>
      </c>
      <c r="P543" s="88" t="e">
        <f>MIN(P$542*$B543/1.3,$C543/1.25,P$542*$E543/1.3)</f>
        <v>#REF!</v>
      </c>
      <c r="Q543" s="88" t="e">
        <f>MIN(Q$542*$B543/1.3,$C543/1.25,Q$542*$E543/1.3)</f>
        <v>#REF!</v>
      </c>
      <c r="R543" s="88" t="e">
        <f>MIN(R$542*$B543/1.3,$C543/1.25,R$542*$E543/1.3)</f>
        <v>#REF!</v>
      </c>
      <c r="S543" s="88" t="e">
        <f>MIN(S$542*$B543/1.3,$C543/1.25,S$542*$E543/1.3)</f>
        <v>#REF!</v>
      </c>
      <c r="T543" s="88" t="e">
        <f>MIN(T$542*$B543/1.3,$C543/1.25,T$542*$E543/1.3)</f>
        <v>#REF!</v>
      </c>
    </row>
    <row r="544" spans="1:20" hidden="1">
      <c r="A544" s="44" t="s">
        <v>30</v>
      </c>
      <c r="B544" s="65" t="e">
        <f t="shared" si="139"/>
        <v>#REF!</v>
      </c>
      <c r="C544" s="65">
        <v>18</v>
      </c>
      <c r="D544" s="106">
        <v>18.3</v>
      </c>
      <c r="E544" s="65" t="e">
        <f t="shared" si="140"/>
        <v>#REF!</v>
      </c>
      <c r="F544" s="107" t="e">
        <f t="shared" ref="F544:F556" si="141">MIN(B544,C544,E544)</f>
        <v>#REF!</v>
      </c>
      <c r="G544" s="87"/>
      <c r="O544" s="44" t="s">
        <v>30</v>
      </c>
      <c r="P544" s="88" t="e">
        <f t="shared" ref="P544:T556" si="142">MIN(P$542*$B544/1.3,$C544/1.25,P$542*$E544/1.3)</f>
        <v>#REF!</v>
      </c>
      <c r="Q544" s="88" t="e">
        <f t="shared" si="142"/>
        <v>#REF!</v>
      </c>
      <c r="R544" s="88" t="e">
        <f t="shared" si="142"/>
        <v>#REF!</v>
      </c>
      <c r="S544" s="88" t="e">
        <f t="shared" si="142"/>
        <v>#REF!</v>
      </c>
      <c r="T544" s="88" t="e">
        <f t="shared" si="142"/>
        <v>#REF!</v>
      </c>
    </row>
    <row r="545" spans="1:33" hidden="1">
      <c r="A545" s="14" t="s">
        <v>31</v>
      </c>
      <c r="B545" s="65" t="e">
        <f t="shared" si="139"/>
        <v>#REF!</v>
      </c>
      <c r="C545" s="65">
        <v>18</v>
      </c>
      <c r="D545" s="106">
        <v>27.8</v>
      </c>
      <c r="E545" s="65" t="e">
        <f t="shared" si="140"/>
        <v>#REF!</v>
      </c>
      <c r="F545" s="107" t="e">
        <f t="shared" si="141"/>
        <v>#REF!</v>
      </c>
      <c r="G545" s="87"/>
      <c r="O545" s="14" t="s">
        <v>31</v>
      </c>
      <c r="P545" s="88" t="e">
        <f t="shared" si="142"/>
        <v>#REF!</v>
      </c>
      <c r="Q545" s="88" t="e">
        <f t="shared" si="142"/>
        <v>#REF!</v>
      </c>
      <c r="R545" s="88" t="e">
        <f t="shared" si="142"/>
        <v>#REF!</v>
      </c>
      <c r="S545" s="88" t="e">
        <f t="shared" si="142"/>
        <v>#REF!</v>
      </c>
      <c r="T545" s="88" t="e">
        <f t="shared" si="142"/>
        <v>#REF!</v>
      </c>
    </row>
    <row r="546" spans="1:33" hidden="1">
      <c r="A546" s="44" t="s">
        <v>32</v>
      </c>
      <c r="B546" s="65" t="e">
        <f t="shared" si="139"/>
        <v>#REF!</v>
      </c>
      <c r="C546" s="65">
        <v>18</v>
      </c>
      <c r="D546" s="106">
        <v>39.299999999999997</v>
      </c>
      <c r="E546" s="65" t="e">
        <f t="shared" si="140"/>
        <v>#REF!</v>
      </c>
      <c r="F546" s="107" t="e">
        <f t="shared" si="141"/>
        <v>#REF!</v>
      </c>
      <c r="G546" s="87"/>
      <c r="O546" s="44" t="s">
        <v>32</v>
      </c>
      <c r="P546" s="88" t="e">
        <f t="shared" si="142"/>
        <v>#REF!</v>
      </c>
      <c r="Q546" s="88" t="e">
        <f t="shared" si="142"/>
        <v>#REF!</v>
      </c>
      <c r="R546" s="88" t="e">
        <f t="shared" si="142"/>
        <v>#REF!</v>
      </c>
      <c r="S546" s="88" t="e">
        <f t="shared" si="142"/>
        <v>#REF!</v>
      </c>
      <c r="T546" s="88" t="e">
        <f t="shared" si="142"/>
        <v>#REF!</v>
      </c>
    </row>
    <row r="547" spans="1:33" hidden="1">
      <c r="A547" s="14" t="s">
        <v>33</v>
      </c>
      <c r="B547" s="65" t="e">
        <f t="shared" si="139"/>
        <v>#REF!</v>
      </c>
      <c r="C547" s="65">
        <v>18</v>
      </c>
      <c r="D547" s="106">
        <v>27.8</v>
      </c>
      <c r="E547" s="65" t="e">
        <f t="shared" si="140"/>
        <v>#REF!</v>
      </c>
      <c r="F547" s="107" t="e">
        <f t="shared" si="141"/>
        <v>#REF!</v>
      </c>
      <c r="G547" s="87"/>
      <c r="O547" s="14" t="s">
        <v>33</v>
      </c>
      <c r="P547" s="88" t="e">
        <f t="shared" si="142"/>
        <v>#REF!</v>
      </c>
      <c r="Q547" s="88" t="e">
        <f t="shared" si="142"/>
        <v>#REF!</v>
      </c>
      <c r="R547" s="88" t="e">
        <f t="shared" si="142"/>
        <v>#REF!</v>
      </c>
      <c r="S547" s="88" t="e">
        <f t="shared" si="142"/>
        <v>#REF!</v>
      </c>
      <c r="T547" s="88" t="e">
        <f t="shared" si="142"/>
        <v>#REF!</v>
      </c>
    </row>
    <row r="548" spans="1:33" hidden="1">
      <c r="A548" s="44" t="s">
        <v>34</v>
      </c>
      <c r="B548" s="65" t="e">
        <f t="shared" si="139"/>
        <v>#REF!</v>
      </c>
      <c r="C548" s="65">
        <v>18</v>
      </c>
      <c r="D548" s="106">
        <v>39.299999999999997</v>
      </c>
      <c r="E548" s="65" t="e">
        <f t="shared" si="140"/>
        <v>#REF!</v>
      </c>
      <c r="F548" s="107" t="e">
        <f t="shared" si="141"/>
        <v>#REF!</v>
      </c>
      <c r="G548" s="87"/>
      <c r="O548" s="44" t="s">
        <v>34</v>
      </c>
      <c r="P548" s="88" t="e">
        <f t="shared" si="142"/>
        <v>#REF!</v>
      </c>
      <c r="Q548" s="88" t="e">
        <f t="shared" si="142"/>
        <v>#REF!</v>
      </c>
      <c r="R548" s="88" t="e">
        <f t="shared" si="142"/>
        <v>#REF!</v>
      </c>
      <c r="S548" s="88" t="e">
        <f t="shared" si="142"/>
        <v>#REF!</v>
      </c>
      <c r="T548" s="88" t="e">
        <f t="shared" si="142"/>
        <v>#REF!</v>
      </c>
    </row>
    <row r="549" spans="1:33" hidden="1">
      <c r="A549" s="44" t="s">
        <v>35</v>
      </c>
      <c r="B549" s="65" t="e">
        <f t="shared" si="139"/>
        <v>#REF!</v>
      </c>
      <c r="C549" s="65">
        <v>18</v>
      </c>
      <c r="D549" s="106">
        <v>52.9</v>
      </c>
      <c r="E549" s="65" t="e">
        <f t="shared" si="140"/>
        <v>#REF!</v>
      </c>
      <c r="F549" s="107" t="e">
        <f t="shared" si="141"/>
        <v>#REF!</v>
      </c>
      <c r="G549" s="87"/>
      <c r="O549" s="44" t="s">
        <v>35</v>
      </c>
      <c r="P549" s="88" t="e">
        <f t="shared" si="142"/>
        <v>#REF!</v>
      </c>
      <c r="Q549" s="88" t="e">
        <f t="shared" si="142"/>
        <v>#REF!</v>
      </c>
      <c r="R549" s="88" t="e">
        <f t="shared" si="142"/>
        <v>#REF!</v>
      </c>
      <c r="S549" s="88" t="e">
        <f t="shared" si="142"/>
        <v>#REF!</v>
      </c>
      <c r="T549" s="88" t="e">
        <f t="shared" si="142"/>
        <v>#REF!</v>
      </c>
    </row>
    <row r="550" spans="1:33" hidden="1">
      <c r="A550" s="14" t="s">
        <v>36</v>
      </c>
      <c r="B550" s="65" t="e">
        <f t="shared" si="139"/>
        <v>#REF!</v>
      </c>
      <c r="C550" s="65">
        <v>18</v>
      </c>
      <c r="D550" s="106">
        <v>68.400000000000006</v>
      </c>
      <c r="E550" s="65" t="e">
        <f t="shared" si="140"/>
        <v>#REF!</v>
      </c>
      <c r="F550" s="107" t="e">
        <f t="shared" si="141"/>
        <v>#REF!</v>
      </c>
      <c r="G550" s="87"/>
      <c r="O550" s="14" t="s">
        <v>36</v>
      </c>
      <c r="P550" s="88" t="e">
        <f t="shared" si="142"/>
        <v>#REF!</v>
      </c>
      <c r="Q550" s="88" t="e">
        <f t="shared" si="142"/>
        <v>#REF!</v>
      </c>
      <c r="R550" s="88" t="e">
        <f t="shared" si="142"/>
        <v>#REF!</v>
      </c>
      <c r="S550" s="88" t="e">
        <f t="shared" si="142"/>
        <v>#REF!</v>
      </c>
      <c r="T550" s="88" t="e">
        <f t="shared" si="142"/>
        <v>#REF!</v>
      </c>
    </row>
    <row r="551" spans="1:33" ht="30">
      <c r="A551" s="424" t="s">
        <v>377</v>
      </c>
      <c r="B551" s="65">
        <f t="shared" si="139"/>
        <v>28.389239282083743</v>
      </c>
      <c r="C551" s="65">
        <v>18</v>
      </c>
      <c r="D551" s="106">
        <v>10.7</v>
      </c>
      <c r="E551" s="65">
        <f t="shared" si="140"/>
        <v>40.18125965399701</v>
      </c>
      <c r="F551" s="107">
        <f t="shared" si="141"/>
        <v>18</v>
      </c>
      <c r="G551" s="87"/>
      <c r="O551" s="424" t="s">
        <v>377</v>
      </c>
      <c r="P551" s="88">
        <f t="shared" si="142"/>
        <v>13.102725822500188</v>
      </c>
      <c r="Q551" s="88">
        <f t="shared" si="142"/>
        <v>14.4</v>
      </c>
      <c r="R551" s="88">
        <f t="shared" si="142"/>
        <v>14.4</v>
      </c>
      <c r="S551" s="88">
        <f t="shared" si="142"/>
        <v>14.4</v>
      </c>
      <c r="T551" s="88">
        <f t="shared" si="142"/>
        <v>14.4</v>
      </c>
    </row>
    <row r="552" spans="1:33" ht="30">
      <c r="A552" s="342" t="s">
        <v>379</v>
      </c>
      <c r="B552" s="65">
        <f t="shared" si="139"/>
        <v>32.762378151828329</v>
      </c>
      <c r="C552" s="65">
        <v>18</v>
      </c>
      <c r="D552" s="106">
        <v>10.7</v>
      </c>
      <c r="E552" s="65">
        <f t="shared" si="140"/>
        <v>40.18125965399701</v>
      </c>
      <c r="F552" s="107">
        <f t="shared" si="141"/>
        <v>18</v>
      </c>
      <c r="G552" s="87"/>
      <c r="O552" s="342" t="s">
        <v>379</v>
      </c>
      <c r="P552" s="88">
        <f t="shared" si="142"/>
        <v>14.4</v>
      </c>
      <c r="Q552" s="88">
        <f t="shared" si="142"/>
        <v>14.4</v>
      </c>
      <c r="R552" s="88">
        <f t="shared" si="142"/>
        <v>14.4</v>
      </c>
      <c r="S552" s="88">
        <f t="shared" si="142"/>
        <v>14.4</v>
      </c>
      <c r="T552" s="88">
        <f t="shared" si="142"/>
        <v>14.4</v>
      </c>
    </row>
    <row r="553" spans="1:33" ht="30">
      <c r="A553" s="342" t="s">
        <v>380</v>
      </c>
      <c r="B553" s="65">
        <f t="shared" si="139"/>
        <v>43.337288953771797</v>
      </c>
      <c r="C553" s="65">
        <v>18</v>
      </c>
      <c r="D553" s="106">
        <v>27.8</v>
      </c>
      <c r="E553" s="65">
        <f t="shared" si="140"/>
        <v>66.480609906200655</v>
      </c>
      <c r="F553" s="107">
        <f t="shared" si="141"/>
        <v>18</v>
      </c>
      <c r="G553" s="87"/>
      <c r="O553" s="342" t="s">
        <v>380</v>
      </c>
      <c r="P553" s="88">
        <f t="shared" si="142"/>
        <v>14.4</v>
      </c>
      <c r="Q553" s="88">
        <f t="shared" si="142"/>
        <v>14.4</v>
      </c>
      <c r="R553" s="88">
        <f t="shared" si="142"/>
        <v>14.4</v>
      </c>
      <c r="S553" s="88">
        <f t="shared" si="142"/>
        <v>14.4</v>
      </c>
      <c r="T553" s="88">
        <f t="shared" si="142"/>
        <v>14.4</v>
      </c>
    </row>
    <row r="554" spans="1:33" ht="30">
      <c r="A554" s="342" t="s">
        <v>381</v>
      </c>
      <c r="B554" s="65">
        <f t="shared" si="139"/>
        <v>50.013057224628461</v>
      </c>
      <c r="C554" s="65">
        <v>18</v>
      </c>
      <c r="D554" s="106">
        <v>27.8</v>
      </c>
      <c r="E554" s="65">
        <f t="shared" si="140"/>
        <v>66.480609906200655</v>
      </c>
      <c r="F554" s="107">
        <f t="shared" si="141"/>
        <v>18</v>
      </c>
      <c r="G554" s="87"/>
      <c r="O554" s="342" t="s">
        <v>381</v>
      </c>
      <c r="P554" s="88">
        <f t="shared" si="142"/>
        <v>14.4</v>
      </c>
      <c r="Q554" s="88">
        <f t="shared" si="142"/>
        <v>14.4</v>
      </c>
      <c r="R554" s="88">
        <f t="shared" si="142"/>
        <v>14.4</v>
      </c>
      <c r="S554" s="88">
        <f t="shared" si="142"/>
        <v>14.4</v>
      </c>
      <c r="T554" s="88">
        <f t="shared" si="142"/>
        <v>14.4</v>
      </c>
    </row>
    <row r="555" spans="1:33" ht="30">
      <c r="A555" s="342" t="s">
        <v>383</v>
      </c>
      <c r="B555" s="65">
        <f t="shared" si="139"/>
        <v>61.314609272925438</v>
      </c>
      <c r="C555" s="65">
        <v>18</v>
      </c>
      <c r="D555" s="106">
        <v>27.8</v>
      </c>
      <c r="E555" s="65">
        <f t="shared" si="140"/>
        <v>94.32295972718326</v>
      </c>
      <c r="F555" s="107">
        <f t="shared" si="141"/>
        <v>18</v>
      </c>
      <c r="G555" s="87"/>
      <c r="O555" s="342" t="s">
        <v>383</v>
      </c>
      <c r="P555" s="88">
        <f t="shared" si="142"/>
        <v>14.4</v>
      </c>
      <c r="Q555" s="88">
        <f t="shared" si="142"/>
        <v>14.4</v>
      </c>
      <c r="R555" s="88">
        <f t="shared" si="142"/>
        <v>14.4</v>
      </c>
      <c r="S555" s="88">
        <f t="shared" si="142"/>
        <v>14.4</v>
      </c>
      <c r="T555" s="88">
        <f t="shared" si="142"/>
        <v>14.4</v>
      </c>
    </row>
    <row r="556" spans="1:33" ht="30">
      <c r="A556" s="342" t="s">
        <v>382</v>
      </c>
      <c r="B556" s="65">
        <f t="shared" si="139"/>
        <v>91.622468518455676</v>
      </c>
      <c r="C556" s="65">
        <v>18</v>
      </c>
      <c r="D556" s="106">
        <v>68.400000000000006</v>
      </c>
      <c r="E556" s="65">
        <f t="shared" si="140"/>
        <v>145.34095763932373</v>
      </c>
      <c r="F556" s="107">
        <f t="shared" si="141"/>
        <v>18</v>
      </c>
      <c r="G556" s="87"/>
      <c r="O556" s="342" t="s">
        <v>382</v>
      </c>
      <c r="P556" s="88">
        <f t="shared" si="142"/>
        <v>14.4</v>
      </c>
      <c r="Q556" s="88">
        <f t="shared" si="142"/>
        <v>14.4</v>
      </c>
      <c r="R556" s="88">
        <f t="shared" si="142"/>
        <v>14.4</v>
      </c>
      <c r="S556" s="88">
        <f t="shared" si="142"/>
        <v>14.4</v>
      </c>
      <c r="T556" s="88">
        <f t="shared" si="142"/>
        <v>14.4</v>
      </c>
    </row>
    <row r="557" spans="1:33">
      <c r="P557" s="116"/>
      <c r="Q557" s="116"/>
      <c r="R557" s="116"/>
      <c r="S557" s="116"/>
    </row>
    <row r="558" spans="1:33" ht="15.75" thickBot="1">
      <c r="P558" s="116"/>
      <c r="Q558" s="116"/>
      <c r="R558" s="116"/>
      <c r="S558" s="116"/>
    </row>
    <row r="559" spans="1:33">
      <c r="W559" s="714" t="s">
        <v>94</v>
      </c>
      <c r="X559" s="715"/>
      <c r="Y559" s="715"/>
      <c r="Z559" s="715"/>
      <c r="AA559" s="715"/>
      <c r="AB559" s="25"/>
      <c r="AC559" s="130" t="s">
        <v>95</v>
      </c>
      <c r="AD559" s="130"/>
      <c r="AE559" s="130"/>
      <c r="AF559" s="130"/>
      <c r="AG559" s="131"/>
    </row>
    <row r="560" spans="1:33" ht="18.75">
      <c r="A560" s="56" t="s">
        <v>86</v>
      </c>
      <c r="W560" s="26"/>
      <c r="X560" s="27">
        <v>0.6</v>
      </c>
      <c r="Y560" s="27">
        <v>0.7</v>
      </c>
      <c r="Z560" s="27">
        <v>0.8</v>
      </c>
      <c r="AA560" s="27">
        <v>0.9</v>
      </c>
      <c r="AB560" s="28"/>
      <c r="AC560" s="28"/>
      <c r="AD560" s="27">
        <v>0.6</v>
      </c>
      <c r="AE560" s="27">
        <v>0.7</v>
      </c>
      <c r="AF560" s="27">
        <v>0.8</v>
      </c>
      <c r="AG560" s="29">
        <v>0.9</v>
      </c>
    </row>
    <row r="561" spans="1:33">
      <c r="L561" s="3"/>
      <c r="W561" s="26">
        <v>350</v>
      </c>
      <c r="X561" s="30">
        <v>2.7416359384615387</v>
      </c>
      <c r="Y561" s="30">
        <v>3.1985752615384619</v>
      </c>
      <c r="Z561" s="30">
        <v>3.6555145846153856</v>
      </c>
      <c r="AA561" s="30">
        <v>4</v>
      </c>
      <c r="AB561" s="28"/>
      <c r="AC561" s="28">
        <v>350</v>
      </c>
      <c r="AD561" s="30">
        <v>3.2757208615384621</v>
      </c>
      <c r="AE561" s="30">
        <v>3.8216743384615386</v>
      </c>
      <c r="AF561" s="30">
        <v>4</v>
      </c>
      <c r="AG561" s="31">
        <v>4</v>
      </c>
    </row>
    <row r="562" spans="1:33" ht="18">
      <c r="A562" s="112" t="s">
        <v>2</v>
      </c>
      <c r="B562" s="113" t="s">
        <v>43</v>
      </c>
      <c r="C562" s="113" t="s">
        <v>142</v>
      </c>
      <c r="D562" s="113" t="s">
        <v>143</v>
      </c>
      <c r="E562" s="113" t="s">
        <v>144</v>
      </c>
      <c r="F562" s="113" t="s">
        <v>145</v>
      </c>
      <c r="G562" s="90"/>
      <c r="H562" s="90"/>
      <c r="I562" s="105" t="s">
        <v>91</v>
      </c>
      <c r="L562" s="108"/>
      <c r="W562" s="26">
        <v>380</v>
      </c>
      <c r="X562" s="30">
        <v>2.9766333046153846</v>
      </c>
      <c r="Y562" s="30">
        <v>3.4727388553846152</v>
      </c>
      <c r="Z562" s="30">
        <v>3.9688444061538473</v>
      </c>
      <c r="AA562" s="30">
        <v>4</v>
      </c>
      <c r="AB562" s="28"/>
      <c r="AC562" s="28">
        <v>380</v>
      </c>
      <c r="AD562" s="30">
        <v>3.5564969353846152</v>
      </c>
      <c r="AE562" s="30">
        <v>4</v>
      </c>
      <c r="AF562" s="30">
        <v>4</v>
      </c>
      <c r="AG562" s="31">
        <v>4</v>
      </c>
    </row>
    <row r="563" spans="1:33">
      <c r="A563" s="45"/>
      <c r="B563" s="47" t="s">
        <v>19</v>
      </c>
      <c r="C563" s="47" t="s">
        <v>18</v>
      </c>
      <c r="D563" s="47" t="s">
        <v>18</v>
      </c>
      <c r="E563" s="47" t="s">
        <v>92</v>
      </c>
      <c r="F563" s="47" t="s">
        <v>17</v>
      </c>
      <c r="G563" s="90"/>
      <c r="H563" s="90"/>
      <c r="I563" s="105" t="s">
        <v>93</v>
      </c>
      <c r="L563" s="108"/>
      <c r="W563" s="26">
        <v>410</v>
      </c>
      <c r="X563" s="30">
        <v>3.2116306707692313</v>
      </c>
      <c r="Y563" s="30">
        <v>3.7469024492307694</v>
      </c>
      <c r="Z563" s="30">
        <v>4</v>
      </c>
      <c r="AA563" s="30">
        <v>4</v>
      </c>
      <c r="AB563" s="28"/>
      <c r="AC563" s="28">
        <v>410</v>
      </c>
      <c r="AD563" s="30">
        <v>3.8372730092307696</v>
      </c>
      <c r="AE563" s="30">
        <v>4</v>
      </c>
      <c r="AF563" s="30">
        <v>4</v>
      </c>
      <c r="AG563" s="31">
        <v>4</v>
      </c>
    </row>
    <row r="564" spans="1:33">
      <c r="A564" s="33" t="s">
        <v>146</v>
      </c>
      <c r="B564" s="35">
        <v>1</v>
      </c>
      <c r="C564" s="66">
        <v>12</v>
      </c>
      <c r="D564" s="66">
        <f>I52</f>
        <v>49</v>
      </c>
      <c r="E564" s="65">
        <f>0.082*(1-0.01*C564)*$B$573/(1.35+0.015*C564)</f>
        <v>16.507189542483658</v>
      </c>
      <c r="F564" s="65">
        <f>MIN(0.4*B564*C564*D564*E564/1000,B564*(1.15*SQRT(2*I564*E564*C564)/1000+((0.52*SQRT(C564)*D564^0.9*$B$573^0.8)/1000)/4))</f>
        <v>3.8824909803921575</v>
      </c>
      <c r="G564" s="90"/>
      <c r="H564" s="90"/>
      <c r="I564" s="109">
        <f>0.15*600*C564^2.6</f>
        <v>57559.067465202104</v>
      </c>
      <c r="L564" s="108"/>
      <c r="W564" s="26">
        <v>430</v>
      </c>
      <c r="X564" s="30">
        <v>3.3682955815384616</v>
      </c>
      <c r="Y564" s="30">
        <v>3.9296781784615389</v>
      </c>
      <c r="Z564" s="30">
        <v>4</v>
      </c>
      <c r="AA564" s="30">
        <v>4</v>
      </c>
      <c r="AB564" s="28"/>
      <c r="AC564" s="28">
        <v>430</v>
      </c>
      <c r="AD564" s="30">
        <v>4</v>
      </c>
      <c r="AE564" s="30">
        <v>4</v>
      </c>
      <c r="AF564" s="30">
        <v>4</v>
      </c>
      <c r="AG564" s="31">
        <v>4</v>
      </c>
    </row>
    <row r="565" spans="1:33">
      <c r="A565" s="33" t="s">
        <v>147</v>
      </c>
      <c r="B565" s="35">
        <v>1</v>
      </c>
      <c r="C565" s="66">
        <v>16</v>
      </c>
      <c r="D565" s="66">
        <f>I54</f>
        <v>46</v>
      </c>
      <c r="E565" s="65">
        <f>0.082*(1-0.01*C565)*$B$573/(1.35+0.015*C565)</f>
        <v>15.162264150943395</v>
      </c>
      <c r="F565" s="65">
        <f>MIN(0.4*B565*C565*D565*E565/1000,B565*(1.15*SQRT(2*I565*E565*C565)/1000+((0.52*SQRT(C565)*D565^0.9*$B$573^0.8)/1000)/4))</f>
        <v>4.463770566037736</v>
      </c>
      <c r="G565" s="90"/>
      <c r="H565" s="90"/>
      <c r="I565" s="109">
        <f>0.15*600*C565^2.6</f>
        <v>121605.84905682993</v>
      </c>
      <c r="L565" s="108"/>
      <c r="W565" s="26">
        <v>450</v>
      </c>
      <c r="X565" s="30">
        <v>3.5249604923076929</v>
      </c>
      <c r="Y565" s="30">
        <v>4</v>
      </c>
      <c r="Z565" s="30">
        <v>4</v>
      </c>
      <c r="AA565" s="30">
        <v>4</v>
      </c>
      <c r="AB565" s="28"/>
      <c r="AC565" s="28">
        <v>450</v>
      </c>
      <c r="AD565" s="30">
        <v>4</v>
      </c>
      <c r="AE565" s="30">
        <v>4</v>
      </c>
      <c r="AF565" s="30">
        <v>4</v>
      </c>
      <c r="AG565" s="31">
        <v>4</v>
      </c>
    </row>
    <row r="566" spans="1:33">
      <c r="A566" s="111"/>
      <c r="B566" s="90"/>
      <c r="C566" s="90"/>
      <c r="D566" s="90"/>
      <c r="E566" s="90"/>
      <c r="F566" s="90"/>
      <c r="G566" s="90"/>
      <c r="H566" s="90"/>
      <c r="L566" s="3"/>
      <c r="W566" s="26">
        <v>400</v>
      </c>
      <c r="X566" s="30">
        <v>3.1332982153846158</v>
      </c>
      <c r="Y566" s="30">
        <v>3.6555145846153847</v>
      </c>
      <c r="Z566" s="30">
        <v>4</v>
      </c>
      <c r="AA566" s="30">
        <v>4</v>
      </c>
      <c r="AB566" s="28"/>
      <c r="AC566" s="28">
        <v>400</v>
      </c>
      <c r="AD566" s="30">
        <v>3.7436809846153851</v>
      </c>
      <c r="AE566" s="30">
        <v>4</v>
      </c>
      <c r="AF566" s="30">
        <v>4</v>
      </c>
      <c r="AG566" s="31">
        <v>4</v>
      </c>
    </row>
    <row r="567" spans="1:33" ht="18">
      <c r="A567" s="112" t="s">
        <v>2</v>
      </c>
      <c r="B567" s="113" t="s">
        <v>43</v>
      </c>
      <c r="C567" s="113" t="s">
        <v>9</v>
      </c>
      <c r="D567" s="113" t="s">
        <v>111</v>
      </c>
      <c r="E567" s="113" t="s">
        <v>112</v>
      </c>
      <c r="F567" s="113" t="s">
        <v>80</v>
      </c>
      <c r="G567" s="113" t="s">
        <v>113</v>
      </c>
      <c r="H567" s="113" t="s">
        <v>114</v>
      </c>
      <c r="W567" s="718" t="s">
        <v>107</v>
      </c>
      <c r="X567" s="719"/>
      <c r="Y567" s="719"/>
      <c r="Z567" s="719"/>
      <c r="AA567" s="719"/>
      <c r="AB567" s="28"/>
      <c r="AC567" s="719" t="s">
        <v>108</v>
      </c>
      <c r="AD567" s="719"/>
      <c r="AE567" s="719"/>
      <c r="AF567" s="719"/>
      <c r="AG567" s="720"/>
    </row>
    <row r="568" spans="1:33">
      <c r="A568" s="45"/>
      <c r="B568" s="47" t="s">
        <v>19</v>
      </c>
      <c r="C568" s="47" t="s">
        <v>18</v>
      </c>
      <c r="D568" s="47" t="s">
        <v>93</v>
      </c>
      <c r="E568" s="47" t="s">
        <v>92</v>
      </c>
      <c r="F568" s="47" t="s">
        <v>18</v>
      </c>
      <c r="G568" s="47" t="s">
        <v>17</v>
      </c>
      <c r="H568" s="47" t="s">
        <v>17</v>
      </c>
      <c r="W568" s="26">
        <v>350</v>
      </c>
      <c r="X568" s="30">
        <v>2.466435080370649</v>
      </c>
      <c r="Y568" s="30">
        <v>2.877507593765757</v>
      </c>
      <c r="Z568" s="30">
        <v>3.288580107160866</v>
      </c>
      <c r="AA568" s="30">
        <v>3.6996526205559737</v>
      </c>
      <c r="AB568" s="28"/>
      <c r="AC568" s="28">
        <v>350</v>
      </c>
      <c r="AD568" s="30">
        <v>3.2757208615384621</v>
      </c>
      <c r="AE568" s="30">
        <v>3.8216743384615386</v>
      </c>
      <c r="AF568" s="30">
        <v>4</v>
      </c>
      <c r="AG568" s="31">
        <v>4</v>
      </c>
    </row>
    <row r="569" spans="1:33">
      <c r="A569" s="33" t="s">
        <v>146</v>
      </c>
      <c r="B569" s="35">
        <v>3</v>
      </c>
      <c r="C569" s="66">
        <v>6</v>
      </c>
      <c r="D569" s="66">
        <v>6300</v>
      </c>
      <c r="E569" s="65">
        <f>(0.033+0.049)*$B$573*C569^-0.3</f>
        <v>16.766272546647741</v>
      </c>
      <c r="F569" s="66">
        <v>44</v>
      </c>
      <c r="G569" s="65">
        <f>(0.52*SQRT(C569)*44^0.9*$B$573^0.8)/1000</f>
        <v>4.1633297814663335</v>
      </c>
      <c r="H569" s="65">
        <f>B569*MIN(2.3*SQRT(C569*D569*E569)/1000+G569/4,E569*C569*F569/1000,E569*C569*F569/1000*(SQRT(2+4*D569/(E569*C569*F569^2))-1)+G569/4)</f>
        <v>8.6155435327701344</v>
      </c>
      <c r="W569" s="26">
        <v>380</v>
      </c>
      <c r="X569" s="30">
        <v>2.6625242828383633</v>
      </c>
      <c r="Y569" s="30">
        <v>3.1062783299780903</v>
      </c>
      <c r="Z569" s="30">
        <v>3.5500323771178182</v>
      </c>
      <c r="AA569" s="30">
        <v>3.9937864242575456</v>
      </c>
      <c r="AB569" s="28"/>
      <c r="AC569" s="28">
        <v>380</v>
      </c>
      <c r="AD569" s="30">
        <v>3.5564969353846152</v>
      </c>
      <c r="AE569" s="30">
        <v>4</v>
      </c>
      <c r="AF569" s="30">
        <v>4</v>
      </c>
      <c r="AG569" s="31">
        <v>4</v>
      </c>
    </row>
    <row r="570" spans="1:33">
      <c r="A570" s="33" t="s">
        <v>147</v>
      </c>
      <c r="B570" s="35">
        <v>3</v>
      </c>
      <c r="C570" s="66">
        <v>10</v>
      </c>
      <c r="D570" s="66">
        <v>23900</v>
      </c>
      <c r="E570" s="65">
        <f>(0.033+0.049)*$B$573*C570^-0.3</f>
        <v>14.384073605102715</v>
      </c>
      <c r="F570" s="66">
        <v>54</v>
      </c>
      <c r="G570" s="65">
        <f>(0.52*SQRT(C570)*50^0.9*$B$573^0.8)/1000</f>
        <v>6.0301870404833755</v>
      </c>
      <c r="H570" s="65">
        <f>B570*MIN(2.3*SQRT(C570*D570*E570)/1000+G570/4,E570*C570*F570/1000,E570*C570*F570/1000*(SQRT(2+4*D570/(E570*C570*F570^2))-1)+G570/4)</f>
        <v>16.001837621666112</v>
      </c>
      <c r="W570" s="26">
        <v>410</v>
      </c>
      <c r="X570" s="30">
        <v>2.8311444965563237</v>
      </c>
      <c r="Y570" s="30">
        <v>3.303001912649044</v>
      </c>
      <c r="Z570" s="30">
        <v>3.7748593287417651</v>
      </c>
      <c r="AA570" s="30">
        <v>4</v>
      </c>
      <c r="AB570" s="28"/>
      <c r="AC570" s="28">
        <v>410</v>
      </c>
      <c r="AD570" s="30">
        <v>3.8372730092307696</v>
      </c>
      <c r="AE570" s="30">
        <v>4</v>
      </c>
      <c r="AF570" s="30">
        <v>4</v>
      </c>
      <c r="AG570" s="31">
        <v>4</v>
      </c>
    </row>
    <row r="571" spans="1:33">
      <c r="A571" s="132"/>
      <c r="B571" s="121"/>
      <c r="C571" s="122"/>
      <c r="D571" s="122"/>
      <c r="E571" s="123"/>
      <c r="F571" s="122"/>
      <c r="G571" s="123"/>
      <c r="H571" s="123"/>
      <c r="W571" s="26"/>
      <c r="X571" s="30"/>
      <c r="Y571" s="30"/>
      <c r="Z571" s="30"/>
      <c r="AA571" s="30"/>
      <c r="AB571" s="28"/>
      <c r="AC571" s="28"/>
      <c r="AD571" s="30"/>
      <c r="AE571" s="30"/>
      <c r="AF571" s="30"/>
      <c r="AG571" s="31"/>
    </row>
    <row r="572" spans="1:33">
      <c r="A572" s="21" t="s">
        <v>37</v>
      </c>
      <c r="B572" s="22" t="s">
        <v>22</v>
      </c>
      <c r="D572" s="122"/>
      <c r="E572" s="123"/>
      <c r="F572" s="123"/>
      <c r="G572" s="90"/>
      <c r="H572" s="90"/>
      <c r="W572" s="26">
        <v>430</v>
      </c>
      <c r="X572" s="30">
        <v>2.9428539145083121</v>
      </c>
      <c r="Y572" s="30">
        <v>3.4333295669263642</v>
      </c>
      <c r="Z572" s="30">
        <v>3.9238052193444162</v>
      </c>
      <c r="AA572" s="30">
        <v>4</v>
      </c>
      <c r="AB572" s="28"/>
      <c r="AC572" s="28">
        <v>430</v>
      </c>
      <c r="AD572" s="30">
        <v>4</v>
      </c>
      <c r="AE572" s="30">
        <v>4</v>
      </c>
      <c r="AF572" s="30">
        <v>4</v>
      </c>
      <c r="AG572" s="31">
        <v>4</v>
      </c>
    </row>
    <row r="573" spans="1:33" ht="18">
      <c r="A573" s="23" t="s">
        <v>39</v>
      </c>
      <c r="B573" s="24">
        <f>VLOOKUP(B572,$V$7:$W$16,2,FALSE)</f>
        <v>350</v>
      </c>
      <c r="C573" t="s">
        <v>40</v>
      </c>
      <c r="D573" s="90"/>
      <c r="E573" s="90"/>
      <c r="F573" s="90"/>
      <c r="G573" s="90"/>
      <c r="H573" s="90"/>
      <c r="I573" s="24"/>
      <c r="J573" s="24"/>
      <c r="K573" s="24"/>
      <c r="W573" s="26">
        <v>450</v>
      </c>
      <c r="X573" s="30">
        <v>3.0540399285736144</v>
      </c>
      <c r="Y573" s="30">
        <v>3.5630465833358831</v>
      </c>
      <c r="Z573" s="30">
        <v>4</v>
      </c>
      <c r="AA573" s="30">
        <v>4</v>
      </c>
      <c r="AB573" s="28"/>
      <c r="AC573" s="28">
        <v>450</v>
      </c>
      <c r="AD573" s="30">
        <v>4</v>
      </c>
      <c r="AE573" s="30">
        <v>4</v>
      </c>
      <c r="AF573" s="30">
        <v>4</v>
      </c>
      <c r="AG573" s="31">
        <v>4</v>
      </c>
    </row>
    <row r="574" spans="1:33">
      <c r="A574" s="133"/>
      <c r="B574" s="90"/>
      <c r="C574" s="90"/>
      <c r="D574" s="90"/>
      <c r="E574" s="90"/>
      <c r="F574" s="90"/>
      <c r="G574" s="90"/>
      <c r="H574" s="90"/>
      <c r="I574" s="24"/>
      <c r="J574" s="24"/>
      <c r="K574" s="24"/>
      <c r="W574" s="26">
        <v>400</v>
      </c>
      <c r="X574" s="30">
        <v>2.7750831585268934</v>
      </c>
      <c r="Y574" s="30">
        <v>3.237597018281376</v>
      </c>
      <c r="Z574" s="30">
        <v>3.7001108780358587</v>
      </c>
      <c r="AA574" s="30">
        <v>4</v>
      </c>
      <c r="AB574" s="28"/>
      <c r="AC574" s="28">
        <v>400</v>
      </c>
      <c r="AD574" s="30">
        <v>3.7436809846153851</v>
      </c>
      <c r="AE574" s="30">
        <v>4</v>
      </c>
      <c r="AF574" s="30">
        <v>4</v>
      </c>
      <c r="AG574" s="31">
        <v>4</v>
      </c>
    </row>
    <row r="575" spans="1:33">
      <c r="A575" s="133"/>
      <c r="B575" s="102"/>
      <c r="C575" s="90"/>
      <c r="D575" s="90"/>
      <c r="E575" s="90"/>
      <c r="F575" s="90" t="s">
        <v>72</v>
      </c>
      <c r="G575" s="90" t="s">
        <v>148</v>
      </c>
      <c r="H575" s="90"/>
      <c r="I575" s="24"/>
      <c r="J575" s="24"/>
      <c r="K575" s="24"/>
      <c r="W575" s="718" t="s">
        <v>117</v>
      </c>
      <c r="X575" s="719"/>
      <c r="Y575" s="719"/>
      <c r="Z575" s="719"/>
      <c r="AA575" s="719"/>
      <c r="AB575" s="28"/>
      <c r="AC575" s="719" t="s">
        <v>118</v>
      </c>
      <c r="AD575" s="719"/>
      <c r="AE575" s="719"/>
      <c r="AF575" s="719"/>
      <c r="AG575" s="720"/>
    </row>
    <row r="576" spans="1:33" ht="18">
      <c r="A576" s="112" t="s">
        <v>2</v>
      </c>
      <c r="B576" s="125" t="s">
        <v>149</v>
      </c>
      <c r="C576" s="125" t="s">
        <v>135</v>
      </c>
      <c r="D576" s="113" t="s">
        <v>150</v>
      </c>
      <c r="E576" s="125" t="s">
        <v>151</v>
      </c>
      <c r="F576" s="126" t="s">
        <v>152</v>
      </c>
      <c r="G576" s="126" t="s">
        <v>139</v>
      </c>
      <c r="H576" s="90"/>
      <c r="I576" s="24"/>
      <c r="J576" s="24"/>
      <c r="K576" s="24"/>
      <c r="O576" s="112" t="s">
        <v>2</v>
      </c>
      <c r="P576" s="710" t="s">
        <v>132</v>
      </c>
      <c r="Q576" s="711"/>
      <c r="R576" s="711"/>
      <c r="S576" s="711"/>
      <c r="T576" s="712"/>
      <c r="W576" s="26">
        <v>350</v>
      </c>
      <c r="X576" s="30">
        <v>1.7919189140271494</v>
      </c>
      <c r="Y576" s="30">
        <v>2.0905720663650076</v>
      </c>
      <c r="Z576" s="30">
        <v>2.3892252187028662</v>
      </c>
      <c r="AA576" s="30">
        <v>2.6878783710407244</v>
      </c>
      <c r="AB576" s="28"/>
      <c r="AC576" s="28">
        <v>350</v>
      </c>
      <c r="AD576" s="30">
        <v>2.0602017997097244</v>
      </c>
      <c r="AE576" s="30">
        <v>2.4035687663280116</v>
      </c>
      <c r="AF576" s="30">
        <v>2.7469357329462993</v>
      </c>
      <c r="AG576" s="31">
        <v>3.0903026995645866</v>
      </c>
    </row>
    <row r="577" spans="1:33">
      <c r="A577" s="45"/>
      <c r="B577" s="127" t="s">
        <v>17</v>
      </c>
      <c r="C577" s="128" t="s">
        <v>17</v>
      </c>
      <c r="D577" s="47" t="s">
        <v>78</v>
      </c>
      <c r="E577" s="128" t="s">
        <v>17</v>
      </c>
      <c r="F577" s="129" t="s">
        <v>17</v>
      </c>
      <c r="G577" s="129" t="s">
        <v>17</v>
      </c>
      <c r="H577" s="90"/>
      <c r="I577" s="24"/>
      <c r="J577" s="24"/>
      <c r="K577" s="24"/>
      <c r="O577" s="45"/>
      <c r="P577" s="95">
        <v>0.6</v>
      </c>
      <c r="Q577" s="95">
        <v>0.7</v>
      </c>
      <c r="R577" s="95">
        <v>0.8</v>
      </c>
      <c r="S577" s="95">
        <v>0.9</v>
      </c>
      <c r="T577" s="95">
        <v>1</v>
      </c>
      <c r="W577" s="26">
        <v>380</v>
      </c>
      <c r="X577" s="30">
        <v>1.9455119638009055</v>
      </c>
      <c r="Y577" s="30">
        <v>2.2697639577677231</v>
      </c>
      <c r="Z577" s="30">
        <v>2.5940159517345407</v>
      </c>
      <c r="AA577" s="30">
        <v>2.9182679457013583</v>
      </c>
      <c r="AB577" s="28"/>
      <c r="AC577" s="28">
        <v>380</v>
      </c>
      <c r="AD577" s="30">
        <v>2.2367905253991291</v>
      </c>
      <c r="AE577" s="30">
        <v>2.6095889462989836</v>
      </c>
      <c r="AF577" s="30">
        <v>2.982387367198839</v>
      </c>
      <c r="AG577" s="31">
        <v>3.3551857880986939</v>
      </c>
    </row>
    <row r="578" spans="1:33">
      <c r="A578" s="33" t="s">
        <v>146</v>
      </c>
      <c r="B578" s="65">
        <f>F564</f>
        <v>3.8824909803921575</v>
      </c>
      <c r="C578" s="65">
        <v>5</v>
      </c>
      <c r="D578" s="134">
        <v>0</v>
      </c>
      <c r="E578" s="65">
        <f>H569</f>
        <v>8.6155435327701344</v>
      </c>
      <c r="F578" s="135">
        <f>MIN(B578,C578,E578)</f>
        <v>3.8824909803921575</v>
      </c>
      <c r="G578" s="107">
        <v>4</v>
      </c>
      <c r="H578" s="90"/>
      <c r="O578" s="33" t="s">
        <v>146</v>
      </c>
      <c r="P578" s="88">
        <f t="shared" ref="P578:T579" si="143">MIN(P$577*$B578/1.3,$C578/1.25,P$577*$E578/1.3)</f>
        <v>1.7919189140271494</v>
      </c>
      <c r="Q578" s="88">
        <f t="shared" si="143"/>
        <v>2.0905720663650076</v>
      </c>
      <c r="R578" s="88">
        <f t="shared" si="143"/>
        <v>2.3892252187028662</v>
      </c>
      <c r="S578" s="88">
        <f t="shared" si="143"/>
        <v>2.6878783710407244</v>
      </c>
      <c r="T578" s="88">
        <f t="shared" si="143"/>
        <v>2.9865315233785825</v>
      </c>
      <c r="W578" s="26">
        <v>410</v>
      </c>
      <c r="X578" s="30">
        <v>2.0991050135746607</v>
      </c>
      <c r="Y578" s="30">
        <v>2.4489558491704377</v>
      </c>
      <c r="Z578" s="30">
        <v>2.7988066847662147</v>
      </c>
      <c r="AA578" s="30">
        <v>3.1486575203619913</v>
      </c>
      <c r="AB578" s="28"/>
      <c r="AC578" s="28">
        <v>410</v>
      </c>
      <c r="AD578" s="30">
        <v>2.4133792510885339</v>
      </c>
      <c r="AE578" s="30">
        <v>2.8156091262699561</v>
      </c>
      <c r="AF578" s="30">
        <v>3.2178390014513791</v>
      </c>
      <c r="AG578" s="31">
        <v>3.6200688766328009</v>
      </c>
    </row>
    <row r="579" spans="1:33">
      <c r="A579" s="33" t="s">
        <v>147</v>
      </c>
      <c r="B579" s="65">
        <f>F565</f>
        <v>4.463770566037736</v>
      </c>
      <c r="C579" s="65">
        <v>5</v>
      </c>
      <c r="D579" s="134">
        <v>0</v>
      </c>
      <c r="E579" s="65">
        <f>H570</f>
        <v>16.001837621666112</v>
      </c>
      <c r="F579" s="135">
        <f>MIN(B579,C579,E579)</f>
        <v>4.463770566037736</v>
      </c>
      <c r="G579" s="107">
        <v>4</v>
      </c>
      <c r="H579" s="121"/>
      <c r="I579" s="108"/>
      <c r="J579" s="108"/>
      <c r="K579" s="3"/>
      <c r="L579" s="3"/>
      <c r="O579" s="33" t="s">
        <v>147</v>
      </c>
      <c r="P579" s="88">
        <f t="shared" si="143"/>
        <v>2.0602017997097244</v>
      </c>
      <c r="Q579" s="88">
        <f t="shared" si="143"/>
        <v>2.4035687663280116</v>
      </c>
      <c r="R579" s="88">
        <f t="shared" si="143"/>
        <v>2.7469357329462993</v>
      </c>
      <c r="S579" s="88">
        <f t="shared" si="143"/>
        <v>3.0903026995645866</v>
      </c>
      <c r="T579" s="88">
        <f t="shared" si="143"/>
        <v>3.4336696661828738</v>
      </c>
      <c r="W579" s="26">
        <v>430</v>
      </c>
      <c r="X579" s="30">
        <v>2.2015003800904984</v>
      </c>
      <c r="Y579" s="30">
        <v>2.5684171101055813</v>
      </c>
      <c r="Z579" s="30">
        <v>2.9353338401206646</v>
      </c>
      <c r="AA579" s="30">
        <v>3.3022505701357474</v>
      </c>
      <c r="AB579" s="28"/>
      <c r="AC579" s="28">
        <v>430</v>
      </c>
      <c r="AD579" s="30">
        <v>2.5311050682148037</v>
      </c>
      <c r="AE579" s="30">
        <v>2.9529559129172713</v>
      </c>
      <c r="AF579" s="30">
        <v>3.3748067576197389</v>
      </c>
      <c r="AG579" s="31">
        <v>3.7966576023222061</v>
      </c>
    </row>
    <row r="580" spans="1:33">
      <c r="A580" s="3"/>
      <c r="B580" s="100"/>
      <c r="C580" s="100"/>
      <c r="D580" s="136"/>
      <c r="E580" s="100"/>
      <c r="F580" s="115"/>
      <c r="G580" s="115"/>
      <c r="H580" s="108"/>
      <c r="I580" s="108"/>
      <c r="J580" s="108"/>
      <c r="K580" s="3"/>
      <c r="L580" s="3"/>
      <c r="W580" s="26">
        <v>450</v>
      </c>
      <c r="X580" s="30">
        <v>2.3038957466063352</v>
      </c>
      <c r="Y580" s="30">
        <v>2.6878783710407244</v>
      </c>
      <c r="Z580" s="30">
        <v>3.0718609954751135</v>
      </c>
      <c r="AA580" s="30">
        <v>3.4558436199095031</v>
      </c>
      <c r="AB580" s="28"/>
      <c r="AC580" s="28">
        <v>450</v>
      </c>
      <c r="AD580" s="30">
        <v>2.648830885341074</v>
      </c>
      <c r="AE580" s="30">
        <v>3.0903026995645861</v>
      </c>
      <c r="AF580" s="30">
        <v>3.5317745137880991</v>
      </c>
      <c r="AG580" s="31">
        <v>3.9732463280116108</v>
      </c>
    </row>
    <row r="581" spans="1:33">
      <c r="A581" s="3"/>
      <c r="B581" s="108"/>
      <c r="C581" s="118"/>
      <c r="D581" s="100"/>
      <c r="E581" s="100"/>
      <c r="F581" s="108"/>
      <c r="G581" s="118"/>
      <c r="H581" s="100"/>
      <c r="I581" s="100"/>
      <c r="J581" s="100"/>
      <c r="K581" s="3"/>
      <c r="L581" s="3"/>
      <c r="W581" s="26">
        <v>400</v>
      </c>
      <c r="X581" s="30">
        <v>2.0479073303167423</v>
      </c>
      <c r="Y581" s="30">
        <v>2.3892252187028657</v>
      </c>
      <c r="Z581" s="30">
        <v>2.7305431070889901</v>
      </c>
      <c r="AA581" s="30">
        <v>3.0718609954751135</v>
      </c>
      <c r="AB581" s="28"/>
      <c r="AC581" s="28">
        <v>400</v>
      </c>
      <c r="AD581" s="30">
        <v>2.354516342525399</v>
      </c>
      <c r="AE581" s="30">
        <v>2.7469357329462989</v>
      </c>
      <c r="AF581" s="30">
        <v>3.1393551233671988</v>
      </c>
      <c r="AG581" s="31">
        <v>3.5317745137880991</v>
      </c>
    </row>
    <row r="582" spans="1:33">
      <c r="A582" s="3"/>
      <c r="B582" s="108"/>
      <c r="C582" s="118"/>
      <c r="D582" s="100"/>
      <c r="E582" s="100"/>
      <c r="F582" s="108"/>
      <c r="G582" s="118"/>
      <c r="H582" s="100"/>
      <c r="I582" s="100"/>
      <c r="J582" s="100"/>
      <c r="K582" s="3"/>
      <c r="L582" s="3"/>
      <c r="W582" s="718" t="s">
        <v>124</v>
      </c>
      <c r="X582" s="719"/>
      <c r="Y582" s="719"/>
      <c r="Z582" s="719"/>
      <c r="AA582" s="719"/>
      <c r="AB582" s="28"/>
      <c r="AC582" s="719" t="s">
        <v>125</v>
      </c>
      <c r="AD582" s="719"/>
      <c r="AE582" s="719"/>
      <c r="AF582" s="719"/>
      <c r="AG582" s="720"/>
    </row>
    <row r="583" spans="1:33">
      <c r="A583" s="3"/>
      <c r="B583" s="108"/>
      <c r="C583" s="118"/>
      <c r="D583" s="100"/>
      <c r="E583" s="100"/>
      <c r="F583" s="108"/>
      <c r="G583" s="118"/>
      <c r="H583" s="100"/>
      <c r="I583" s="100"/>
      <c r="J583" s="100"/>
      <c r="K583" s="3"/>
      <c r="L583" s="3"/>
      <c r="W583" s="26">
        <v>350</v>
      </c>
      <c r="X583" s="30">
        <v>1.7919189140271494</v>
      </c>
      <c r="Y583" s="30">
        <v>2.0905720663650076</v>
      </c>
      <c r="Z583" s="30">
        <v>2.3892252187028662</v>
      </c>
      <c r="AA583" s="30">
        <v>2.6878783710407244</v>
      </c>
      <c r="AB583" s="28"/>
      <c r="AC583" s="28">
        <v>350</v>
      </c>
      <c r="AD583" s="30">
        <v>2.0602017997097244</v>
      </c>
      <c r="AE583" s="30">
        <v>2.4035687663280116</v>
      </c>
      <c r="AF583" s="30">
        <v>2.7469357329462993</v>
      </c>
      <c r="AG583" s="31">
        <v>3.0903026995645866</v>
      </c>
    </row>
    <row r="584" spans="1:33">
      <c r="A584" s="119"/>
      <c r="B584" s="120"/>
      <c r="C584" s="3"/>
      <c r="D584" s="3"/>
      <c r="E584" s="3"/>
      <c r="F584" s="3"/>
      <c r="G584" s="3"/>
      <c r="H584" s="3"/>
      <c r="I584" s="3"/>
      <c r="J584" s="3"/>
      <c r="K584" s="3"/>
      <c r="L584" s="3"/>
      <c r="W584" s="26">
        <v>380</v>
      </c>
      <c r="X584" s="30">
        <v>1.9455119638009055</v>
      </c>
      <c r="Y584" s="30">
        <v>2.2697639577677231</v>
      </c>
      <c r="Z584" s="30">
        <v>2.5940159517345407</v>
      </c>
      <c r="AA584" s="30">
        <v>2.9182679457013583</v>
      </c>
      <c r="AB584" s="28"/>
      <c r="AC584" s="28">
        <v>380</v>
      </c>
      <c r="AD584" s="30">
        <v>2.2367905253991291</v>
      </c>
      <c r="AE584" s="30">
        <v>2.6095889462989836</v>
      </c>
      <c r="AF584" s="30">
        <v>2.982387367198839</v>
      </c>
      <c r="AG584" s="31">
        <v>3.3551857880986939</v>
      </c>
    </row>
    <row r="585" spans="1:33">
      <c r="W585" s="26">
        <v>410</v>
      </c>
      <c r="X585" s="30">
        <v>2.0991050135746607</v>
      </c>
      <c r="Y585" s="30">
        <v>2.4489558491704377</v>
      </c>
      <c r="Z585" s="30">
        <v>2.7988066847662147</v>
      </c>
      <c r="AA585" s="30">
        <v>3.1486575203619913</v>
      </c>
      <c r="AB585" s="28"/>
      <c r="AC585" s="28">
        <v>410</v>
      </c>
      <c r="AD585" s="30">
        <v>2.4133792510885339</v>
      </c>
      <c r="AE585" s="30">
        <v>2.8156091262699561</v>
      </c>
      <c r="AF585" s="30">
        <v>3.2178390014513791</v>
      </c>
      <c r="AG585" s="31">
        <v>3.6200688766328009</v>
      </c>
    </row>
    <row r="586" spans="1:33" ht="26.25">
      <c r="A586" s="1" t="s">
        <v>153</v>
      </c>
      <c r="W586" s="26">
        <v>430</v>
      </c>
      <c r="X586" s="30">
        <v>2.2015003800904984</v>
      </c>
      <c r="Y586" s="30">
        <v>2.5684171101055813</v>
      </c>
      <c r="Z586" s="30">
        <v>2.9353338401206646</v>
      </c>
      <c r="AA586" s="30">
        <v>3.3022505701357474</v>
      </c>
      <c r="AB586" s="28"/>
      <c r="AC586" s="28">
        <v>430</v>
      </c>
      <c r="AD586" s="30">
        <v>2.5311050682148037</v>
      </c>
      <c r="AE586" s="30">
        <v>2.9529559129172713</v>
      </c>
      <c r="AF586" s="30">
        <v>3.3748067576197389</v>
      </c>
      <c r="AG586" s="31">
        <v>3.7966576023222061</v>
      </c>
    </row>
    <row r="587" spans="1:33" ht="23.25">
      <c r="A587" s="1"/>
      <c r="W587" s="26">
        <v>450</v>
      </c>
      <c r="X587" s="30">
        <v>2.3038957466063352</v>
      </c>
      <c r="Y587" s="30">
        <v>2.6878783710407244</v>
      </c>
      <c r="Z587" s="30">
        <v>3.0718609954751135</v>
      </c>
      <c r="AA587" s="30">
        <v>3.4558436199095031</v>
      </c>
      <c r="AB587" s="28"/>
      <c r="AC587" s="28">
        <v>450</v>
      </c>
      <c r="AD587" s="30">
        <v>2.648830885341074</v>
      </c>
      <c r="AE587" s="30">
        <v>3.0903026995645861</v>
      </c>
      <c r="AF587" s="30">
        <v>3.5317745137880991</v>
      </c>
      <c r="AG587" s="31">
        <v>3.9732463280116108</v>
      </c>
    </row>
    <row r="588" spans="1:33" ht="19.5" thickBot="1">
      <c r="A588" s="56" t="s">
        <v>58</v>
      </c>
      <c r="W588" s="57">
        <v>400</v>
      </c>
      <c r="X588" s="58">
        <v>2.0479073303167423</v>
      </c>
      <c r="Y588" s="58">
        <v>2.3892252187028657</v>
      </c>
      <c r="Z588" s="58">
        <v>2.7305431070889901</v>
      </c>
      <c r="AA588" s="58">
        <v>3.0718609954751135</v>
      </c>
      <c r="AB588" s="59"/>
      <c r="AC588" s="59">
        <v>400</v>
      </c>
      <c r="AD588" s="58">
        <v>2.354516342525399</v>
      </c>
      <c r="AE588" s="58">
        <v>2.7469357329462989</v>
      </c>
      <c r="AF588" s="58">
        <v>3.1393551233671988</v>
      </c>
      <c r="AG588" s="60">
        <v>3.5317745137880991</v>
      </c>
    </row>
    <row r="589" spans="1:33" ht="18.75">
      <c r="A589" s="56"/>
      <c r="W589" s="28"/>
      <c r="X589" s="30"/>
      <c r="Y589" s="30"/>
      <c r="Z589" s="30"/>
      <c r="AA589" s="30"/>
      <c r="AB589" s="28"/>
      <c r="AC589" s="28"/>
      <c r="AD589" s="30"/>
      <c r="AE589" s="30"/>
      <c r="AF589" s="30"/>
      <c r="AG589" s="30"/>
    </row>
    <row r="590" spans="1:33">
      <c r="A590" s="21" t="s">
        <v>37</v>
      </c>
      <c r="B590" s="22" t="s">
        <v>25</v>
      </c>
      <c r="W590" s="28"/>
      <c r="X590" s="30"/>
      <c r="Y590" s="30"/>
      <c r="Z590" s="30"/>
      <c r="AA590" s="30"/>
      <c r="AB590" s="28"/>
      <c r="AC590" s="28"/>
      <c r="AD590" s="30"/>
      <c r="AE590" s="30"/>
      <c r="AF590" s="30"/>
      <c r="AG590" s="30"/>
    </row>
    <row r="591" spans="1:33" ht="18">
      <c r="A591" s="23" t="s">
        <v>39</v>
      </c>
      <c r="B591" s="24">
        <f>VLOOKUP(B590,$V$7:$W$16,2,FALSE)</f>
        <v>385</v>
      </c>
      <c r="C591" t="s">
        <v>40</v>
      </c>
      <c r="W591" s="28"/>
      <c r="X591" s="30"/>
      <c r="Y591" s="30"/>
      <c r="Z591" s="30"/>
      <c r="AA591" s="30"/>
      <c r="AB591" s="28"/>
      <c r="AC591" s="28"/>
      <c r="AD591" s="30"/>
      <c r="AE591" s="30"/>
      <c r="AF591" s="30"/>
      <c r="AG591" s="30"/>
    </row>
    <row r="592" spans="1:33" ht="18">
      <c r="A592" s="23" t="s">
        <v>62</v>
      </c>
      <c r="B592" s="90">
        <v>23900</v>
      </c>
      <c r="C592" t="s">
        <v>63</v>
      </c>
      <c r="W592" s="28"/>
      <c r="X592" s="30"/>
      <c r="Y592" s="30"/>
      <c r="Z592" s="30"/>
      <c r="AA592" s="30"/>
      <c r="AB592" s="28"/>
      <c r="AC592" s="28"/>
      <c r="AD592" s="30"/>
      <c r="AE592" s="30"/>
      <c r="AF592" s="30"/>
      <c r="AG592" s="30"/>
    </row>
    <row r="593" spans="1:33">
      <c r="A593" s="23" t="s">
        <v>64</v>
      </c>
      <c r="B593" s="90">
        <v>10</v>
      </c>
      <c r="C593" t="s">
        <v>65</v>
      </c>
      <c r="W593" s="28"/>
      <c r="X593" s="30"/>
      <c r="Y593" s="30"/>
      <c r="Z593" s="30"/>
      <c r="AA593" s="30"/>
      <c r="AB593" s="28"/>
      <c r="AC593" s="28"/>
      <c r="AD593" s="30"/>
      <c r="AE593" s="30"/>
      <c r="AF593" s="30"/>
      <c r="AG593" s="30"/>
    </row>
    <row r="594" spans="1:33" ht="18">
      <c r="A594" s="23" t="s">
        <v>66</v>
      </c>
      <c r="B594" s="101">
        <f>0.033*B591*B593^-0.3</f>
        <v>6.3675838032344938</v>
      </c>
      <c r="C594" t="s">
        <v>67</v>
      </c>
      <c r="W594" s="28"/>
      <c r="X594" s="30"/>
      <c r="Y594" s="30"/>
      <c r="Z594" s="30"/>
      <c r="AA594" s="30"/>
      <c r="AB594" s="28"/>
      <c r="AC594" s="28"/>
      <c r="AD594" s="30"/>
      <c r="AE594" s="30"/>
      <c r="AF594" s="30"/>
      <c r="AG594" s="30"/>
    </row>
    <row r="595" spans="1:33" ht="18">
      <c r="A595" s="23" t="s">
        <v>68</v>
      </c>
      <c r="B595" s="102">
        <f>0.082*B593^-0.3*B591</f>
        <v>15.822480965612984</v>
      </c>
      <c r="C595" t="s">
        <v>67</v>
      </c>
      <c r="W595" s="28"/>
      <c r="X595" s="30"/>
      <c r="Y595" s="30"/>
      <c r="Z595" s="30"/>
      <c r="AA595" s="30"/>
      <c r="AB595" s="28"/>
      <c r="AC595" s="28"/>
      <c r="AD595" s="30"/>
      <c r="AE595" s="30"/>
      <c r="AF595" s="30"/>
      <c r="AG595" s="30"/>
    </row>
    <row r="597" spans="1:33" ht="18">
      <c r="A597" s="4" t="s">
        <v>2</v>
      </c>
      <c r="B597" s="5" t="s">
        <v>43</v>
      </c>
      <c r="C597" s="5" t="s">
        <v>44</v>
      </c>
      <c r="D597" s="5" t="s">
        <v>59</v>
      </c>
      <c r="E597" s="5" t="s">
        <v>60</v>
      </c>
      <c r="F597" s="5" t="s">
        <v>154</v>
      </c>
      <c r="G597" s="5" t="s">
        <v>155</v>
      </c>
      <c r="H597" s="5" t="s">
        <v>156</v>
      </c>
      <c r="I597" s="5" t="s">
        <v>157</v>
      </c>
      <c r="J597" s="5" t="s">
        <v>158</v>
      </c>
    </row>
    <row r="598" spans="1:33">
      <c r="A598" s="8"/>
      <c r="B598" s="9" t="s">
        <v>19</v>
      </c>
      <c r="C598" s="9" t="s">
        <v>18</v>
      </c>
      <c r="D598" s="9" t="s">
        <v>17</v>
      </c>
      <c r="E598" s="9" t="s">
        <v>17</v>
      </c>
      <c r="F598" s="9" t="s">
        <v>19</v>
      </c>
      <c r="G598" s="9" t="s">
        <v>78</v>
      </c>
      <c r="H598" s="9" t="s">
        <v>78</v>
      </c>
      <c r="I598" s="9" t="s">
        <v>18</v>
      </c>
      <c r="J598" s="9" t="s">
        <v>17</v>
      </c>
    </row>
    <row r="599" spans="1:33" ht="45">
      <c r="A599" s="68" t="s">
        <v>372</v>
      </c>
      <c r="B599" s="69">
        <v>3</v>
      </c>
      <c r="C599" s="63">
        <v>84</v>
      </c>
      <c r="D599" s="64">
        <f>($D$604*0.52*SQRT($B$593)*C599^0.9*$B$591^0.8)/1000</f>
        <v>3.1141859386286983</v>
      </c>
      <c r="E599" s="64">
        <f>MIN(2.3*SQRT($B$592*$B$594*$B$593)/1000+D599/4,$B$594*$B$593*C599/1000,$B$594*$B$593*C599/1000*(SQRT(2+4*$B$592/($B$594*$B$593*C599^2))-1)+D599/4)</f>
        <v>3.3862891193202023</v>
      </c>
      <c r="F599" s="69">
        <v>3</v>
      </c>
      <c r="G599" s="69">
        <v>56</v>
      </c>
      <c r="H599" s="69">
        <v>99999999</v>
      </c>
      <c r="I599" s="137">
        <v>0</v>
      </c>
      <c r="J599" s="138">
        <f>E599/SQRT((1/F599+I599/G599)^2+(I599/H599)^2)</f>
        <v>10.158867357960608</v>
      </c>
    </row>
    <row r="600" spans="1:33" ht="60">
      <c r="A600" s="67" t="s">
        <v>373</v>
      </c>
      <c r="B600" s="69">
        <v>4</v>
      </c>
      <c r="C600" s="63">
        <v>84</v>
      </c>
      <c r="D600" s="64">
        <f>($D$604*0.52*SQRT($B$593)*C600^0.9*$B$591^0.8)/1000</f>
        <v>3.1141859386286983</v>
      </c>
      <c r="E600" s="64">
        <f>MIN(2.3*SQRT($B$592*$B$594*$B$593)/1000+D600/4,$B$594*$B$593*C600/1000,$B$594*$B$593*C600/1000*(SQRT(2+4*$B$592/($B$594*$B$593*C600^2))-1)+D600/4)</f>
        <v>3.3862891193202023</v>
      </c>
      <c r="F600" s="69">
        <v>4</v>
      </c>
      <c r="G600" s="69">
        <v>91</v>
      </c>
      <c r="H600" s="69">
        <v>422</v>
      </c>
      <c r="I600" s="137">
        <v>0</v>
      </c>
      <c r="J600" s="138">
        <f>E600/SQRT((1/F600+I600/G600)^2+(I600/H600)^2)</f>
        <v>13.545156477280809</v>
      </c>
    </row>
    <row r="601" spans="1:33" ht="60">
      <c r="A601" s="67" t="s">
        <v>374</v>
      </c>
      <c r="B601" s="69">
        <v>4</v>
      </c>
      <c r="C601" s="63">
        <v>84</v>
      </c>
      <c r="D601" s="64">
        <f>($D$604*0.52*SQRT($B$593)*C601^0.9*$B$591^0.8)/1000</f>
        <v>3.1141859386286983</v>
      </c>
      <c r="E601" s="64">
        <f>MIN(2.3*SQRT($B$592*$B$594*$B$593)/1000+D601/4,$B$594*$B$593*C601/1000,$B$594*$B$593*C601/1000*(SQRT(2+4*$B$592/($B$594*$B$593*C601^2))-1)+D601/4)</f>
        <v>3.3862891193202023</v>
      </c>
      <c r="F601" s="69">
        <v>4</v>
      </c>
      <c r="G601" s="69">
        <v>98</v>
      </c>
      <c r="H601" s="69">
        <v>99999999</v>
      </c>
      <c r="I601" s="137">
        <v>0</v>
      </c>
      <c r="J601" s="138">
        <f>E601/SQRT((1/F601+I601/G601)^2+(I601/H601)^2)</f>
        <v>13.545156477280809</v>
      </c>
    </row>
    <row r="602" spans="1:33" ht="60">
      <c r="A602" s="67" t="s">
        <v>375</v>
      </c>
      <c r="B602" s="69">
        <v>6</v>
      </c>
      <c r="C602" s="63">
        <v>84</v>
      </c>
      <c r="D602" s="64">
        <f>($D$604*0.52*SQRT($B$593)*C602^0.9*$B$591^0.8)/1000</f>
        <v>3.1141859386286983</v>
      </c>
      <c r="E602" s="64">
        <f>MIN(2.3*SQRT($B$592*$B$594*$B$593)/1000+D602/4,$B$594*$B$593*C602/1000,$B$594*$B$593*C602/1000*(SQRT(2+4*$B$592/($B$594*$B$593*C602^2))-1)+D602/4)</f>
        <v>3.3862891193202023</v>
      </c>
      <c r="F602" s="69">
        <v>6</v>
      </c>
      <c r="G602" s="69">
        <v>140</v>
      </c>
      <c r="H602" s="69">
        <v>882</v>
      </c>
      <c r="I602" s="137">
        <v>0</v>
      </c>
      <c r="J602" s="138">
        <f>E602/SQRT((1/F602+I602/G602)^2+(I602/H602)^2)</f>
        <v>20.317734715921215</v>
      </c>
    </row>
    <row r="603" spans="1:33" ht="60">
      <c r="A603" s="67" t="s">
        <v>376</v>
      </c>
      <c r="B603" s="69">
        <v>5</v>
      </c>
      <c r="C603" s="63">
        <v>84</v>
      </c>
      <c r="D603" s="64">
        <f>($D$604*0.52*SQRT($B$593)*C603^0.9*$B$591^0.8)/1000</f>
        <v>3.1141859386286983</v>
      </c>
      <c r="E603" s="64">
        <f>MIN(2.3*SQRT($B$592*$B$594*$B$593)/1000+D603/4,$B$594*$B$593*C603/1000,$B$594*$B$593*C603/1000*(SQRT(2+4*$B$592/($B$594*$B$593*C603^2))-1)+D603/4)</f>
        <v>3.3862891193202023</v>
      </c>
      <c r="F603" s="69">
        <v>5</v>
      </c>
      <c r="G603" s="69">
        <v>151</v>
      </c>
      <c r="H603" s="69">
        <v>99999999</v>
      </c>
      <c r="I603" s="137">
        <v>0</v>
      </c>
      <c r="J603" s="138">
        <f>E603/SQRT((1/F603+I603/G603)^2+(I603/H603)^2)</f>
        <v>16.931445596601009</v>
      </c>
    </row>
    <row r="604" spans="1:33">
      <c r="A604" s="91"/>
      <c r="C604" t="s">
        <v>355</v>
      </c>
      <c r="D604" s="22">
        <v>0.3</v>
      </c>
    </row>
    <row r="606" spans="1:33">
      <c r="F606" s="24"/>
      <c r="G606" s="24"/>
      <c r="H606" s="24"/>
      <c r="I606" s="24"/>
      <c r="J606" s="24"/>
      <c r="K606" s="24"/>
    </row>
    <row r="607" spans="1:33">
      <c r="F607" s="24"/>
      <c r="G607" s="24"/>
      <c r="H607" s="24"/>
      <c r="I607" s="24"/>
      <c r="J607" s="24"/>
      <c r="K607" s="24"/>
    </row>
    <row r="608" spans="1:33" ht="18">
      <c r="A608" s="4" t="s">
        <v>2</v>
      </c>
      <c r="B608" s="5" t="s">
        <v>43</v>
      </c>
      <c r="C608" s="5" t="s">
        <v>44</v>
      </c>
      <c r="D608" s="5" t="s">
        <v>69</v>
      </c>
      <c r="E608" s="5" t="s">
        <v>70</v>
      </c>
      <c r="F608" s="5" t="s">
        <v>154</v>
      </c>
      <c r="G608" s="5" t="s">
        <v>159</v>
      </c>
      <c r="H608" s="5" t="s">
        <v>156</v>
      </c>
      <c r="I608" s="5" t="s">
        <v>160</v>
      </c>
      <c r="J608" s="5" t="s">
        <v>161</v>
      </c>
      <c r="K608" s="5" t="s">
        <v>162</v>
      </c>
    </row>
    <row r="609" spans="1:20">
      <c r="A609" s="8"/>
      <c r="B609" s="9" t="s">
        <v>19</v>
      </c>
      <c r="C609" s="9" t="s">
        <v>18</v>
      </c>
      <c r="D609" s="9" t="s">
        <v>17</v>
      </c>
      <c r="E609" s="9" t="s">
        <v>17</v>
      </c>
      <c r="F609" s="9" t="s">
        <v>19</v>
      </c>
      <c r="G609" s="9" t="s">
        <v>78</v>
      </c>
      <c r="H609" s="9" t="s">
        <v>78</v>
      </c>
      <c r="I609" s="9" t="s">
        <v>78</v>
      </c>
      <c r="J609" s="9" t="s">
        <v>18</v>
      </c>
      <c r="K609" s="62" t="s">
        <v>17</v>
      </c>
    </row>
    <row r="610" spans="1:20" ht="45">
      <c r="A610" s="68" t="s">
        <v>372</v>
      </c>
      <c r="B610" s="139">
        <v>3</v>
      </c>
      <c r="C610" s="140">
        <v>65</v>
      </c>
      <c r="D610" s="141">
        <f>(0.52*SQRT($B$593)*54^0.9*$B$591^0.8)/1000</f>
        <v>6.974712508553587</v>
      </c>
      <c r="E610" s="141">
        <f>MIN(2.3*SQRT($B$592*$B$595*$B$593)/1000+D610/4,$B$595*$B$593*C610/1000,$B$595*$B$593*C610/1000*(SQRT(2+4*$B$592/($B$595*$B$593*C610^2))-1)+D610/4)</f>
        <v>6.2163195066404633</v>
      </c>
      <c r="F610" s="139">
        <v>3</v>
      </c>
      <c r="G610" s="139">
        <v>56</v>
      </c>
      <c r="H610" s="139">
        <v>99999999</v>
      </c>
      <c r="I610" s="86">
        <v>2.2200000000000002</v>
      </c>
      <c r="J610" s="142">
        <f>I599</f>
        <v>0</v>
      </c>
      <c r="K610" s="138">
        <f>E610/SQRT((1/F610+J610/G610)^2+(J610/H610)^2+(E610/(I610*D610))^2)</f>
        <v>11.912900203514738</v>
      </c>
    </row>
    <row r="611" spans="1:20" ht="60">
      <c r="A611" s="67" t="s">
        <v>373</v>
      </c>
      <c r="B611" s="139">
        <v>4</v>
      </c>
      <c r="C611" s="140">
        <v>66</v>
      </c>
      <c r="D611" s="141">
        <f>(0.52*SQRT($B$593)*54^0.9*$B$591^0.8)/1000</f>
        <v>6.974712508553587</v>
      </c>
      <c r="E611" s="141">
        <f>MIN(2.3*SQRT($B$592*$B$595*$B$593)/1000+D611/4,$B$595*$B$593*C611/1000,$B$595*$B$593*C611/1000*(SQRT(2+4*$B$592/($B$595*$B$593*C611^2))-1)+D611/4)</f>
        <v>6.2163195066404633</v>
      </c>
      <c r="F611" s="139">
        <v>4</v>
      </c>
      <c r="G611" s="139">
        <v>91</v>
      </c>
      <c r="H611" s="139">
        <v>422</v>
      </c>
      <c r="I611" s="143">
        <v>2.2200000000000002</v>
      </c>
      <c r="J611" s="142">
        <f>I600</f>
        <v>0</v>
      </c>
      <c r="K611" s="138">
        <f>E611/SQRT((1/F611+J611/G611)^2+(J611/H611)^2+(E611/(I611*D611))^2)</f>
        <v>13.143797389630212</v>
      </c>
    </row>
    <row r="612" spans="1:20" ht="60">
      <c r="A612" s="67" t="s">
        <v>374</v>
      </c>
      <c r="B612" s="139">
        <v>4</v>
      </c>
      <c r="C612" s="140">
        <v>66</v>
      </c>
      <c r="D612" s="141">
        <f>(0.52*SQRT($B$593)*54^0.9*$B$591^0.8)/1000</f>
        <v>6.974712508553587</v>
      </c>
      <c r="E612" s="141">
        <f>MIN(2.3*SQRT($B$592*$B$595*$B$593)/1000+D612/4,$B$595*$B$593*C612/1000,$B$595*$B$593*C612/1000*(SQRT(2+4*$B$592/($B$595*$B$593*C612^2))-1)+D612/4)</f>
        <v>6.2163195066404633</v>
      </c>
      <c r="F612" s="139">
        <v>4</v>
      </c>
      <c r="G612" s="139">
        <v>98</v>
      </c>
      <c r="H612" s="139">
        <v>99999999</v>
      </c>
      <c r="I612" s="143">
        <v>2.96</v>
      </c>
      <c r="J612" s="142">
        <f>I601</f>
        <v>0</v>
      </c>
      <c r="K612" s="138">
        <f>E612/SQRT((1/F612+J612/G612)^2+(J612/H612)^2+(E612/(I612*D612))^2)</f>
        <v>15.883866938019651</v>
      </c>
    </row>
    <row r="613" spans="1:20" ht="60">
      <c r="A613" s="67" t="s">
        <v>375</v>
      </c>
      <c r="B613" s="139">
        <v>6</v>
      </c>
      <c r="C613" s="140">
        <v>67.5</v>
      </c>
      <c r="D613" s="141">
        <f>(0.52*SQRT($B$593)*54^0.9*$B$591^0.8)/1000</f>
        <v>6.974712508553587</v>
      </c>
      <c r="E613" s="141">
        <f>MIN(2.3*SQRT($B$592*$B$595*$B$593)/1000+D613/4,$B$595*$B$593*C613/1000,$B$595*$B$593*C613/1000*(SQRT(2+4*$B$592/($B$595*$B$593*C613^2))-1)+D613/4)</f>
        <v>6.2163195066404633</v>
      </c>
      <c r="F613" s="139">
        <v>6</v>
      </c>
      <c r="G613" s="139">
        <v>140</v>
      </c>
      <c r="H613" s="139">
        <v>882</v>
      </c>
      <c r="I613" s="143">
        <v>3.46</v>
      </c>
      <c r="J613" s="142">
        <f>I602</f>
        <v>0</v>
      </c>
      <c r="K613" s="138">
        <f>E613/SQRT((1/F613+J613/G613)^2+(J613/H613)^2+(E613/(I613*D613))^2)</f>
        <v>20.261288282124188</v>
      </c>
    </row>
    <row r="614" spans="1:20" ht="60">
      <c r="A614" s="67" t="s">
        <v>376</v>
      </c>
      <c r="B614" s="139">
        <v>6</v>
      </c>
      <c r="C614" s="140">
        <v>67</v>
      </c>
      <c r="D614" s="141">
        <f>(0.52*SQRT($B$593)*54^0.9*$B$591^0.8)/1000</f>
        <v>6.974712508553587</v>
      </c>
      <c r="E614" s="141">
        <f>MIN(2.3*SQRT($B$592*$B$595*$B$593)/1000+D614/4,$B$595*$B$593*C614/1000,$B$595*$B$593*C614/1000*(SQRT(2+4*$B$592/($B$595*$B$593*C614^2))-1)+D614/4)</f>
        <v>6.2163195066404633</v>
      </c>
      <c r="F614" s="139">
        <v>6</v>
      </c>
      <c r="G614" s="139">
        <v>151</v>
      </c>
      <c r="H614" s="139">
        <v>99999999</v>
      </c>
      <c r="I614" s="143">
        <v>3.7</v>
      </c>
      <c r="J614" s="142">
        <f>I603</f>
        <v>0</v>
      </c>
      <c r="K614" s="138">
        <f>E614/SQRT((1/F614+J614/G614)^2+(J614/H614)^2+(E614/(I614*D614))^2)</f>
        <v>21.221896745223432</v>
      </c>
    </row>
    <row r="615" spans="1:20">
      <c r="A615" s="23"/>
      <c r="B615" s="77"/>
    </row>
    <row r="616" spans="1:20">
      <c r="A616" s="23"/>
      <c r="B616" s="77"/>
      <c r="E616" t="s">
        <v>72</v>
      </c>
      <c r="F616" s="144"/>
    </row>
    <row r="617" spans="1:20" ht="18">
      <c r="A617" s="4" t="s">
        <v>2</v>
      </c>
      <c r="B617" s="78" t="s">
        <v>163</v>
      </c>
      <c r="C617" s="78" t="s">
        <v>164</v>
      </c>
      <c r="D617" s="78" t="s">
        <v>162</v>
      </c>
      <c r="E617" s="145" t="s">
        <v>165</v>
      </c>
      <c r="F617" s="80"/>
      <c r="O617" s="4" t="s">
        <v>2</v>
      </c>
      <c r="P617" s="710" t="s">
        <v>166</v>
      </c>
      <c r="Q617" s="711"/>
      <c r="R617" s="711"/>
      <c r="S617" s="711"/>
      <c r="T617" s="712"/>
    </row>
    <row r="618" spans="1:20">
      <c r="A618" s="8"/>
      <c r="B618" s="81" t="s">
        <v>17</v>
      </c>
      <c r="C618" s="82" t="s">
        <v>17</v>
      </c>
      <c r="D618" s="82" t="s">
        <v>17</v>
      </c>
      <c r="E618" s="146" t="s">
        <v>17</v>
      </c>
      <c r="F618" s="84"/>
      <c r="O618" s="8"/>
      <c r="P618" s="95">
        <v>0.6</v>
      </c>
      <c r="Q618" s="95">
        <v>0.7</v>
      </c>
      <c r="R618" s="95">
        <v>0.8</v>
      </c>
      <c r="S618" s="95">
        <v>0.9</v>
      </c>
      <c r="T618" s="95">
        <v>1</v>
      </c>
    </row>
    <row r="619" spans="1:20" ht="45">
      <c r="A619" s="68" t="s">
        <v>372</v>
      </c>
      <c r="B619" s="64">
        <f>J599</f>
        <v>10.158867357960608</v>
      </c>
      <c r="C619" s="64">
        <v>12</v>
      </c>
      <c r="D619" s="64">
        <f>K610</f>
        <v>11.912900203514738</v>
      </c>
      <c r="E619" s="147">
        <f>MIN(B619,D619)</f>
        <v>10.158867357960608</v>
      </c>
      <c r="F619" s="148"/>
      <c r="O619" s="68" t="s">
        <v>372</v>
      </c>
      <c r="P619" s="88">
        <f>MIN(P$618*$B619/1.3,$C619/1,P$618*$D619/1.3)</f>
        <v>4.6887080113664341</v>
      </c>
      <c r="Q619" s="88">
        <f>MIN(Q$618*$B619/1.3,$C619/1,Q$618*$D619/1.3)</f>
        <v>5.4701593465941727</v>
      </c>
      <c r="R619" s="88">
        <f>MIN(R$618*$B619/1.3,$C619/1,R$618*$D619/1.3)</f>
        <v>6.2516106818219122</v>
      </c>
      <c r="S619" s="88">
        <f>MIN(S$618*$B619/1.3,$C619/1,S$618*$D619/1.3)</f>
        <v>7.0330620170496516</v>
      </c>
      <c r="T619" s="88">
        <f>MIN(T$618*$B619/1.3,$C619/1,T$618*$D619/1.3)</f>
        <v>7.8145133522773902</v>
      </c>
    </row>
    <row r="620" spans="1:20" ht="60">
      <c r="A620" s="67" t="s">
        <v>373</v>
      </c>
      <c r="B620" s="64">
        <f>J600</f>
        <v>13.545156477280809</v>
      </c>
      <c r="C620" s="64">
        <v>16</v>
      </c>
      <c r="D620" s="64">
        <f>K611</f>
        <v>13.143797389630212</v>
      </c>
      <c r="E620" s="147">
        <f>MIN(B620,D620)</f>
        <v>13.143797389630212</v>
      </c>
      <c r="F620" s="148"/>
      <c r="O620" s="67" t="s">
        <v>373</v>
      </c>
      <c r="P620" s="88">
        <f t="shared" ref="P620:T623" si="144">MIN(P$618*$B620/1.3,$C620/1,P$618*$D620/1.3)</f>
        <v>6.0663680259831745</v>
      </c>
      <c r="Q620" s="88">
        <f t="shared" si="144"/>
        <v>7.0774293636470365</v>
      </c>
      <c r="R620" s="88">
        <f t="shared" si="144"/>
        <v>8.0884907013108993</v>
      </c>
      <c r="S620" s="88">
        <f t="shared" si="144"/>
        <v>9.0995520389747622</v>
      </c>
      <c r="T620" s="88">
        <f t="shared" si="144"/>
        <v>10.110613376638623</v>
      </c>
    </row>
    <row r="621" spans="1:20" ht="60">
      <c r="A621" s="67" t="s">
        <v>374</v>
      </c>
      <c r="B621" s="64">
        <f>J601</f>
        <v>13.545156477280809</v>
      </c>
      <c r="C621" s="64">
        <v>16</v>
      </c>
      <c r="D621" s="64">
        <f>K612</f>
        <v>15.883866938019651</v>
      </c>
      <c r="E621" s="147">
        <f>MIN(B621,D621)</f>
        <v>13.545156477280809</v>
      </c>
      <c r="F621" s="148"/>
      <c r="O621" s="67" t="s">
        <v>374</v>
      </c>
      <c r="P621" s="88">
        <f t="shared" si="144"/>
        <v>6.2516106818219113</v>
      </c>
      <c r="Q621" s="88">
        <f t="shared" si="144"/>
        <v>7.293545795458896</v>
      </c>
      <c r="R621" s="88">
        <f t="shared" si="144"/>
        <v>8.3354809090958835</v>
      </c>
      <c r="S621" s="88">
        <f t="shared" si="144"/>
        <v>9.3774160227328682</v>
      </c>
      <c r="T621" s="88">
        <f t="shared" si="144"/>
        <v>10.419351136369853</v>
      </c>
    </row>
    <row r="622" spans="1:20" ht="60">
      <c r="A622" s="67" t="s">
        <v>375</v>
      </c>
      <c r="B622" s="64">
        <f>J602</f>
        <v>20.317734715921215</v>
      </c>
      <c r="C622" s="64">
        <v>20</v>
      </c>
      <c r="D622" s="64">
        <f>K613</f>
        <v>20.261288282124188</v>
      </c>
      <c r="E622" s="147">
        <f>MIN(B622,D622)</f>
        <v>20.261288282124188</v>
      </c>
      <c r="F622" s="148"/>
      <c r="O622" s="67" t="s">
        <v>375</v>
      </c>
      <c r="P622" s="88">
        <f t="shared" si="144"/>
        <v>9.351363822518854</v>
      </c>
      <c r="Q622" s="88">
        <f t="shared" si="144"/>
        <v>10.909924459605332</v>
      </c>
      <c r="R622" s="88">
        <f t="shared" si="144"/>
        <v>12.468485096691809</v>
      </c>
      <c r="S622" s="88">
        <f t="shared" si="144"/>
        <v>14.027045733778284</v>
      </c>
      <c r="T622" s="88">
        <f t="shared" si="144"/>
        <v>15.58560637086476</v>
      </c>
    </row>
    <row r="623" spans="1:20" ht="60">
      <c r="A623" s="67" t="s">
        <v>376</v>
      </c>
      <c r="B623" s="64">
        <f>J603</f>
        <v>16.931445596601009</v>
      </c>
      <c r="C623" s="64">
        <v>20</v>
      </c>
      <c r="D623" s="64">
        <f>K614</f>
        <v>21.221896745223432</v>
      </c>
      <c r="E623" s="147">
        <f>MIN(B623,D623)</f>
        <v>16.931445596601009</v>
      </c>
      <c r="F623" s="148"/>
      <c r="O623" s="67" t="s">
        <v>376</v>
      </c>
      <c r="P623" s="88">
        <f t="shared" si="144"/>
        <v>7.8145133522773875</v>
      </c>
      <c r="Q623" s="88">
        <f t="shared" si="144"/>
        <v>9.1169322443236194</v>
      </c>
      <c r="R623" s="88">
        <f t="shared" si="144"/>
        <v>10.419351136369851</v>
      </c>
      <c r="S623" s="88">
        <f>MIN(S$618*$B623/1.3,$C623/1,S$618*$D623/1.3)</f>
        <v>11.721770028416083</v>
      </c>
      <c r="T623" s="88">
        <f>MIN(T$618*$B623/1.3,$C623/1,T$618*$D623/1.3)</f>
        <v>13.024188920462313</v>
      </c>
    </row>
    <row r="624" spans="1:20">
      <c r="A624" s="23"/>
      <c r="B624" s="77"/>
      <c r="D624" s="99"/>
    </row>
    <row r="625" spans="1:19">
      <c r="A625" s="23"/>
      <c r="B625" s="77"/>
    </row>
    <row r="626" spans="1:19">
      <c r="A626" s="23"/>
      <c r="B626" s="77"/>
    </row>
    <row r="627" spans="1:19">
      <c r="A627" s="23"/>
      <c r="B627" s="77"/>
    </row>
    <row r="628" spans="1:19">
      <c r="A628" s="23"/>
      <c r="B628" s="77"/>
    </row>
    <row r="629" spans="1:19" ht="18.75">
      <c r="A629" s="56" t="s">
        <v>79</v>
      </c>
      <c r="B629" s="77"/>
    </row>
    <row r="630" spans="1:19">
      <c r="P630" s="4" t="s">
        <v>15</v>
      </c>
      <c r="Q630" s="4" t="s">
        <v>16</v>
      </c>
      <c r="R630"/>
    </row>
    <row r="631" spans="1:19">
      <c r="A631" s="21" t="s">
        <v>37</v>
      </c>
      <c r="B631" t="str">
        <f>'Load bearing values_RICON_EN'!F89</f>
        <v>GL24h</v>
      </c>
      <c r="P631" s="8" t="s">
        <v>20</v>
      </c>
      <c r="Q631" s="8" t="s">
        <v>21</v>
      </c>
      <c r="R631"/>
    </row>
    <row r="632" spans="1:19" ht="18">
      <c r="A632" s="23" t="s">
        <v>39</v>
      </c>
      <c r="B632" s="24">
        <f>VLOOKUP(B631,P632:Q639,2,FALSE)</f>
        <v>385</v>
      </c>
      <c r="C632" t="s">
        <v>40</v>
      </c>
      <c r="P632" s="14" t="s">
        <v>22</v>
      </c>
      <c r="Q632" s="15">
        <v>350</v>
      </c>
      <c r="R632" s="14" t="s">
        <v>655</v>
      </c>
      <c r="S632" s="14" t="s">
        <v>683</v>
      </c>
    </row>
    <row r="633" spans="1:19" ht="18">
      <c r="A633" s="23" t="s">
        <v>62</v>
      </c>
      <c r="B633" s="90">
        <v>13400</v>
      </c>
      <c r="C633" s="90">
        <v>3900</v>
      </c>
      <c r="D633" t="s">
        <v>63</v>
      </c>
      <c r="P633" s="14" t="s">
        <v>23</v>
      </c>
      <c r="Q633" s="15">
        <v>380</v>
      </c>
      <c r="R633" s="14" t="s">
        <v>655</v>
      </c>
      <c r="S633" s="14" t="s">
        <v>683</v>
      </c>
    </row>
    <row r="634" spans="1:19">
      <c r="A634" s="23" t="s">
        <v>64</v>
      </c>
      <c r="B634" s="90">
        <v>8</v>
      </c>
      <c r="C634" s="90">
        <v>5</v>
      </c>
      <c r="D634" t="s">
        <v>65</v>
      </c>
      <c r="P634" s="14" t="s">
        <v>24</v>
      </c>
      <c r="Q634" s="15">
        <v>365</v>
      </c>
      <c r="R634" s="14" t="s">
        <v>651</v>
      </c>
      <c r="S634" s="14" t="s">
        <v>681</v>
      </c>
    </row>
    <row r="635" spans="1:19" ht="18">
      <c r="A635" s="23" t="s">
        <v>66</v>
      </c>
      <c r="B635" s="101">
        <f>0.033*$B$632*B634^-0.3</f>
        <v>6.808440920761802</v>
      </c>
      <c r="C635" s="101">
        <f>0.033*$B$632*C634^-0.3</f>
        <v>7.8394152258577217</v>
      </c>
      <c r="D635" t="s">
        <v>67</v>
      </c>
      <c r="P635" s="14" t="s">
        <v>25</v>
      </c>
      <c r="Q635" s="15">
        <v>385</v>
      </c>
      <c r="R635" s="14" t="s">
        <v>652</v>
      </c>
      <c r="S635" s="14" t="s">
        <v>684</v>
      </c>
    </row>
    <row r="636" spans="1:19" ht="18">
      <c r="A636" s="23" t="s">
        <v>68</v>
      </c>
      <c r="B636" s="102">
        <f>0.082*B634^-0.3*$B$632</f>
        <v>16.917944106135387</v>
      </c>
      <c r="C636" s="102">
        <f>0.082*C634^-0.3*$B$632</f>
        <v>19.479759046070704</v>
      </c>
      <c r="D636" t="s">
        <v>67</v>
      </c>
      <c r="P636" s="14" t="s">
        <v>653</v>
      </c>
      <c r="Q636" s="15">
        <v>390</v>
      </c>
      <c r="R636" s="14" t="s">
        <v>651</v>
      </c>
      <c r="S636" s="14" t="s">
        <v>681</v>
      </c>
    </row>
    <row r="637" spans="1:19" ht="33">
      <c r="A637" s="149" t="s">
        <v>167</v>
      </c>
      <c r="B637" s="102">
        <v>4</v>
      </c>
      <c r="C637" s="90" t="s">
        <v>168</v>
      </c>
      <c r="P637" s="14" t="s">
        <v>26</v>
      </c>
      <c r="Q637" s="15">
        <v>425</v>
      </c>
      <c r="R637" s="14" t="s">
        <v>652</v>
      </c>
      <c r="S637" s="14" t="s">
        <v>684</v>
      </c>
    </row>
    <row r="638" spans="1:19">
      <c r="A638" s="23"/>
      <c r="B638" s="77"/>
      <c r="P638" s="14" t="s">
        <v>663</v>
      </c>
      <c r="Q638" s="15">
        <v>530</v>
      </c>
      <c r="R638" s="14" t="s">
        <v>664</v>
      </c>
      <c r="S638" s="14" t="s">
        <v>685</v>
      </c>
    </row>
    <row r="639" spans="1:19" ht="18">
      <c r="A639" s="4" t="s">
        <v>2</v>
      </c>
      <c r="B639" s="5" t="s">
        <v>43</v>
      </c>
      <c r="C639" s="5" t="s">
        <v>9</v>
      </c>
      <c r="D639" s="5" t="s">
        <v>44</v>
      </c>
      <c r="E639" s="5" t="s">
        <v>59</v>
      </c>
      <c r="F639" s="5" t="s">
        <v>60</v>
      </c>
      <c r="G639" s="5" t="s">
        <v>43</v>
      </c>
      <c r="H639" s="5" t="s">
        <v>9</v>
      </c>
      <c r="I639" s="5" t="s">
        <v>44</v>
      </c>
      <c r="J639" s="5" t="s">
        <v>59</v>
      </c>
      <c r="K639" s="5" t="s">
        <v>60</v>
      </c>
      <c r="L639" s="5" t="s">
        <v>169</v>
      </c>
      <c r="P639" s="14" t="s">
        <v>665</v>
      </c>
      <c r="Q639" s="15">
        <v>590</v>
      </c>
      <c r="R639" s="14" t="s">
        <v>687</v>
      </c>
      <c r="S639" s="14" t="s">
        <v>686</v>
      </c>
    </row>
    <row r="640" spans="1:19">
      <c r="A640" s="8"/>
      <c r="B640" s="9" t="s">
        <v>19</v>
      </c>
      <c r="C640" s="9" t="s">
        <v>18</v>
      </c>
      <c r="D640" s="9" t="s">
        <v>18</v>
      </c>
      <c r="E640" s="9" t="s">
        <v>17</v>
      </c>
      <c r="F640" s="9" t="s">
        <v>17</v>
      </c>
      <c r="G640" s="9" t="s">
        <v>19</v>
      </c>
      <c r="H640" s="9" t="s">
        <v>18</v>
      </c>
      <c r="I640" s="9" t="s">
        <v>18</v>
      </c>
      <c r="J640" s="9" t="s">
        <v>17</v>
      </c>
      <c r="K640" s="9" t="s">
        <v>17</v>
      </c>
      <c r="L640" s="62" t="s">
        <v>17</v>
      </c>
    </row>
    <row r="641" spans="1:27" ht="45">
      <c r="A641" s="396" t="s">
        <v>356</v>
      </c>
      <c r="B641" s="63">
        <v>1</v>
      </c>
      <c r="C641" s="63">
        <v>8</v>
      </c>
      <c r="D641" s="303">
        <v>65</v>
      </c>
      <c r="E641" s="64">
        <f>(0.3*0.52*SQRT($C641)*D641^0.9*$B$632^0.8)/1000</f>
        <v>2.2113638026311735</v>
      </c>
      <c r="F641" s="64">
        <f t="shared" ref="F641:F655" si="145">MIN(2.3*SQRT($B$633*$B$635*$B$634)/1000+(E641/4),$B$634*$B$635*D641/1000,$B$634*$B$635*D641/1000*(SQRT(2+4*$B$633/($B$634*$B$635*D641^2))-1)+E641/4)</f>
        <v>2.3028365309859833</v>
      </c>
      <c r="G641" s="63">
        <v>2</v>
      </c>
      <c r="H641" s="63">
        <v>5</v>
      </c>
      <c r="I641" s="303">
        <v>70</v>
      </c>
      <c r="J641" s="734" t="s">
        <v>170</v>
      </c>
      <c r="K641" s="735"/>
      <c r="L641" s="736"/>
    </row>
    <row r="642" spans="1:27" ht="45">
      <c r="A642" s="396" t="s">
        <v>360</v>
      </c>
      <c r="B642" s="63">
        <v>2</v>
      </c>
      <c r="C642" s="63">
        <v>8</v>
      </c>
      <c r="D642" s="303">
        <v>65</v>
      </c>
      <c r="E642" s="64">
        <f t="shared" ref="E642:E655" si="146">(0.3*0.52*SQRT($C642)*D642^0.9*$B$632^0.8)/1000</f>
        <v>2.2113638026311735</v>
      </c>
      <c r="F642" s="64">
        <f t="shared" si="145"/>
        <v>2.3028365309859833</v>
      </c>
      <c r="G642" s="63">
        <v>2</v>
      </c>
      <c r="H642" s="63">
        <v>5</v>
      </c>
      <c r="I642" s="303">
        <v>70</v>
      </c>
      <c r="J642" s="737"/>
      <c r="K642" s="738"/>
      <c r="L642" s="739"/>
    </row>
    <row r="643" spans="1:27" ht="45">
      <c r="A643" s="396" t="s">
        <v>357</v>
      </c>
      <c r="B643" s="63">
        <v>2</v>
      </c>
      <c r="C643" s="63">
        <v>8</v>
      </c>
      <c r="D643" s="303">
        <v>65</v>
      </c>
      <c r="E643" s="64">
        <f t="shared" si="146"/>
        <v>2.2113638026311735</v>
      </c>
      <c r="F643" s="64">
        <f t="shared" si="145"/>
        <v>2.3028365309859833</v>
      </c>
      <c r="G643" s="63">
        <v>4</v>
      </c>
      <c r="H643" s="63">
        <v>5</v>
      </c>
      <c r="I643" s="303">
        <v>70</v>
      </c>
      <c r="J643" s="737"/>
      <c r="K643" s="738"/>
      <c r="L643" s="739"/>
    </row>
    <row r="644" spans="1:27" ht="45">
      <c r="A644" s="396" t="s">
        <v>359</v>
      </c>
      <c r="B644" s="63">
        <v>2</v>
      </c>
      <c r="C644" s="63">
        <v>8</v>
      </c>
      <c r="D644" s="303">
        <v>65</v>
      </c>
      <c r="E644" s="64">
        <f t="shared" si="146"/>
        <v>2.2113638026311735</v>
      </c>
      <c r="F644" s="64">
        <f t="shared" si="145"/>
        <v>2.3028365309859833</v>
      </c>
      <c r="G644" s="63">
        <v>6</v>
      </c>
      <c r="H644" s="63">
        <v>5</v>
      </c>
      <c r="I644" s="303">
        <v>70</v>
      </c>
      <c r="J644" s="737"/>
      <c r="K644" s="738"/>
      <c r="L644" s="739"/>
    </row>
    <row r="645" spans="1:27" ht="45">
      <c r="A645" s="396" t="s">
        <v>358</v>
      </c>
      <c r="B645" s="63">
        <v>2</v>
      </c>
      <c r="C645" s="63">
        <v>8</v>
      </c>
      <c r="D645" s="303">
        <v>65</v>
      </c>
      <c r="E645" s="64">
        <f t="shared" si="146"/>
        <v>2.2113638026311735</v>
      </c>
      <c r="F645" s="64">
        <f t="shared" si="145"/>
        <v>2.3028365309859833</v>
      </c>
      <c r="G645" s="63">
        <v>8</v>
      </c>
      <c r="H645" s="63">
        <v>5</v>
      </c>
      <c r="I645" s="303">
        <v>70</v>
      </c>
      <c r="J645" s="737"/>
      <c r="K645" s="738"/>
      <c r="L645" s="739"/>
    </row>
    <row r="646" spans="1:27" ht="45">
      <c r="A646" s="396" t="s">
        <v>361</v>
      </c>
      <c r="B646" s="63">
        <v>2</v>
      </c>
      <c r="C646" s="63">
        <v>8</v>
      </c>
      <c r="D646" s="303">
        <v>65</v>
      </c>
      <c r="E646" s="64">
        <f t="shared" si="146"/>
        <v>2.2113638026311735</v>
      </c>
      <c r="F646" s="64">
        <f t="shared" si="145"/>
        <v>2.3028365309859833</v>
      </c>
      <c r="G646" s="63">
        <v>10</v>
      </c>
      <c r="H646" s="63">
        <v>5</v>
      </c>
      <c r="I646" s="303">
        <v>70</v>
      </c>
      <c r="J646" s="737"/>
      <c r="K646" s="738"/>
      <c r="L646" s="739"/>
    </row>
    <row r="647" spans="1:27" ht="45">
      <c r="A647" s="408" t="s">
        <v>788</v>
      </c>
      <c r="B647" s="63">
        <v>2</v>
      </c>
      <c r="C647" s="63">
        <v>8</v>
      </c>
      <c r="D647" s="303">
        <f>160-15</f>
        <v>145</v>
      </c>
      <c r="E647" s="64">
        <f>(0.6*0.52*SQRT($C647)*D647^0.9*$B$632^0.8)/1000</f>
        <v>9.1054072130615449</v>
      </c>
      <c r="F647" s="64">
        <f>MIN(2.3*SQRT($B$633*$B$635*$B$634)/1000+(E647/4),$B$634*$B$635*D647/1000,$B$634*$B$635*D647/1000*(SQRT(2+4*$B$633/($B$634*$B$635*D647^2))-1)+E647/4)</f>
        <v>4.2412907704786091</v>
      </c>
      <c r="G647" s="63">
        <v>4</v>
      </c>
      <c r="H647" s="63">
        <v>5</v>
      </c>
      <c r="I647" s="303">
        <v>70</v>
      </c>
      <c r="J647" s="737"/>
      <c r="K647" s="738"/>
      <c r="L647" s="739"/>
    </row>
    <row r="648" spans="1:27" ht="45">
      <c r="A648" s="408" t="s">
        <v>757</v>
      </c>
      <c r="B648" s="63">
        <v>2</v>
      </c>
      <c r="C648" s="63">
        <v>8</v>
      </c>
      <c r="D648" s="303">
        <f>160-15</f>
        <v>145</v>
      </c>
      <c r="E648" s="64">
        <f>(0.6*0.52*SQRT($C648)*D648^0.9*$B$632^0.8)/1000</f>
        <v>9.1054072130615449</v>
      </c>
      <c r="F648" s="64">
        <f>MIN(2.3*SQRT($B$633*$B$635*$B$634)/1000+(E648/4),$B$634*$B$635*D648/1000,$B$634*$B$635*D648/1000*(SQRT(2+4*$B$633/($B$634*$B$635*D648^2))-1)+E648/4)</f>
        <v>4.2412907704786091</v>
      </c>
      <c r="G648" s="63">
        <v>6</v>
      </c>
      <c r="H648" s="63">
        <v>5</v>
      </c>
      <c r="I648" s="303">
        <v>70</v>
      </c>
      <c r="J648" s="737"/>
      <c r="K648" s="738"/>
      <c r="L648" s="739"/>
    </row>
    <row r="649" spans="1:27" ht="45">
      <c r="A649" s="408" t="s">
        <v>362</v>
      </c>
      <c r="B649" s="63">
        <v>2</v>
      </c>
      <c r="C649" s="63">
        <v>8</v>
      </c>
      <c r="D649" s="303">
        <f>160-15</f>
        <v>145</v>
      </c>
      <c r="E649" s="64">
        <f>(0.6*0.52*SQRT($C649)*D649^0.9*$B$632^0.8)/1000</f>
        <v>9.1054072130615449</v>
      </c>
      <c r="F649" s="64">
        <f>MIN(2.3*SQRT($B$633*$B$635*$B$634)/1000+(E649/4),$B$634*$B$635*D649/1000,$B$634*$B$635*D649/1000*(SQRT(2+4*$B$633/($B$634*$B$635*D649^2))-1)+E649/4)</f>
        <v>4.2412907704786091</v>
      </c>
      <c r="G649" s="63">
        <v>8</v>
      </c>
      <c r="H649" s="63">
        <v>5</v>
      </c>
      <c r="I649" s="303">
        <v>70</v>
      </c>
      <c r="J649" s="737"/>
      <c r="K649" s="738"/>
      <c r="L649" s="739"/>
    </row>
    <row r="650" spans="1:27" ht="45">
      <c r="A650" s="408" t="s">
        <v>363</v>
      </c>
      <c r="B650" s="63">
        <v>2</v>
      </c>
      <c r="C650" s="63">
        <v>8</v>
      </c>
      <c r="D650" s="303">
        <f>160-15</f>
        <v>145</v>
      </c>
      <c r="E650" s="64">
        <f>(0.6*0.52*SQRT($C650)*D650^0.9*$B$632^0.8)/1000</f>
        <v>9.1054072130615449</v>
      </c>
      <c r="F650" s="64">
        <f>MIN(2.3*SQRT($B$633*$B$635*$B$634)/1000+(E650/4),$B$634*$B$635*D650/1000,$B$634*$B$635*D650/1000*(SQRT(2+4*$B$633/($B$634*$B$635*D650^2))-1)+E650/4)</f>
        <v>4.2412907704786091</v>
      </c>
      <c r="G650" s="63">
        <v>10</v>
      </c>
      <c r="H650" s="63">
        <v>5</v>
      </c>
      <c r="I650" s="303">
        <v>70</v>
      </c>
      <c r="J650" s="737"/>
      <c r="K650" s="738"/>
      <c r="L650" s="739"/>
    </row>
    <row r="651" spans="1:27" ht="45">
      <c r="A651" s="396" t="s">
        <v>364</v>
      </c>
      <c r="B651" s="63">
        <v>3</v>
      </c>
      <c r="C651" s="63">
        <v>8</v>
      </c>
      <c r="D651" s="303">
        <v>65</v>
      </c>
      <c r="E651" s="64">
        <f t="shared" si="146"/>
        <v>2.2113638026311735</v>
      </c>
      <c r="F651" s="64">
        <f t="shared" si="145"/>
        <v>2.3028365309859833</v>
      </c>
      <c r="G651" s="63">
        <v>4</v>
      </c>
      <c r="H651" s="63">
        <v>5</v>
      </c>
      <c r="I651" s="303">
        <v>70</v>
      </c>
      <c r="J651" s="737"/>
      <c r="K651" s="738"/>
      <c r="L651" s="739"/>
    </row>
    <row r="652" spans="1:27" ht="49.5" customHeight="1">
      <c r="A652" s="396" t="s">
        <v>365</v>
      </c>
      <c r="B652" s="63">
        <v>3</v>
      </c>
      <c r="C652" s="63">
        <v>8</v>
      </c>
      <c r="D652" s="303">
        <v>65</v>
      </c>
      <c r="E652" s="64">
        <f t="shared" si="146"/>
        <v>2.2113638026311735</v>
      </c>
      <c r="F652" s="64">
        <f t="shared" si="145"/>
        <v>2.3028365309859833</v>
      </c>
      <c r="G652" s="63">
        <v>8</v>
      </c>
      <c r="H652" s="63">
        <v>5</v>
      </c>
      <c r="I652" s="303">
        <v>70</v>
      </c>
      <c r="J652" s="737"/>
      <c r="K652" s="738"/>
      <c r="L652" s="739"/>
    </row>
    <row r="653" spans="1:27" ht="49.5" customHeight="1">
      <c r="A653" s="396" t="s">
        <v>366</v>
      </c>
      <c r="B653" s="63">
        <v>3</v>
      </c>
      <c r="C653" s="63">
        <v>8</v>
      </c>
      <c r="D653" s="303">
        <v>65</v>
      </c>
      <c r="E653" s="64">
        <f t="shared" si="146"/>
        <v>2.2113638026311735</v>
      </c>
      <c r="F653" s="64">
        <f t="shared" si="145"/>
        <v>2.3028365309859833</v>
      </c>
      <c r="G653" s="63">
        <v>12</v>
      </c>
      <c r="H653" s="63">
        <v>5</v>
      </c>
      <c r="I653" s="303">
        <v>70</v>
      </c>
      <c r="J653" s="737"/>
      <c r="K653" s="738"/>
      <c r="L653" s="739"/>
    </row>
    <row r="654" spans="1:27" ht="49.5" customHeight="1">
      <c r="A654" s="396" t="s">
        <v>367</v>
      </c>
      <c r="B654" s="63">
        <v>3</v>
      </c>
      <c r="C654" s="63">
        <v>8</v>
      </c>
      <c r="D654" s="303">
        <v>65</v>
      </c>
      <c r="E654" s="64">
        <f t="shared" si="146"/>
        <v>2.2113638026311735</v>
      </c>
      <c r="F654" s="64">
        <f t="shared" si="145"/>
        <v>2.3028365309859833</v>
      </c>
      <c r="G654" s="63">
        <v>16</v>
      </c>
      <c r="H654" s="63">
        <v>5</v>
      </c>
      <c r="I654" s="303">
        <v>70</v>
      </c>
      <c r="J654" s="737"/>
      <c r="K654" s="738"/>
      <c r="L654" s="739"/>
    </row>
    <row r="655" spans="1:27" ht="49.5" customHeight="1">
      <c r="A655" s="396" t="s">
        <v>368</v>
      </c>
      <c r="B655" s="63">
        <v>3</v>
      </c>
      <c r="C655" s="63">
        <v>8</v>
      </c>
      <c r="D655" s="303">
        <v>65</v>
      </c>
      <c r="E655" s="64">
        <f t="shared" si="146"/>
        <v>2.2113638026311735</v>
      </c>
      <c r="F655" s="64">
        <f t="shared" si="145"/>
        <v>2.3028365309859833</v>
      </c>
      <c r="G655" s="63">
        <v>20</v>
      </c>
      <c r="H655" s="63">
        <v>5</v>
      </c>
      <c r="I655" s="303">
        <v>70</v>
      </c>
      <c r="J655" s="740"/>
      <c r="K655" s="741"/>
      <c r="L655" s="742"/>
    </row>
    <row r="656" spans="1:27">
      <c r="A656" s="91"/>
      <c r="K656" t="s">
        <v>171</v>
      </c>
      <c r="X656" t="s">
        <v>171</v>
      </c>
      <c r="Y656" t="s">
        <v>172</v>
      </c>
      <c r="Z656" s="2" t="s">
        <v>173</v>
      </c>
      <c r="AA656" s="2" t="s">
        <v>174</v>
      </c>
    </row>
    <row r="657" spans="1:27">
      <c r="A657" s="3"/>
      <c r="K657" t="s">
        <v>175</v>
      </c>
      <c r="X657" t="s">
        <v>175</v>
      </c>
      <c r="Y657" t="s">
        <v>176</v>
      </c>
      <c r="Z657" t="s">
        <v>177</v>
      </c>
      <c r="AA657" t="s">
        <v>178</v>
      </c>
    </row>
    <row r="658" spans="1:27" ht="18">
      <c r="A658" s="4" t="s">
        <v>2</v>
      </c>
      <c r="B658" s="5" t="s">
        <v>169</v>
      </c>
      <c r="C658" s="5" t="s">
        <v>154</v>
      </c>
      <c r="D658" s="5" t="s">
        <v>159</v>
      </c>
      <c r="E658" s="5" t="s">
        <v>179</v>
      </c>
      <c r="F658" s="5" t="s">
        <v>157</v>
      </c>
      <c r="G658" s="5" t="s">
        <v>180</v>
      </c>
      <c r="H658" s="5" t="s">
        <v>181</v>
      </c>
      <c r="I658" s="5" t="s">
        <v>182</v>
      </c>
      <c r="J658" s="108"/>
      <c r="K658" s="5" t="s">
        <v>181</v>
      </c>
      <c r="L658" s="150" t="s">
        <v>183</v>
      </c>
      <c r="X658" s="5" t="s">
        <v>181</v>
      </c>
      <c r="Y658" s="5" t="s">
        <v>184</v>
      </c>
      <c r="Z658" s="5" t="s">
        <v>184</v>
      </c>
      <c r="AA658" s="5" t="s">
        <v>184</v>
      </c>
    </row>
    <row r="659" spans="1:27">
      <c r="A659" s="8"/>
      <c r="B659" s="62" t="s">
        <v>17</v>
      </c>
      <c r="C659" s="9" t="s">
        <v>19</v>
      </c>
      <c r="D659" s="9" t="s">
        <v>78</v>
      </c>
      <c r="E659" s="9" t="s">
        <v>78</v>
      </c>
      <c r="F659" s="9" t="s">
        <v>18</v>
      </c>
      <c r="G659" s="9" t="s">
        <v>17</v>
      </c>
      <c r="H659" s="9" t="s">
        <v>18</v>
      </c>
      <c r="I659" s="9" t="s">
        <v>17</v>
      </c>
      <c r="J659" s="108"/>
      <c r="K659" s="9" t="s">
        <v>18</v>
      </c>
      <c r="L659" s="151" t="s">
        <v>18</v>
      </c>
      <c r="X659" s="9" t="s">
        <v>18</v>
      </c>
      <c r="Y659" s="9" t="s">
        <v>18</v>
      </c>
      <c r="Z659" s="9" t="s">
        <v>18</v>
      </c>
      <c r="AA659" s="9" t="s">
        <v>18</v>
      </c>
    </row>
    <row r="660" spans="1:27" ht="43.5" customHeight="1">
      <c r="A660" s="396" t="s">
        <v>356</v>
      </c>
      <c r="B660" s="722" t="s">
        <v>170</v>
      </c>
      <c r="C660" s="431">
        <v>2.8</v>
      </c>
      <c r="D660" s="398">
        <v>29</v>
      </c>
      <c r="E660" s="432">
        <v>43</v>
      </c>
      <c r="F660" s="433">
        <v>0</v>
      </c>
      <c r="G660" s="303">
        <f t="shared" ref="G660:G674" si="147">$F641/SQRT((1/$C660+F660/$D660)^2+(F660/$E660)^2)</f>
        <v>6.4479422867607532</v>
      </c>
      <c r="H660" s="433">
        <f>K660</f>
        <v>73.5</v>
      </c>
      <c r="I660" s="434">
        <f t="shared" ref="I660:I674" si="148">$F641/SQRT((1/$C660+H660/$D660)^2+(H660/$E660)^2)</f>
        <v>0.68556196386955359</v>
      </c>
      <c r="J660" s="435"/>
      <c r="K660" s="433">
        <f>53/2+16+10+L660</f>
        <v>73.5</v>
      </c>
      <c r="L660" s="436">
        <v>21</v>
      </c>
      <c r="X660" s="152">
        <f t="shared" ref="X660:X674" si="149">53/2+16+10+L660</f>
        <v>73.5</v>
      </c>
      <c r="Y660" s="152">
        <f>21+10+16+36/2</f>
        <v>65</v>
      </c>
      <c r="Z660" s="152">
        <f>21+10+19+16/2</f>
        <v>58</v>
      </c>
      <c r="AA660" s="152">
        <f>21+10+19+52/2</f>
        <v>76</v>
      </c>
    </row>
    <row r="661" spans="1:27" ht="45">
      <c r="A661" s="396" t="s">
        <v>360</v>
      </c>
      <c r="B661" s="723"/>
      <c r="C661" s="431">
        <v>3.8</v>
      </c>
      <c r="D661" s="398">
        <v>42</v>
      </c>
      <c r="E661" s="432">
        <v>81</v>
      </c>
      <c r="F661" s="433">
        <v>0</v>
      </c>
      <c r="G661" s="303">
        <f t="shared" si="147"/>
        <v>8.7507788177467365</v>
      </c>
      <c r="H661" s="433">
        <f t="shared" ref="H661:H674" si="150">K661</f>
        <v>83.5</v>
      </c>
      <c r="I661" s="434">
        <f t="shared" si="148"/>
        <v>0.93004458531057144</v>
      </c>
      <c r="J661" s="435"/>
      <c r="K661" s="433">
        <f t="shared" ref="K661:K674" si="151">53/2+16+10+L661</f>
        <v>83.5</v>
      </c>
      <c r="L661" s="436">
        <v>31</v>
      </c>
      <c r="X661" s="152">
        <f t="shared" si="149"/>
        <v>83.5</v>
      </c>
      <c r="Y661" s="152">
        <f>31+10+16+36/2</f>
        <v>75</v>
      </c>
      <c r="Z661" s="152">
        <f>31+10+19+16/2</f>
        <v>68</v>
      </c>
      <c r="AA661" s="152">
        <f>31+10+19+52/2</f>
        <v>86</v>
      </c>
    </row>
    <row r="662" spans="1:27" ht="45">
      <c r="A662" s="396" t="s">
        <v>357</v>
      </c>
      <c r="B662" s="723"/>
      <c r="C662" s="431">
        <v>5.6</v>
      </c>
      <c r="D662" s="398">
        <v>72</v>
      </c>
      <c r="E662" s="432">
        <v>212</v>
      </c>
      <c r="F662" s="433">
        <v>0</v>
      </c>
      <c r="G662" s="303">
        <f t="shared" si="147"/>
        <v>12.895884573521506</v>
      </c>
      <c r="H662" s="433">
        <f t="shared" si="150"/>
        <v>93.5</v>
      </c>
      <c r="I662" s="434">
        <f t="shared" si="148"/>
        <v>1.4937800644343464</v>
      </c>
      <c r="J662" s="435"/>
      <c r="K662" s="433">
        <f t="shared" si="151"/>
        <v>93.5</v>
      </c>
      <c r="L662" s="436">
        <v>41</v>
      </c>
      <c r="X662" s="152">
        <f t="shared" si="149"/>
        <v>93.5</v>
      </c>
      <c r="Y662" s="152">
        <f>41+10+16+36/2</f>
        <v>85</v>
      </c>
      <c r="Z662" s="152">
        <f>41+10+19+16/2</f>
        <v>78</v>
      </c>
      <c r="AA662" s="152">
        <f>41+10+19+52/2</f>
        <v>96</v>
      </c>
    </row>
    <row r="663" spans="1:27" ht="45">
      <c r="A663" s="396" t="s">
        <v>359</v>
      </c>
      <c r="B663" s="723"/>
      <c r="C663" s="431">
        <v>7.3</v>
      </c>
      <c r="D663" s="398">
        <v>109</v>
      </c>
      <c r="E663" s="432">
        <v>433</v>
      </c>
      <c r="F663" s="433">
        <v>0</v>
      </c>
      <c r="G663" s="303">
        <f t="shared" si="147"/>
        <v>16.810706676197679</v>
      </c>
      <c r="H663" s="433">
        <f t="shared" si="150"/>
        <v>103.5</v>
      </c>
      <c r="I663" s="434">
        <f t="shared" si="148"/>
        <v>2.0699476121956257</v>
      </c>
      <c r="J663" s="435"/>
      <c r="K663" s="433">
        <f t="shared" si="151"/>
        <v>103.5</v>
      </c>
      <c r="L663" s="436">
        <v>51</v>
      </c>
      <c r="X663" s="152">
        <f t="shared" si="149"/>
        <v>103.5</v>
      </c>
      <c r="Y663" s="152">
        <f>51+10+16+36/2</f>
        <v>95</v>
      </c>
      <c r="Z663" s="152">
        <f>51+10+19+16/2</f>
        <v>88</v>
      </c>
      <c r="AA663" s="152">
        <f>51+10+19+52/2</f>
        <v>106</v>
      </c>
    </row>
    <row r="664" spans="1:27" ht="45">
      <c r="A664" s="396" t="s">
        <v>358</v>
      </c>
      <c r="B664" s="723"/>
      <c r="C664" s="431">
        <v>9.1</v>
      </c>
      <c r="D664" s="398">
        <v>154</v>
      </c>
      <c r="E664" s="432">
        <v>767</v>
      </c>
      <c r="F664" s="433">
        <v>0</v>
      </c>
      <c r="G664" s="303">
        <f t="shared" si="147"/>
        <v>20.955812431972447</v>
      </c>
      <c r="H664" s="433">
        <f t="shared" si="150"/>
        <v>113.5</v>
      </c>
      <c r="I664" s="434">
        <f t="shared" si="148"/>
        <v>2.6785451403230303</v>
      </c>
      <c r="J664" s="435"/>
      <c r="K664" s="433">
        <f t="shared" si="151"/>
        <v>113.5</v>
      </c>
      <c r="L664" s="436">
        <v>61</v>
      </c>
      <c r="X664" s="152">
        <f t="shared" si="149"/>
        <v>113.5</v>
      </c>
      <c r="Y664" s="152">
        <f>61+10+16+36/2</f>
        <v>105</v>
      </c>
      <c r="Z664" s="152">
        <f>61+10+19+16/2</f>
        <v>98</v>
      </c>
      <c r="AA664" s="152">
        <f>61+10+19+52/2</f>
        <v>116</v>
      </c>
    </row>
    <row r="665" spans="1:27" ht="45">
      <c r="A665" s="396" t="s">
        <v>361</v>
      </c>
      <c r="B665" s="723"/>
      <c r="C665" s="431">
        <v>10.9</v>
      </c>
      <c r="D665" s="398">
        <v>208</v>
      </c>
      <c r="E665" s="432">
        <v>1241</v>
      </c>
      <c r="F665" s="433">
        <v>0</v>
      </c>
      <c r="G665" s="303">
        <f t="shared" si="147"/>
        <v>25.100918187747219</v>
      </c>
      <c r="H665" s="433">
        <f t="shared" si="150"/>
        <v>123.5</v>
      </c>
      <c r="I665" s="434">
        <f t="shared" si="148"/>
        <v>3.3245358298367984</v>
      </c>
      <c r="J665" s="435"/>
      <c r="K665" s="433">
        <f t="shared" si="151"/>
        <v>123.5</v>
      </c>
      <c r="L665" s="436">
        <v>71</v>
      </c>
      <c r="X665" s="152">
        <f t="shared" si="149"/>
        <v>123.5</v>
      </c>
      <c r="Y665" s="152">
        <f>71+10+16+36/2</f>
        <v>115</v>
      </c>
      <c r="Z665" s="152">
        <f>71+10+19+16/2</f>
        <v>108</v>
      </c>
      <c r="AA665" s="152">
        <f>71+10+19+52/2</f>
        <v>126</v>
      </c>
    </row>
    <row r="666" spans="1:27" ht="45">
      <c r="A666" s="408" t="s">
        <v>788</v>
      </c>
      <c r="B666" s="723"/>
      <c r="C666" s="431">
        <v>5.6</v>
      </c>
      <c r="D666" s="398">
        <v>72</v>
      </c>
      <c r="E666" s="432">
        <v>212</v>
      </c>
      <c r="F666" s="433">
        <v>0</v>
      </c>
      <c r="G666" s="303">
        <f t="shared" si="147"/>
        <v>23.751228314680212</v>
      </c>
      <c r="H666" s="433">
        <f t="shared" si="150"/>
        <v>93.5</v>
      </c>
      <c r="I666" s="434">
        <f t="shared" si="148"/>
        <v>2.7511964115393384</v>
      </c>
      <c r="J666" s="435"/>
      <c r="K666" s="433">
        <f t="shared" si="151"/>
        <v>93.5</v>
      </c>
      <c r="L666" s="436">
        <v>41</v>
      </c>
      <c r="X666" s="152">
        <f t="shared" si="149"/>
        <v>93.5</v>
      </c>
      <c r="Y666" s="152"/>
      <c r="Z666" s="152"/>
      <c r="AA666" s="152"/>
    </row>
    <row r="667" spans="1:27" ht="45">
      <c r="A667" s="408" t="s">
        <v>757</v>
      </c>
      <c r="B667" s="723"/>
      <c r="C667" s="431">
        <v>7.3</v>
      </c>
      <c r="D667" s="398">
        <v>109</v>
      </c>
      <c r="E667" s="432">
        <v>433</v>
      </c>
      <c r="F667" s="433">
        <v>0</v>
      </c>
      <c r="G667" s="303">
        <f t="shared" si="147"/>
        <v>30.961422624493849</v>
      </c>
      <c r="H667" s="433">
        <f t="shared" si="150"/>
        <v>103.5</v>
      </c>
      <c r="I667" s="434">
        <f t="shared" si="148"/>
        <v>3.8123633982915046</v>
      </c>
      <c r="J667" s="435"/>
      <c r="K667" s="433">
        <f t="shared" ref="K667" si="152">53/2+16+10+L667</f>
        <v>103.5</v>
      </c>
      <c r="L667" s="436">
        <v>51</v>
      </c>
      <c r="X667" s="152"/>
      <c r="Y667" s="152"/>
      <c r="Z667" s="152"/>
      <c r="AA667" s="152"/>
    </row>
    <row r="668" spans="1:27" ht="45">
      <c r="A668" s="408" t="s">
        <v>362</v>
      </c>
      <c r="B668" s="723"/>
      <c r="C668" s="431">
        <v>9.1</v>
      </c>
      <c r="D668" s="398">
        <v>154</v>
      </c>
      <c r="E668" s="432">
        <v>767</v>
      </c>
      <c r="F668" s="433">
        <v>0</v>
      </c>
      <c r="G668" s="303">
        <f t="shared" si="147"/>
        <v>38.595746011355345</v>
      </c>
      <c r="H668" s="433">
        <f t="shared" si="150"/>
        <v>113.5</v>
      </c>
      <c r="I668" s="434">
        <f t="shared" si="148"/>
        <v>4.9332588870727569</v>
      </c>
      <c r="J668" s="435"/>
      <c r="K668" s="433">
        <f t="shared" si="151"/>
        <v>113.5</v>
      </c>
      <c r="L668" s="436">
        <v>61</v>
      </c>
      <c r="X668" s="152">
        <f t="shared" si="149"/>
        <v>113.5</v>
      </c>
      <c r="Y668" s="152"/>
      <c r="Z668" s="152"/>
      <c r="AA668" s="152"/>
    </row>
    <row r="669" spans="1:27" ht="45">
      <c r="A669" s="408" t="s">
        <v>363</v>
      </c>
      <c r="B669" s="723"/>
      <c r="C669" s="431">
        <v>10.9</v>
      </c>
      <c r="D669" s="398">
        <v>208</v>
      </c>
      <c r="E669" s="432">
        <v>1241</v>
      </c>
      <c r="F669" s="433">
        <v>0</v>
      </c>
      <c r="G669" s="303">
        <f t="shared" si="147"/>
        <v>46.230069398216841</v>
      </c>
      <c r="H669" s="433">
        <f t="shared" si="150"/>
        <v>123.5</v>
      </c>
      <c r="I669" s="434">
        <f t="shared" si="148"/>
        <v>6.12302390616283</v>
      </c>
      <c r="J669" s="435"/>
      <c r="K669" s="433">
        <f t="shared" si="151"/>
        <v>123.5</v>
      </c>
      <c r="L669" s="436">
        <v>71</v>
      </c>
      <c r="X669" s="152">
        <f t="shared" si="149"/>
        <v>123.5</v>
      </c>
      <c r="Y669" s="152"/>
      <c r="Z669" s="152"/>
      <c r="AA669" s="152"/>
    </row>
    <row r="670" spans="1:27" ht="45">
      <c r="A670" s="396" t="s">
        <v>364</v>
      </c>
      <c r="B670" s="723"/>
      <c r="C670" s="431">
        <v>6.6</v>
      </c>
      <c r="D670" s="398">
        <v>182</v>
      </c>
      <c r="E670" s="432">
        <v>1140</v>
      </c>
      <c r="F670" s="433">
        <v>0</v>
      </c>
      <c r="G670" s="303">
        <f t="shared" si="147"/>
        <v>15.19872110450749</v>
      </c>
      <c r="H670" s="433">
        <f t="shared" si="150"/>
        <v>118.5</v>
      </c>
      <c r="I670" s="434">
        <f t="shared" si="148"/>
        <v>2.8454065427374902</v>
      </c>
      <c r="J670" s="435"/>
      <c r="K670" s="433">
        <f t="shared" si="151"/>
        <v>118.5</v>
      </c>
      <c r="L670" s="436">
        <v>66</v>
      </c>
      <c r="X670" s="152">
        <f t="shared" si="149"/>
        <v>118.5</v>
      </c>
      <c r="Y670" s="152">
        <f>66+10+16+36/2</f>
        <v>110</v>
      </c>
      <c r="Z670" s="152">
        <f>66+10+19+16/2</f>
        <v>103</v>
      </c>
      <c r="AA670" s="152">
        <f>66+10+19+52/2</f>
        <v>121</v>
      </c>
    </row>
    <row r="671" spans="1:27" ht="45" customHeight="1">
      <c r="A671" s="396" t="s">
        <v>365</v>
      </c>
      <c r="B671" s="723"/>
      <c r="C671" s="431">
        <v>10.1</v>
      </c>
      <c r="D671" s="398">
        <v>319</v>
      </c>
      <c r="E671" s="432">
        <v>2603</v>
      </c>
      <c r="F671" s="433">
        <v>0</v>
      </c>
      <c r="G671" s="303">
        <f t="shared" si="147"/>
        <v>23.258648962958429</v>
      </c>
      <c r="H671" s="433">
        <f t="shared" si="150"/>
        <v>139.5</v>
      </c>
      <c r="I671" s="434">
        <f t="shared" si="148"/>
        <v>4.2725432285353833</v>
      </c>
      <c r="J671" s="435"/>
      <c r="K671" s="433">
        <f t="shared" si="151"/>
        <v>139.5</v>
      </c>
      <c r="L671" s="436">
        <v>87</v>
      </c>
      <c r="X671" s="152">
        <f t="shared" si="149"/>
        <v>139.5</v>
      </c>
      <c r="Y671" s="152">
        <f>87+10+16+36/2</f>
        <v>131</v>
      </c>
      <c r="Z671" s="152">
        <f>87+10+19+16/2</f>
        <v>124</v>
      </c>
      <c r="AA671" s="152">
        <f>87+10+19+52/2</f>
        <v>142</v>
      </c>
    </row>
    <row r="672" spans="1:27" ht="45" customHeight="1">
      <c r="A672" s="396" t="s">
        <v>366</v>
      </c>
      <c r="B672" s="723"/>
      <c r="C672" s="431">
        <v>13.7</v>
      </c>
      <c r="D672" s="398">
        <v>486</v>
      </c>
      <c r="E672" s="432">
        <v>4918</v>
      </c>
      <c r="F672" s="433">
        <v>0</v>
      </c>
      <c r="G672" s="303">
        <f t="shared" si="147"/>
        <v>31.548860474507968</v>
      </c>
      <c r="H672" s="433">
        <f t="shared" si="150"/>
        <v>162.5</v>
      </c>
      <c r="I672" s="434">
        <f t="shared" si="148"/>
        <v>5.6346405643713657</v>
      </c>
      <c r="J672" s="435"/>
      <c r="K672" s="433">
        <f t="shared" si="151"/>
        <v>162.5</v>
      </c>
      <c r="L672" s="436">
        <v>110</v>
      </c>
      <c r="X672" s="152">
        <f>48/2+16+10+L672</f>
        <v>160</v>
      </c>
      <c r="Y672" s="152">
        <f>110+10+16+36/2</f>
        <v>154</v>
      </c>
      <c r="Z672" s="152">
        <f>110+10+19+16/2</f>
        <v>147</v>
      </c>
      <c r="AA672" s="152">
        <f>110+10+19+52/2</f>
        <v>165</v>
      </c>
    </row>
    <row r="673" spans="1:27" ht="45" customHeight="1">
      <c r="A673" s="396" t="s">
        <v>367</v>
      </c>
      <c r="B673" s="723"/>
      <c r="C673" s="431">
        <v>13.7</v>
      </c>
      <c r="D673" s="398">
        <v>486</v>
      </c>
      <c r="E673" s="432">
        <v>4918</v>
      </c>
      <c r="F673" s="433">
        <v>0</v>
      </c>
      <c r="G673" s="303">
        <f t="shared" si="147"/>
        <v>31.548860474507968</v>
      </c>
      <c r="H673" s="433">
        <f t="shared" si="150"/>
        <v>182.5</v>
      </c>
      <c r="I673" s="434">
        <f t="shared" si="148"/>
        <v>5.1169638723882258</v>
      </c>
      <c r="J673" s="435"/>
      <c r="K673" s="433">
        <f t="shared" si="151"/>
        <v>182.5</v>
      </c>
      <c r="L673" s="436">
        <v>130</v>
      </c>
      <c r="X673" s="152">
        <f t="shared" si="149"/>
        <v>182.5</v>
      </c>
      <c r="Y673" s="154">
        <f>36/2+16+10+130</f>
        <v>174</v>
      </c>
      <c r="Z673" s="154">
        <f>16/2+19+10+130</f>
        <v>167</v>
      </c>
      <c r="AA673" s="154">
        <f>52/2+19+10+130</f>
        <v>185</v>
      </c>
    </row>
    <row r="674" spans="1:27" ht="45" customHeight="1">
      <c r="A674" s="396" t="s">
        <v>368</v>
      </c>
      <c r="B674" s="724"/>
      <c r="C674" s="431">
        <v>13.7</v>
      </c>
      <c r="D674" s="398">
        <v>486</v>
      </c>
      <c r="E674" s="432">
        <v>4918</v>
      </c>
      <c r="F674" s="433">
        <v>0</v>
      </c>
      <c r="G674" s="303">
        <f t="shared" si="147"/>
        <v>31.548860474507968</v>
      </c>
      <c r="H674" s="433">
        <f t="shared" si="150"/>
        <v>202.5</v>
      </c>
      <c r="I674" s="434">
        <f t="shared" si="148"/>
        <v>4.6863960027681477</v>
      </c>
      <c r="J674" s="435"/>
      <c r="K674" s="433">
        <f t="shared" si="151"/>
        <v>202.5</v>
      </c>
      <c r="L674" s="436">
        <v>150</v>
      </c>
      <c r="X674" s="152">
        <f t="shared" si="149"/>
        <v>202.5</v>
      </c>
      <c r="Y674" s="154">
        <f>36/2+16+10+150</f>
        <v>194</v>
      </c>
      <c r="Z674" s="154">
        <f>16/2+19+10+150</f>
        <v>187</v>
      </c>
      <c r="AA674" s="154">
        <f>52/2+19+10+150</f>
        <v>205</v>
      </c>
    </row>
    <row r="675" spans="1:27">
      <c r="A675" s="3"/>
    </row>
    <row r="676" spans="1:27">
      <c r="A676" s="3"/>
    </row>
    <row r="677" spans="1:27" ht="18">
      <c r="A677" s="4" t="s">
        <v>2</v>
      </c>
      <c r="B677" s="5" t="s">
        <v>43</v>
      </c>
      <c r="C677" s="5" t="s">
        <v>9</v>
      </c>
      <c r="D677" s="5" t="s">
        <v>44</v>
      </c>
      <c r="E677" s="5" t="s">
        <v>69</v>
      </c>
      <c r="F677" s="5" t="s">
        <v>70</v>
      </c>
      <c r="G677" s="5" t="s">
        <v>43</v>
      </c>
      <c r="H677" s="5" t="s">
        <v>9</v>
      </c>
      <c r="I677" s="5" t="s">
        <v>44</v>
      </c>
      <c r="J677" s="5" t="s">
        <v>69</v>
      </c>
      <c r="K677" s="5" t="s">
        <v>70</v>
      </c>
      <c r="L677" s="5" t="s">
        <v>185</v>
      </c>
    </row>
    <row r="678" spans="1:27">
      <c r="A678" s="8"/>
      <c r="B678" s="9" t="s">
        <v>19</v>
      </c>
      <c r="C678" s="9" t="s">
        <v>18</v>
      </c>
      <c r="D678" s="9" t="s">
        <v>18</v>
      </c>
      <c r="E678" s="9" t="s">
        <v>17</v>
      </c>
      <c r="F678" s="9" t="s">
        <v>17</v>
      </c>
      <c r="G678" s="9" t="s">
        <v>19</v>
      </c>
      <c r="H678" s="9" t="s">
        <v>18</v>
      </c>
      <c r="I678" s="9" t="s">
        <v>18</v>
      </c>
      <c r="J678" s="9" t="s">
        <v>17</v>
      </c>
      <c r="K678" s="9" t="s">
        <v>17</v>
      </c>
      <c r="L678" s="62" t="s">
        <v>17</v>
      </c>
    </row>
    <row r="679" spans="1:27" ht="45">
      <c r="A679" s="396" t="s">
        <v>356</v>
      </c>
      <c r="B679" s="63">
        <v>1</v>
      </c>
      <c r="C679" s="63">
        <v>8</v>
      </c>
      <c r="D679" s="303">
        <v>35</v>
      </c>
      <c r="E679" s="64">
        <f>(0.52*SQRT($C679)*D679^0.9*$B$632^0.8)/1000</f>
        <v>4.2225826668958426</v>
      </c>
      <c r="F679" s="64">
        <f t="shared" ref="F679:F693" si="153">MIN(2.3*SQRT($B$633*$B$636*$B$634)/1000+(E679/4),$B$636*$B$634*D679/1000,$B$636*$B$634*D679/1000*(SQRT(2+4*$B$633/($B$636*$B$634*D679^2))-1)+E679/4)</f>
        <v>3.5389546758165444</v>
      </c>
      <c r="G679" s="63">
        <v>2</v>
      </c>
      <c r="H679" s="63">
        <v>5</v>
      </c>
      <c r="I679" s="303">
        <v>45</v>
      </c>
      <c r="J679" s="725" t="s">
        <v>170</v>
      </c>
      <c r="K679" s="726"/>
      <c r="L679" s="727"/>
    </row>
    <row r="680" spans="1:27" ht="45">
      <c r="A680" s="396" t="s">
        <v>360</v>
      </c>
      <c r="B680" s="63">
        <v>2</v>
      </c>
      <c r="C680" s="63">
        <v>8</v>
      </c>
      <c r="D680" s="303">
        <v>35</v>
      </c>
      <c r="E680" s="64">
        <f t="shared" ref="E680:E693" si="154">(0.52*SQRT($C680)*D680^0.9*$B$632^0.8)/1000</f>
        <v>4.2225826668958426</v>
      </c>
      <c r="F680" s="64">
        <f t="shared" si="153"/>
        <v>3.5389546758165444</v>
      </c>
      <c r="G680" s="63">
        <v>2</v>
      </c>
      <c r="H680" s="63">
        <v>5</v>
      </c>
      <c r="I680" s="303">
        <v>45</v>
      </c>
      <c r="J680" s="728"/>
      <c r="K680" s="729"/>
      <c r="L680" s="730"/>
    </row>
    <row r="681" spans="1:27" ht="45">
      <c r="A681" s="396" t="s">
        <v>357</v>
      </c>
      <c r="B681" s="63">
        <v>2</v>
      </c>
      <c r="C681" s="63">
        <v>8</v>
      </c>
      <c r="D681" s="303">
        <v>35</v>
      </c>
      <c r="E681" s="64">
        <f t="shared" si="154"/>
        <v>4.2225826668958426</v>
      </c>
      <c r="F681" s="64">
        <f t="shared" si="153"/>
        <v>3.5389546758165444</v>
      </c>
      <c r="G681" s="63">
        <v>4</v>
      </c>
      <c r="H681" s="63">
        <v>5</v>
      </c>
      <c r="I681" s="303">
        <v>45</v>
      </c>
      <c r="J681" s="728"/>
      <c r="K681" s="729"/>
      <c r="L681" s="730"/>
    </row>
    <row r="682" spans="1:27" ht="45">
      <c r="A682" s="396" t="s">
        <v>359</v>
      </c>
      <c r="B682" s="63">
        <v>2</v>
      </c>
      <c r="C682" s="63">
        <v>8</v>
      </c>
      <c r="D682" s="303">
        <v>35</v>
      </c>
      <c r="E682" s="64">
        <f t="shared" si="154"/>
        <v>4.2225826668958426</v>
      </c>
      <c r="F682" s="64">
        <f t="shared" si="153"/>
        <v>3.5389546758165444</v>
      </c>
      <c r="G682" s="63">
        <v>6</v>
      </c>
      <c r="H682" s="63">
        <v>5</v>
      </c>
      <c r="I682" s="303">
        <v>45</v>
      </c>
      <c r="J682" s="728"/>
      <c r="K682" s="729"/>
      <c r="L682" s="730"/>
    </row>
    <row r="683" spans="1:27" ht="45">
      <c r="A683" s="396" t="s">
        <v>358</v>
      </c>
      <c r="B683" s="63">
        <v>2</v>
      </c>
      <c r="C683" s="63">
        <v>8</v>
      </c>
      <c r="D683" s="303">
        <v>35</v>
      </c>
      <c r="E683" s="64">
        <f t="shared" si="154"/>
        <v>4.2225826668958426</v>
      </c>
      <c r="F683" s="64">
        <f t="shared" si="153"/>
        <v>3.5389546758165444</v>
      </c>
      <c r="G683" s="63">
        <v>8</v>
      </c>
      <c r="H683" s="63">
        <v>5</v>
      </c>
      <c r="I683" s="303">
        <v>45</v>
      </c>
      <c r="J683" s="728"/>
      <c r="K683" s="729"/>
      <c r="L683" s="730"/>
    </row>
    <row r="684" spans="1:27" ht="45">
      <c r="A684" s="396" t="s">
        <v>361</v>
      </c>
      <c r="B684" s="63">
        <v>2</v>
      </c>
      <c r="C684" s="63">
        <v>8</v>
      </c>
      <c r="D684" s="303">
        <v>35</v>
      </c>
      <c r="E684" s="64">
        <f t="shared" si="154"/>
        <v>4.2225826668958426</v>
      </c>
      <c r="F684" s="64">
        <f t="shared" si="153"/>
        <v>3.5389546758165444</v>
      </c>
      <c r="G684" s="63">
        <v>10</v>
      </c>
      <c r="H684" s="63">
        <v>5</v>
      </c>
      <c r="I684" s="303">
        <v>45</v>
      </c>
      <c r="J684" s="728"/>
      <c r="K684" s="729"/>
      <c r="L684" s="730"/>
    </row>
    <row r="685" spans="1:27" ht="45">
      <c r="A685" s="408" t="s">
        <v>788</v>
      </c>
      <c r="B685" s="63">
        <v>2</v>
      </c>
      <c r="C685" s="63">
        <v>8</v>
      </c>
      <c r="D685" s="303">
        <v>35</v>
      </c>
      <c r="E685" s="64">
        <v>4.2225826668958426</v>
      </c>
      <c r="F685" s="64">
        <v>3.5389546758165444</v>
      </c>
      <c r="G685" s="63">
        <v>4</v>
      </c>
      <c r="H685" s="63">
        <v>5</v>
      </c>
      <c r="I685" s="303">
        <v>45</v>
      </c>
      <c r="J685" s="728"/>
      <c r="K685" s="729"/>
      <c r="L685" s="730"/>
    </row>
    <row r="686" spans="1:27" ht="45">
      <c r="A686" s="408" t="s">
        <v>757</v>
      </c>
      <c r="B686" s="63">
        <v>2</v>
      </c>
      <c r="C686" s="63">
        <v>8</v>
      </c>
      <c r="D686" s="303">
        <v>35</v>
      </c>
      <c r="E686" s="64">
        <v>4.2225826668958426</v>
      </c>
      <c r="F686" s="64">
        <v>3.5389546758165444</v>
      </c>
      <c r="G686" s="63">
        <v>6</v>
      </c>
      <c r="H686" s="63">
        <v>5</v>
      </c>
      <c r="I686" s="303">
        <v>45</v>
      </c>
      <c r="J686" s="728"/>
      <c r="K686" s="729"/>
      <c r="L686" s="730"/>
    </row>
    <row r="687" spans="1:27" ht="45">
      <c r="A687" s="408" t="s">
        <v>362</v>
      </c>
      <c r="B687" s="63">
        <v>2</v>
      </c>
      <c r="C687" s="63">
        <v>8</v>
      </c>
      <c r="D687" s="303">
        <v>35</v>
      </c>
      <c r="E687" s="64">
        <v>4.2225826668958426</v>
      </c>
      <c r="F687" s="64">
        <v>3.5389546758165444</v>
      </c>
      <c r="G687" s="63">
        <v>8</v>
      </c>
      <c r="H687" s="63">
        <v>5</v>
      </c>
      <c r="I687" s="303">
        <v>45</v>
      </c>
      <c r="J687" s="728"/>
      <c r="K687" s="729"/>
      <c r="L687" s="730"/>
    </row>
    <row r="688" spans="1:27" ht="45">
      <c r="A688" s="408" t="s">
        <v>363</v>
      </c>
      <c r="B688" s="63">
        <v>2</v>
      </c>
      <c r="C688" s="63">
        <v>8</v>
      </c>
      <c r="D688" s="303">
        <v>35</v>
      </c>
      <c r="E688" s="64">
        <v>4.2225826668958426</v>
      </c>
      <c r="F688" s="64">
        <v>3.5389546758165444</v>
      </c>
      <c r="G688" s="63">
        <v>10</v>
      </c>
      <c r="H688" s="63">
        <v>5</v>
      </c>
      <c r="I688" s="303">
        <v>45</v>
      </c>
      <c r="J688" s="728"/>
      <c r="K688" s="729"/>
      <c r="L688" s="730"/>
    </row>
    <row r="689" spans="1:27" ht="45">
      <c r="A689" s="396" t="s">
        <v>364</v>
      </c>
      <c r="B689" s="63">
        <v>3</v>
      </c>
      <c r="C689" s="63">
        <v>8</v>
      </c>
      <c r="D689" s="303">
        <v>35</v>
      </c>
      <c r="E689" s="64">
        <f t="shared" si="154"/>
        <v>4.2225826668958426</v>
      </c>
      <c r="F689" s="64">
        <f t="shared" si="153"/>
        <v>3.5389546758165444</v>
      </c>
      <c r="G689" s="63">
        <v>4</v>
      </c>
      <c r="H689" s="63">
        <v>5</v>
      </c>
      <c r="I689" s="303">
        <v>45</v>
      </c>
      <c r="J689" s="728"/>
      <c r="K689" s="729"/>
      <c r="L689" s="730"/>
    </row>
    <row r="690" spans="1:27" ht="45">
      <c r="A690" s="396" t="s">
        <v>365</v>
      </c>
      <c r="B690" s="63">
        <v>3</v>
      </c>
      <c r="C690" s="63">
        <v>8</v>
      </c>
      <c r="D690" s="303">
        <v>35</v>
      </c>
      <c r="E690" s="64">
        <f t="shared" si="154"/>
        <v>4.2225826668958426</v>
      </c>
      <c r="F690" s="64">
        <f t="shared" si="153"/>
        <v>3.5389546758165444</v>
      </c>
      <c r="G690" s="63">
        <v>8</v>
      </c>
      <c r="H690" s="63">
        <v>5</v>
      </c>
      <c r="I690" s="303">
        <v>45</v>
      </c>
      <c r="J690" s="728"/>
      <c r="K690" s="729"/>
      <c r="L690" s="730"/>
    </row>
    <row r="691" spans="1:27" ht="45">
      <c r="A691" s="396" t="s">
        <v>366</v>
      </c>
      <c r="B691" s="63">
        <v>3</v>
      </c>
      <c r="C691" s="63">
        <v>8</v>
      </c>
      <c r="D691" s="303">
        <v>35</v>
      </c>
      <c r="E691" s="64">
        <f t="shared" si="154"/>
        <v>4.2225826668958426</v>
      </c>
      <c r="F691" s="64">
        <f t="shared" si="153"/>
        <v>3.5389546758165444</v>
      </c>
      <c r="G691" s="63">
        <v>12</v>
      </c>
      <c r="H691" s="63">
        <v>5</v>
      </c>
      <c r="I691" s="303">
        <v>45</v>
      </c>
      <c r="J691" s="728"/>
      <c r="K691" s="729"/>
      <c r="L691" s="730"/>
      <c r="P691"/>
      <c r="Q691"/>
    </row>
    <row r="692" spans="1:27" ht="45">
      <c r="A692" s="396" t="s">
        <v>367</v>
      </c>
      <c r="B692" s="63">
        <v>3</v>
      </c>
      <c r="C692" s="63">
        <v>8</v>
      </c>
      <c r="D692" s="303">
        <v>35</v>
      </c>
      <c r="E692" s="64">
        <f t="shared" si="154"/>
        <v>4.2225826668958426</v>
      </c>
      <c r="F692" s="64">
        <f t="shared" si="153"/>
        <v>3.5389546758165444</v>
      </c>
      <c r="G692" s="63">
        <v>16</v>
      </c>
      <c r="H692" s="63">
        <v>5</v>
      </c>
      <c r="I692" s="303">
        <v>45</v>
      </c>
      <c r="J692" s="728"/>
      <c r="K692" s="729"/>
      <c r="L692" s="730"/>
    </row>
    <row r="693" spans="1:27" ht="45">
      <c r="A693" s="396" t="s">
        <v>368</v>
      </c>
      <c r="B693" s="63">
        <v>3</v>
      </c>
      <c r="C693" s="63">
        <v>8</v>
      </c>
      <c r="D693" s="303">
        <v>35</v>
      </c>
      <c r="E693" s="64">
        <f t="shared" si="154"/>
        <v>4.2225826668958426</v>
      </c>
      <c r="F693" s="64">
        <f t="shared" si="153"/>
        <v>3.5389546758165444</v>
      </c>
      <c r="G693" s="63">
        <v>20</v>
      </c>
      <c r="H693" s="63">
        <v>5</v>
      </c>
      <c r="I693" s="303">
        <v>45</v>
      </c>
      <c r="J693" s="731"/>
      <c r="K693" s="732"/>
      <c r="L693" s="733"/>
    </row>
    <row r="694" spans="1:27">
      <c r="A694" s="3"/>
      <c r="X694" t="s">
        <v>171</v>
      </c>
      <c r="Y694" t="s">
        <v>172</v>
      </c>
      <c r="Z694" s="2" t="s">
        <v>173</v>
      </c>
      <c r="AA694" s="2" t="s">
        <v>174</v>
      </c>
    </row>
    <row r="695" spans="1:27">
      <c r="A695" s="3"/>
      <c r="X695" t="s">
        <v>186</v>
      </c>
      <c r="Y695" t="s">
        <v>186</v>
      </c>
      <c r="Z695" s="2" t="s">
        <v>187</v>
      </c>
      <c r="AA695" s="2" t="s">
        <v>187</v>
      </c>
    </row>
    <row r="696" spans="1:27" ht="18">
      <c r="A696" s="4" t="s">
        <v>2</v>
      </c>
      <c r="B696" s="5" t="s">
        <v>185</v>
      </c>
      <c r="C696" s="5" t="s">
        <v>188</v>
      </c>
      <c r="D696" s="5" t="s">
        <v>154</v>
      </c>
      <c r="E696" s="5" t="s">
        <v>159</v>
      </c>
      <c r="F696" s="5" t="s">
        <v>179</v>
      </c>
      <c r="G696" s="5" t="s">
        <v>160</v>
      </c>
      <c r="H696" s="5" t="s">
        <v>161</v>
      </c>
      <c r="I696" s="5" t="s">
        <v>189</v>
      </c>
      <c r="J696" s="5" t="s">
        <v>184</v>
      </c>
      <c r="K696" s="5" t="s">
        <v>190</v>
      </c>
      <c r="X696" t="s">
        <v>175</v>
      </c>
      <c r="Y696" t="s">
        <v>176</v>
      </c>
      <c r="Z696" t="s">
        <v>177</v>
      </c>
      <c r="AA696" t="s">
        <v>178</v>
      </c>
    </row>
    <row r="697" spans="1:27" ht="18">
      <c r="A697" s="8"/>
      <c r="B697" s="62" t="s">
        <v>17</v>
      </c>
      <c r="C697" s="9" t="s">
        <v>17</v>
      </c>
      <c r="D697" s="9" t="s">
        <v>19</v>
      </c>
      <c r="E697" s="9" t="s">
        <v>78</v>
      </c>
      <c r="F697" s="9" t="s">
        <v>78</v>
      </c>
      <c r="G697" s="9" t="s">
        <v>78</v>
      </c>
      <c r="H697" s="9" t="s">
        <v>18</v>
      </c>
      <c r="I697" s="9" t="s">
        <v>17</v>
      </c>
      <c r="J697" s="9" t="s">
        <v>18</v>
      </c>
      <c r="K697" s="9" t="s">
        <v>17</v>
      </c>
      <c r="X697" s="5" t="s">
        <v>181</v>
      </c>
      <c r="Y697" s="5" t="s">
        <v>184</v>
      </c>
      <c r="Z697" s="5" t="s">
        <v>184</v>
      </c>
      <c r="AA697" s="5" t="s">
        <v>184</v>
      </c>
    </row>
    <row r="698" spans="1:27" ht="47.25" customHeight="1">
      <c r="A698" s="396" t="s">
        <v>356</v>
      </c>
      <c r="B698" s="743" t="s">
        <v>170</v>
      </c>
      <c r="C698" s="744"/>
      <c r="D698" s="431">
        <v>2.8</v>
      </c>
      <c r="E698" s="398">
        <v>29</v>
      </c>
      <c r="F698" s="432">
        <v>43</v>
      </c>
      <c r="G698" s="85">
        <v>7.28</v>
      </c>
      <c r="H698" s="433">
        <v>0</v>
      </c>
      <c r="I698" s="308">
        <f t="shared" ref="I698:I712" si="155">$F679/SQRT((1/$D698+H698/$E698)^2+(H698/$F698)^2+(F679/(G698*E679))^2)</f>
        <v>9.4311941603363891</v>
      </c>
      <c r="J698" s="433">
        <f t="shared" ref="J698:J712" si="156">K660</f>
        <v>73.5</v>
      </c>
      <c r="K698" s="303">
        <f t="shared" ref="K698:K712" si="157">$F679/SQRT((1/$D698+J698/$E698)^2+(J698/$F698)^2+(F679/(G698*E679))^2)</f>
        <v>1.0529401549478103</v>
      </c>
      <c r="X698" s="9" t="s">
        <v>18</v>
      </c>
      <c r="Y698" s="9" t="s">
        <v>18</v>
      </c>
      <c r="Z698" s="9" t="s">
        <v>18</v>
      </c>
      <c r="AA698" s="9" t="s">
        <v>18</v>
      </c>
    </row>
    <row r="699" spans="1:27" ht="45">
      <c r="A699" s="396" t="s">
        <v>360</v>
      </c>
      <c r="B699" s="745"/>
      <c r="C699" s="746"/>
      <c r="D699" s="431">
        <v>3.8</v>
      </c>
      <c r="E699" s="398">
        <v>42</v>
      </c>
      <c r="F699" s="432">
        <v>81</v>
      </c>
      <c r="G699" s="85">
        <v>8.61</v>
      </c>
      <c r="H699" s="433">
        <v>0</v>
      </c>
      <c r="I699" s="308">
        <f t="shared" si="155"/>
        <v>12.612827162714847</v>
      </c>
      <c r="J699" s="433">
        <f t="shared" si="156"/>
        <v>83.5</v>
      </c>
      <c r="K699" s="303">
        <f t="shared" si="157"/>
        <v>1.4281713519797015</v>
      </c>
      <c r="X699" s="152">
        <v>73</v>
      </c>
      <c r="Y699" s="152">
        <f>21+10+16+36/2</f>
        <v>65</v>
      </c>
      <c r="Z699" s="152">
        <f>21+10+19+16/2</f>
        <v>58</v>
      </c>
      <c r="AA699" s="152">
        <f>21+10+19+52/2</f>
        <v>76</v>
      </c>
    </row>
    <row r="700" spans="1:27" ht="45">
      <c r="A700" s="396" t="s">
        <v>357</v>
      </c>
      <c r="B700" s="745"/>
      <c r="C700" s="746"/>
      <c r="D700" s="431">
        <v>5.6</v>
      </c>
      <c r="E700" s="398">
        <v>72</v>
      </c>
      <c r="F700" s="432">
        <v>212</v>
      </c>
      <c r="G700" s="85">
        <v>14.6</v>
      </c>
      <c r="H700" s="433">
        <v>0</v>
      </c>
      <c r="I700" s="308">
        <f t="shared" si="155"/>
        <v>18.867247809428463</v>
      </c>
      <c r="J700" s="433">
        <f t="shared" si="156"/>
        <v>93.5</v>
      </c>
      <c r="K700" s="303">
        <f t="shared" si="157"/>
        <v>2.2940224981557469</v>
      </c>
      <c r="X700" s="152">
        <v>83</v>
      </c>
      <c r="Y700" s="152">
        <f>31+10+16+36/2</f>
        <v>75</v>
      </c>
      <c r="Z700" s="152">
        <f>31+10+19+16/2</f>
        <v>68</v>
      </c>
      <c r="AA700" s="152">
        <f>31+10+19+52/2</f>
        <v>86</v>
      </c>
    </row>
    <row r="701" spans="1:27" ht="45">
      <c r="A701" s="396" t="s">
        <v>359</v>
      </c>
      <c r="B701" s="745"/>
      <c r="C701" s="746"/>
      <c r="D701" s="431">
        <v>7.3</v>
      </c>
      <c r="E701" s="398">
        <v>109</v>
      </c>
      <c r="F701" s="432">
        <v>433</v>
      </c>
      <c r="G701" s="85">
        <v>20.5</v>
      </c>
      <c r="H701" s="433">
        <v>0</v>
      </c>
      <c r="I701" s="308">
        <f t="shared" si="155"/>
        <v>24.755400336061037</v>
      </c>
      <c r="J701" s="433">
        <f t="shared" si="156"/>
        <v>103.5</v>
      </c>
      <c r="K701" s="303">
        <f t="shared" si="157"/>
        <v>3.1789097314502079</v>
      </c>
      <c r="X701" s="152">
        <v>93</v>
      </c>
      <c r="Y701" s="152">
        <f>41+10+16+36/2</f>
        <v>85</v>
      </c>
      <c r="Z701" s="152">
        <f>41+10+19+16/2</f>
        <v>78</v>
      </c>
      <c r="AA701" s="152">
        <f>41+10+19+52/2</f>
        <v>96</v>
      </c>
    </row>
    <row r="702" spans="1:27" ht="45">
      <c r="A702" s="396" t="s">
        <v>358</v>
      </c>
      <c r="B702" s="745"/>
      <c r="C702" s="746"/>
      <c r="D702" s="431">
        <v>9.1</v>
      </c>
      <c r="E702" s="398">
        <v>154</v>
      </c>
      <c r="F702" s="432">
        <v>767</v>
      </c>
      <c r="G702" s="85">
        <v>26.4</v>
      </c>
      <c r="H702" s="433">
        <v>0</v>
      </c>
      <c r="I702" s="308">
        <f t="shared" si="155"/>
        <v>30.939288915885378</v>
      </c>
      <c r="J702" s="433">
        <f t="shared" si="156"/>
        <v>113.5</v>
      </c>
      <c r="K702" s="303">
        <f t="shared" si="157"/>
        <v>4.1135329443476287</v>
      </c>
      <c r="X702" s="152">
        <v>103</v>
      </c>
      <c r="Y702" s="152">
        <f>51+10+16+36/2</f>
        <v>95</v>
      </c>
      <c r="Z702" s="152">
        <f>51+10+19+16/2</f>
        <v>88</v>
      </c>
      <c r="AA702" s="152">
        <f>51+10+19+52/2</f>
        <v>106</v>
      </c>
    </row>
    <row r="703" spans="1:27" ht="45">
      <c r="A703" s="396" t="s">
        <v>361</v>
      </c>
      <c r="B703" s="745"/>
      <c r="C703" s="746"/>
      <c r="D703" s="431">
        <v>10.9</v>
      </c>
      <c r="E703" s="398">
        <v>208</v>
      </c>
      <c r="F703" s="432">
        <v>1241</v>
      </c>
      <c r="G703" s="85">
        <v>32.4</v>
      </c>
      <c r="H703" s="433">
        <v>0</v>
      </c>
      <c r="I703" s="308">
        <f t="shared" si="155"/>
        <v>37.127060080507114</v>
      </c>
      <c r="J703" s="433">
        <f t="shared" si="156"/>
        <v>123.5</v>
      </c>
      <c r="K703" s="303">
        <f t="shared" si="157"/>
        <v>5.1055236549138909</v>
      </c>
      <c r="X703" s="152">
        <v>113</v>
      </c>
      <c r="Y703" s="152">
        <f>61+10+16+36/2</f>
        <v>105</v>
      </c>
      <c r="Z703" s="152">
        <f>61+10+19+16/2</f>
        <v>98</v>
      </c>
      <c r="AA703" s="152">
        <f>61+10+19+52/2</f>
        <v>116</v>
      </c>
    </row>
    <row r="704" spans="1:27" ht="45">
      <c r="A704" s="408" t="s">
        <v>788</v>
      </c>
      <c r="B704" s="745"/>
      <c r="C704" s="746"/>
      <c r="D704" s="431">
        <v>5.6</v>
      </c>
      <c r="E704" s="398">
        <v>72</v>
      </c>
      <c r="F704" s="432">
        <v>212</v>
      </c>
      <c r="G704" s="85">
        <v>14.6</v>
      </c>
      <c r="H704" s="433">
        <v>0</v>
      </c>
      <c r="I704" s="308">
        <f t="shared" si="155"/>
        <v>18.867247809428463</v>
      </c>
      <c r="J704" s="433">
        <f t="shared" si="156"/>
        <v>93.5</v>
      </c>
      <c r="K704" s="303">
        <f t="shared" si="157"/>
        <v>2.2940224981557469</v>
      </c>
      <c r="X704" s="152"/>
      <c r="Y704" s="152"/>
      <c r="Z704" s="152"/>
      <c r="AA704" s="152"/>
    </row>
    <row r="705" spans="1:27" ht="45">
      <c r="A705" s="408" t="s">
        <v>757</v>
      </c>
      <c r="B705" s="745"/>
      <c r="C705" s="746"/>
      <c r="D705" s="431">
        <v>7.3</v>
      </c>
      <c r="E705" s="398">
        <v>109</v>
      </c>
      <c r="F705" s="432">
        <v>433</v>
      </c>
      <c r="G705" s="85">
        <v>20.5</v>
      </c>
      <c r="H705" s="433">
        <v>0</v>
      </c>
      <c r="I705" s="308">
        <f t="shared" si="155"/>
        <v>24.755400336061037</v>
      </c>
      <c r="J705" s="433">
        <f t="shared" si="156"/>
        <v>103.5</v>
      </c>
      <c r="K705" s="303">
        <f t="shared" si="157"/>
        <v>3.1789097314502079</v>
      </c>
      <c r="X705" s="152"/>
      <c r="Y705" s="152"/>
      <c r="Z705" s="152"/>
      <c r="AA705" s="152"/>
    </row>
    <row r="706" spans="1:27" ht="45">
      <c r="A706" s="408" t="s">
        <v>362</v>
      </c>
      <c r="B706" s="745"/>
      <c r="C706" s="746"/>
      <c r="D706" s="431">
        <v>9.1</v>
      </c>
      <c r="E706" s="398">
        <v>154</v>
      </c>
      <c r="F706" s="432">
        <v>767</v>
      </c>
      <c r="G706" s="85">
        <v>26.4</v>
      </c>
      <c r="H706" s="433">
        <v>0</v>
      </c>
      <c r="I706" s="308">
        <f t="shared" si="155"/>
        <v>30.939288915885378</v>
      </c>
      <c r="J706" s="433">
        <f t="shared" si="156"/>
        <v>113.5</v>
      </c>
      <c r="K706" s="303">
        <f t="shared" si="157"/>
        <v>4.1135329443476287</v>
      </c>
      <c r="X706" s="152">
        <v>103</v>
      </c>
      <c r="Y706" s="152">
        <f>51+10+16+36/2</f>
        <v>95</v>
      </c>
      <c r="Z706" s="152">
        <f>51+10+19+16/2</f>
        <v>88</v>
      </c>
      <c r="AA706" s="152">
        <f>51+10+19+52/2</f>
        <v>106</v>
      </c>
    </row>
    <row r="707" spans="1:27" ht="45">
      <c r="A707" s="408" t="s">
        <v>363</v>
      </c>
      <c r="B707" s="745"/>
      <c r="C707" s="746"/>
      <c r="D707" s="431">
        <v>10.9</v>
      </c>
      <c r="E707" s="398">
        <v>208</v>
      </c>
      <c r="F707" s="432">
        <v>1241</v>
      </c>
      <c r="G707" s="85">
        <v>32.4</v>
      </c>
      <c r="H707" s="433">
        <v>0</v>
      </c>
      <c r="I707" s="308">
        <f t="shared" si="155"/>
        <v>37.127060080507114</v>
      </c>
      <c r="J707" s="433">
        <f t="shared" si="156"/>
        <v>123.5</v>
      </c>
      <c r="K707" s="303">
        <f t="shared" si="157"/>
        <v>5.1055236549138909</v>
      </c>
      <c r="X707" s="152">
        <v>113</v>
      </c>
      <c r="Y707" s="152">
        <f>61+10+16+36/2</f>
        <v>105</v>
      </c>
      <c r="Z707" s="152">
        <f>61+10+19+16/2</f>
        <v>98</v>
      </c>
      <c r="AA707" s="152">
        <f>61+10+19+52/2</f>
        <v>116</v>
      </c>
    </row>
    <row r="708" spans="1:27" ht="45">
      <c r="A708" s="396" t="s">
        <v>364</v>
      </c>
      <c r="B708" s="745"/>
      <c r="C708" s="746"/>
      <c r="D708" s="431">
        <v>6.6</v>
      </c>
      <c r="E708" s="398">
        <v>182</v>
      </c>
      <c r="F708" s="432">
        <v>1140</v>
      </c>
      <c r="G708" s="85">
        <v>15.9</v>
      </c>
      <c r="H708" s="433">
        <v>0</v>
      </c>
      <c r="I708" s="308">
        <f t="shared" si="155"/>
        <v>22.060260066839945</v>
      </c>
      <c r="J708" s="433">
        <f t="shared" si="156"/>
        <v>118.5</v>
      </c>
      <c r="K708" s="303">
        <f t="shared" si="157"/>
        <v>4.3635207379614211</v>
      </c>
      <c r="X708" s="152">
        <v>123</v>
      </c>
      <c r="Y708" s="152">
        <f>71+10+16+36/2</f>
        <v>115</v>
      </c>
      <c r="Z708" s="152">
        <f>71+10+19+16/2</f>
        <v>108</v>
      </c>
      <c r="AA708" s="152">
        <f>71+10+19+52/2</f>
        <v>126</v>
      </c>
    </row>
    <row r="709" spans="1:27" ht="50.25" customHeight="1">
      <c r="A709" s="396" t="s">
        <v>365</v>
      </c>
      <c r="B709" s="745"/>
      <c r="C709" s="746"/>
      <c r="D709" s="431">
        <v>10.1</v>
      </c>
      <c r="E709" s="398">
        <v>319</v>
      </c>
      <c r="F709" s="432">
        <v>2603</v>
      </c>
      <c r="G709" s="85">
        <v>27.8</v>
      </c>
      <c r="H709" s="433">
        <v>0</v>
      </c>
      <c r="I709" s="308">
        <f t="shared" si="155"/>
        <v>34.193460589897342</v>
      </c>
      <c r="J709" s="433">
        <f t="shared" si="156"/>
        <v>139.5</v>
      </c>
      <c r="K709" s="303">
        <f t="shared" si="157"/>
        <v>6.5557147477983477</v>
      </c>
      <c r="X709" s="152">
        <v>118</v>
      </c>
      <c r="Y709" s="152">
        <f>66+10+16+36/2</f>
        <v>110</v>
      </c>
      <c r="Z709" s="152">
        <f>66+10+19+16/2</f>
        <v>103</v>
      </c>
      <c r="AA709" s="152">
        <f>66+10+19+52/2</f>
        <v>121</v>
      </c>
    </row>
    <row r="710" spans="1:27" ht="50.25" customHeight="1">
      <c r="A710" s="396" t="s">
        <v>366</v>
      </c>
      <c r="B710" s="745"/>
      <c r="C710" s="746"/>
      <c r="D710" s="431">
        <v>13.7</v>
      </c>
      <c r="E710" s="398">
        <v>486</v>
      </c>
      <c r="F710" s="432">
        <v>4918</v>
      </c>
      <c r="G710" s="85">
        <v>39.700000000000003</v>
      </c>
      <c r="H710" s="433">
        <v>0</v>
      </c>
      <c r="I710" s="308">
        <f t="shared" si="155"/>
        <v>46.574855782819661</v>
      </c>
      <c r="J710" s="433">
        <f t="shared" si="156"/>
        <v>162.5</v>
      </c>
      <c r="K710" s="303">
        <f t="shared" si="157"/>
        <v>8.6476775288603118</v>
      </c>
      <c r="X710" s="152">
        <v>139</v>
      </c>
      <c r="Y710" s="152">
        <f>87+10+16+36/2</f>
        <v>131</v>
      </c>
      <c r="Z710" s="152">
        <f>87+10+19+16/2</f>
        <v>124</v>
      </c>
      <c r="AA710" s="152">
        <f>87+10+19+52/2</f>
        <v>142</v>
      </c>
    </row>
    <row r="711" spans="1:27" ht="50.25" customHeight="1">
      <c r="A711" s="396" t="s">
        <v>367</v>
      </c>
      <c r="B711" s="745"/>
      <c r="C711" s="746"/>
      <c r="D711" s="431">
        <v>13.7</v>
      </c>
      <c r="E711" s="398">
        <v>486</v>
      </c>
      <c r="F711" s="432">
        <v>4918</v>
      </c>
      <c r="G711" s="85">
        <v>39.700000000000003</v>
      </c>
      <c r="H711" s="433">
        <v>0</v>
      </c>
      <c r="I711" s="308">
        <f t="shared" si="155"/>
        <v>46.574855782819661</v>
      </c>
      <c r="J711" s="433">
        <f t="shared" si="156"/>
        <v>182.5</v>
      </c>
      <c r="K711" s="303">
        <f t="shared" si="157"/>
        <v>7.8550136614939294</v>
      </c>
      <c r="X711" s="154">
        <v>162</v>
      </c>
      <c r="Y711" s="154">
        <f>110+10+16+36/2</f>
        <v>154</v>
      </c>
      <c r="Z711" s="154">
        <f>110+10+19+16/2</f>
        <v>147</v>
      </c>
      <c r="AA711" s="154">
        <f>110+10+19+52/2</f>
        <v>165</v>
      </c>
    </row>
    <row r="712" spans="1:27" ht="50.25" customHeight="1">
      <c r="A712" s="396" t="s">
        <v>368</v>
      </c>
      <c r="B712" s="747"/>
      <c r="C712" s="748"/>
      <c r="D712" s="431">
        <v>13.7</v>
      </c>
      <c r="E712" s="398">
        <v>486</v>
      </c>
      <c r="F712" s="432">
        <v>4918</v>
      </c>
      <c r="G712" s="85">
        <v>39.700000000000003</v>
      </c>
      <c r="H712" s="433">
        <v>0</v>
      </c>
      <c r="I712" s="308">
        <f t="shared" si="155"/>
        <v>46.574855782819661</v>
      </c>
      <c r="J712" s="433">
        <f t="shared" si="156"/>
        <v>202.5</v>
      </c>
      <c r="K712" s="303">
        <f t="shared" si="157"/>
        <v>7.1953256114452913</v>
      </c>
      <c r="X712" s="154">
        <f>53/2+16+10+130</f>
        <v>182.5</v>
      </c>
      <c r="Y712" s="154">
        <f>36/2+16+10+130</f>
        <v>174</v>
      </c>
      <c r="Z712" s="154">
        <f>16/2+19+10+130</f>
        <v>167</v>
      </c>
      <c r="AA712" s="154">
        <f>52/2+19+10+130</f>
        <v>185</v>
      </c>
    </row>
    <row r="713" spans="1:27">
      <c r="A713" s="3"/>
      <c r="X713" s="154">
        <f>53/2+16+10+150</f>
        <v>202.5</v>
      </c>
      <c r="Y713" s="154">
        <f>36/2+16+10+150</f>
        <v>194</v>
      </c>
      <c r="Z713" s="154">
        <f>16/2+19+10+150</f>
        <v>187</v>
      </c>
      <c r="AA713" s="154">
        <f>52/2+19+10+150</f>
        <v>205</v>
      </c>
    </row>
    <row r="714" spans="1:27" ht="75">
      <c r="A714" s="3"/>
      <c r="B714" s="77"/>
      <c r="E714" s="156" t="s">
        <v>191</v>
      </c>
      <c r="H714" s="157" t="s">
        <v>192</v>
      </c>
      <c r="I714" s="157" t="s">
        <v>193</v>
      </c>
      <c r="R714" s="749" t="s">
        <v>194</v>
      </c>
      <c r="S714" s="750"/>
      <c r="T714" s="750"/>
      <c r="U714" s="751"/>
      <c r="V714" s="158"/>
      <c r="W714" s="3"/>
    </row>
    <row r="715" spans="1:27" ht="19.5" customHeight="1">
      <c r="A715" s="4" t="s">
        <v>2</v>
      </c>
      <c r="B715" s="78" t="s">
        <v>158</v>
      </c>
      <c r="C715" s="78" t="s">
        <v>164</v>
      </c>
      <c r="D715" s="78" t="s">
        <v>162</v>
      </c>
      <c r="E715" s="79" t="s">
        <v>165</v>
      </c>
      <c r="F715" s="5" t="s">
        <v>182</v>
      </c>
      <c r="G715" s="5" t="s">
        <v>190</v>
      </c>
      <c r="H715" s="79" t="s">
        <v>195</v>
      </c>
      <c r="I715" s="79" t="s">
        <v>196</v>
      </c>
      <c r="K715" s="710" t="s">
        <v>166</v>
      </c>
      <c r="L715" s="711"/>
      <c r="M715" s="711"/>
      <c r="N715" s="711"/>
      <c r="O715" s="712"/>
      <c r="P715"/>
      <c r="Q715" s="4" t="s">
        <v>2</v>
      </c>
      <c r="R715" s="752" t="s">
        <v>197</v>
      </c>
      <c r="S715" s="753"/>
      <c r="T715" s="752" t="s">
        <v>198</v>
      </c>
      <c r="U715" s="753"/>
      <c r="V715" s="710" t="s">
        <v>199</v>
      </c>
      <c r="W715" s="712"/>
    </row>
    <row r="716" spans="1:27" ht="30">
      <c r="A716" s="8"/>
      <c r="B716" s="81" t="s">
        <v>17</v>
      </c>
      <c r="C716" s="82" t="s">
        <v>17</v>
      </c>
      <c r="D716" s="82" t="s">
        <v>17</v>
      </c>
      <c r="E716" s="83" t="s">
        <v>17</v>
      </c>
      <c r="F716" s="9" t="s">
        <v>17</v>
      </c>
      <c r="G716" s="9" t="s">
        <v>17</v>
      </c>
      <c r="H716" s="83" t="s">
        <v>17</v>
      </c>
      <c r="I716" s="83" t="s">
        <v>17</v>
      </c>
      <c r="K716" s="95">
        <v>0.6</v>
      </c>
      <c r="L716" s="95">
        <v>0.7</v>
      </c>
      <c r="M716" s="95">
        <v>0.8</v>
      </c>
      <c r="N716" s="95">
        <v>0.9</v>
      </c>
      <c r="O716" s="95">
        <v>1</v>
      </c>
      <c r="P716"/>
      <c r="Q716" s="8"/>
      <c r="R716" s="95">
        <v>0.6</v>
      </c>
      <c r="S716" s="95">
        <v>0.9</v>
      </c>
      <c r="T716" s="95">
        <v>0.6</v>
      </c>
      <c r="U716" s="95">
        <v>0.9</v>
      </c>
      <c r="V716" s="159" t="s">
        <v>200</v>
      </c>
      <c r="W716" s="159" t="s">
        <v>201</v>
      </c>
    </row>
    <row r="717" spans="1:27" ht="45">
      <c r="A717" s="396" t="s">
        <v>356</v>
      </c>
      <c r="B717" s="65">
        <f t="shared" ref="B717:B731" si="158">G660</f>
        <v>6.4479422867607532</v>
      </c>
      <c r="C717" s="65">
        <v>4</v>
      </c>
      <c r="D717" s="65">
        <f t="shared" ref="D717:D731" si="159">I698</f>
        <v>9.4311941603363891</v>
      </c>
      <c r="E717" s="107">
        <f>MIN(B717,D717)</f>
        <v>6.4479422867607532</v>
      </c>
      <c r="F717" s="65">
        <f t="shared" ref="F717:F731" si="160">I660</f>
        <v>0.68556196386955359</v>
      </c>
      <c r="G717" s="65">
        <f t="shared" ref="G717:G731" si="161">K698</f>
        <v>1.0529401549478103</v>
      </c>
      <c r="H717" s="107">
        <f t="shared" ref="H717:H728" si="162">MIN(F717:G717,C717)</f>
        <v>0.68556196386955359</v>
      </c>
      <c r="I717" s="107">
        <f>H717+$B$637</f>
        <v>4.6855619638695538</v>
      </c>
      <c r="K717" s="88">
        <f t="shared" ref="K717:O731" si="163">MIN(K$716*$B717/1.3,$C717/1,K$716*$D717/1.3)</f>
        <v>2.9759733631203473</v>
      </c>
      <c r="L717" s="88">
        <f t="shared" si="163"/>
        <v>3.471968923640405</v>
      </c>
      <c r="M717" s="88">
        <f t="shared" si="163"/>
        <v>3.967964484160464</v>
      </c>
      <c r="N717" s="88">
        <f t="shared" si="163"/>
        <v>4</v>
      </c>
      <c r="O717" s="88">
        <f t="shared" si="163"/>
        <v>4</v>
      </c>
      <c r="P717"/>
      <c r="Q717" s="396" t="s">
        <v>356</v>
      </c>
      <c r="R717" s="88">
        <f t="shared" ref="R717:S731" si="164">MIN(R$716*$F717/1.3,$C717/1,R$716*$G717/1.3)</f>
        <v>0.31641321409364009</v>
      </c>
      <c r="S717" s="88">
        <f t="shared" si="164"/>
        <v>0.4746198211404602</v>
      </c>
      <c r="T717" s="88">
        <f t="shared" ref="T717:U731" si="165">$I717*T$716/1.3</f>
        <v>2.1625670602474862</v>
      </c>
      <c r="U717" s="88">
        <f t="shared" si="165"/>
        <v>3.2438505903712298</v>
      </c>
      <c r="V717" s="429">
        <f t="shared" ref="V717:V731" si="166">R717*200/1.35</f>
        <v>46.876031717576311</v>
      </c>
      <c r="W717" s="429">
        <f>T717*200/1.35</f>
        <v>320.38030522184977</v>
      </c>
    </row>
    <row r="718" spans="1:27" ht="45">
      <c r="A718" s="396" t="s">
        <v>360</v>
      </c>
      <c r="B718" s="65">
        <f t="shared" si="158"/>
        <v>8.7507788177467365</v>
      </c>
      <c r="C718" s="65">
        <v>8</v>
      </c>
      <c r="D718" s="65">
        <f t="shared" si="159"/>
        <v>12.612827162714847</v>
      </c>
      <c r="E718" s="107">
        <f t="shared" ref="E718:E731" si="167">MIN(B718,D718)</f>
        <v>8.7507788177467365</v>
      </c>
      <c r="F718" s="65">
        <f t="shared" si="160"/>
        <v>0.93004458531057144</v>
      </c>
      <c r="G718" s="65">
        <f t="shared" si="161"/>
        <v>1.4281713519797015</v>
      </c>
      <c r="H718" s="107">
        <f t="shared" si="162"/>
        <v>0.93004458531057144</v>
      </c>
      <c r="I718" s="107">
        <f t="shared" ref="I718:I728" si="168">H718+$B$637</f>
        <v>4.9300445853105712</v>
      </c>
      <c r="K718" s="88">
        <f t="shared" si="163"/>
        <v>4.038820992806186</v>
      </c>
      <c r="L718" s="88">
        <f t="shared" si="163"/>
        <v>4.7119578249405496</v>
      </c>
      <c r="M718" s="88">
        <f t="shared" si="163"/>
        <v>5.385094657074915</v>
      </c>
      <c r="N718" s="88">
        <f t="shared" si="163"/>
        <v>6.0582314892092786</v>
      </c>
      <c r="O718" s="88">
        <f t="shared" si="163"/>
        <v>6.731368321343643</v>
      </c>
      <c r="P718"/>
      <c r="Q718" s="396" t="s">
        <v>360</v>
      </c>
      <c r="R718" s="88">
        <f t="shared" si="164"/>
        <v>0.42925134706641754</v>
      </c>
      <c r="S718" s="88">
        <f t="shared" si="164"/>
        <v>0.64387702059962637</v>
      </c>
      <c r="T718" s="88">
        <f t="shared" si="165"/>
        <v>2.2754051932202635</v>
      </c>
      <c r="U718" s="88">
        <f t="shared" si="165"/>
        <v>3.4131077898303959</v>
      </c>
      <c r="V718" s="429">
        <f t="shared" si="166"/>
        <v>63.59279215798778</v>
      </c>
      <c r="W718" s="429">
        <f t="shared" ref="W718:W731" si="169">T718*200/1.35</f>
        <v>337.09706566226123</v>
      </c>
    </row>
    <row r="719" spans="1:27" ht="45">
      <c r="A719" s="396" t="s">
        <v>357</v>
      </c>
      <c r="B719" s="65">
        <f t="shared" si="158"/>
        <v>12.895884573521506</v>
      </c>
      <c r="C719" s="65">
        <v>10</v>
      </c>
      <c r="D719" s="65">
        <f t="shared" si="159"/>
        <v>18.867247809428463</v>
      </c>
      <c r="E719" s="107">
        <f t="shared" si="167"/>
        <v>12.895884573521506</v>
      </c>
      <c r="F719" s="65">
        <f t="shared" si="160"/>
        <v>1.4937800644343464</v>
      </c>
      <c r="G719" s="65">
        <f t="shared" si="161"/>
        <v>2.2940224981557469</v>
      </c>
      <c r="H719" s="107">
        <f t="shared" si="162"/>
        <v>1.4937800644343464</v>
      </c>
      <c r="I719" s="107">
        <f t="shared" si="168"/>
        <v>5.4937800644343469</v>
      </c>
      <c r="K719" s="88">
        <f t="shared" si="163"/>
        <v>5.9519467262406947</v>
      </c>
      <c r="L719" s="88">
        <f t="shared" si="163"/>
        <v>6.94393784728081</v>
      </c>
      <c r="M719" s="88">
        <f t="shared" si="163"/>
        <v>7.935928968320928</v>
      </c>
      <c r="N719" s="88">
        <f t="shared" si="163"/>
        <v>8.9279200893610415</v>
      </c>
      <c r="O719" s="88">
        <f t="shared" si="163"/>
        <v>9.9199112104011586</v>
      </c>
      <c r="P719"/>
      <c r="Q719" s="396" t="s">
        <v>357</v>
      </c>
      <c r="R719" s="88">
        <f t="shared" si="164"/>
        <v>0.68943695281585216</v>
      </c>
      <c r="S719" s="88">
        <f t="shared" si="164"/>
        <v>1.0341554292237782</v>
      </c>
      <c r="T719" s="88">
        <f t="shared" si="165"/>
        <v>2.5355907989696984</v>
      </c>
      <c r="U719" s="88">
        <f t="shared" si="165"/>
        <v>3.8033861984545481</v>
      </c>
      <c r="V719" s="429">
        <f t="shared" si="166"/>
        <v>102.13880782457069</v>
      </c>
      <c r="W719" s="429">
        <f t="shared" si="169"/>
        <v>375.64308132884418</v>
      </c>
    </row>
    <row r="720" spans="1:27" ht="45">
      <c r="A720" s="396" t="s">
        <v>359</v>
      </c>
      <c r="B720" s="65">
        <f t="shared" si="158"/>
        <v>16.810706676197679</v>
      </c>
      <c r="C720" s="65">
        <v>12</v>
      </c>
      <c r="D720" s="65">
        <f t="shared" si="159"/>
        <v>24.755400336061037</v>
      </c>
      <c r="E720" s="107">
        <f t="shared" si="167"/>
        <v>16.810706676197679</v>
      </c>
      <c r="F720" s="65">
        <f t="shared" si="160"/>
        <v>2.0699476121956257</v>
      </c>
      <c r="G720" s="65">
        <f t="shared" si="161"/>
        <v>3.1789097314502079</v>
      </c>
      <c r="H720" s="107">
        <f t="shared" si="162"/>
        <v>2.0699476121956257</v>
      </c>
      <c r="I720" s="107">
        <f t="shared" si="168"/>
        <v>6.0699476121956257</v>
      </c>
      <c r="K720" s="88">
        <f t="shared" si="163"/>
        <v>7.7587876967066203</v>
      </c>
      <c r="L720" s="88">
        <f t="shared" si="163"/>
        <v>9.0519189794910577</v>
      </c>
      <c r="M720" s="88">
        <f t="shared" si="163"/>
        <v>10.345050262275494</v>
      </c>
      <c r="N720" s="88">
        <f t="shared" si="163"/>
        <v>11.638181545059931</v>
      </c>
      <c r="O720" s="88">
        <f t="shared" si="163"/>
        <v>12</v>
      </c>
      <c r="P720"/>
      <c r="Q720" s="396" t="s">
        <v>359</v>
      </c>
      <c r="R720" s="88">
        <f t="shared" si="164"/>
        <v>0.95536043639798107</v>
      </c>
      <c r="S720" s="88">
        <f t="shared" si="164"/>
        <v>1.4330406545969716</v>
      </c>
      <c r="T720" s="88">
        <f t="shared" si="165"/>
        <v>2.8015142825518269</v>
      </c>
      <c r="U720" s="88">
        <f t="shared" si="165"/>
        <v>4.2022714238277405</v>
      </c>
      <c r="V720" s="429">
        <f t="shared" si="166"/>
        <v>141.53487946636756</v>
      </c>
      <c r="W720" s="429">
        <f t="shared" si="169"/>
        <v>415.039152970641</v>
      </c>
    </row>
    <row r="721" spans="1:23" ht="45">
      <c r="A721" s="396" t="s">
        <v>358</v>
      </c>
      <c r="B721" s="65">
        <f t="shared" si="158"/>
        <v>20.955812431972447</v>
      </c>
      <c r="C721" s="65">
        <v>12</v>
      </c>
      <c r="D721" s="65">
        <f t="shared" si="159"/>
        <v>30.939288915885378</v>
      </c>
      <c r="E721" s="107">
        <f t="shared" si="167"/>
        <v>20.955812431972447</v>
      </c>
      <c r="F721" s="65">
        <f t="shared" si="160"/>
        <v>2.6785451403230303</v>
      </c>
      <c r="G721" s="65">
        <f t="shared" si="161"/>
        <v>4.1135329443476287</v>
      </c>
      <c r="H721" s="107">
        <f t="shared" si="162"/>
        <v>2.6785451403230303</v>
      </c>
      <c r="I721" s="107">
        <f t="shared" si="168"/>
        <v>6.6785451403230303</v>
      </c>
      <c r="K721" s="88">
        <f t="shared" si="163"/>
        <v>9.6719134301411298</v>
      </c>
      <c r="L721" s="88">
        <f t="shared" si="163"/>
        <v>11.283899001831315</v>
      </c>
      <c r="M721" s="88">
        <f t="shared" si="163"/>
        <v>12</v>
      </c>
      <c r="N721" s="88">
        <f t="shared" si="163"/>
        <v>12</v>
      </c>
      <c r="O721" s="88">
        <f t="shared" si="163"/>
        <v>12</v>
      </c>
      <c r="P721"/>
      <c r="Q721" s="396" t="s">
        <v>358</v>
      </c>
      <c r="R721" s="88">
        <f t="shared" si="164"/>
        <v>1.2362516032260138</v>
      </c>
      <c r="S721" s="88">
        <f t="shared" si="164"/>
        <v>1.8543774048390211</v>
      </c>
      <c r="T721" s="88">
        <f t="shared" si="165"/>
        <v>3.0824054493798596</v>
      </c>
      <c r="U721" s="88">
        <f t="shared" si="165"/>
        <v>4.6236081740697896</v>
      </c>
      <c r="V721" s="429">
        <f t="shared" si="166"/>
        <v>183.14838566311315</v>
      </c>
      <c r="W721" s="429">
        <f t="shared" si="169"/>
        <v>456.65265916738662</v>
      </c>
    </row>
    <row r="722" spans="1:23" ht="45">
      <c r="A722" s="396" t="s">
        <v>361</v>
      </c>
      <c r="B722" s="65">
        <f t="shared" si="158"/>
        <v>25.100918187747219</v>
      </c>
      <c r="C722" s="65">
        <v>12</v>
      </c>
      <c r="D722" s="65">
        <f t="shared" si="159"/>
        <v>37.127060080507114</v>
      </c>
      <c r="E722" s="107">
        <f t="shared" si="167"/>
        <v>25.100918187747219</v>
      </c>
      <c r="F722" s="65">
        <f t="shared" si="160"/>
        <v>3.3245358298367984</v>
      </c>
      <c r="G722" s="65">
        <f t="shared" si="161"/>
        <v>5.1055236549138909</v>
      </c>
      <c r="H722" s="107">
        <f t="shared" si="162"/>
        <v>3.3245358298367984</v>
      </c>
      <c r="I722" s="107">
        <f t="shared" si="168"/>
        <v>7.3245358298367984</v>
      </c>
      <c r="K722" s="88">
        <f t="shared" si="163"/>
        <v>11.585039163575638</v>
      </c>
      <c r="L722" s="88">
        <f t="shared" si="163"/>
        <v>12</v>
      </c>
      <c r="M722" s="88">
        <f t="shared" si="163"/>
        <v>12</v>
      </c>
      <c r="N722" s="88">
        <f t="shared" si="163"/>
        <v>12</v>
      </c>
      <c r="O722" s="88">
        <f t="shared" si="163"/>
        <v>12</v>
      </c>
      <c r="P722"/>
      <c r="Q722" s="396" t="s">
        <v>361</v>
      </c>
      <c r="R722" s="88">
        <f t="shared" si="164"/>
        <v>1.5344011522323684</v>
      </c>
      <c r="S722" s="88">
        <f t="shared" si="164"/>
        <v>2.3016017283485528</v>
      </c>
      <c r="T722" s="88">
        <f t="shared" si="165"/>
        <v>3.3805549983862146</v>
      </c>
      <c r="U722" s="88">
        <f t="shared" si="165"/>
        <v>5.070832497579322</v>
      </c>
      <c r="V722" s="429">
        <f t="shared" si="166"/>
        <v>227.31868921961009</v>
      </c>
      <c r="W722" s="429">
        <f t="shared" si="169"/>
        <v>500.82296272388362</v>
      </c>
    </row>
    <row r="723" spans="1:23" ht="45">
      <c r="A723" s="408" t="s">
        <v>788</v>
      </c>
      <c r="B723" s="65">
        <f t="shared" si="158"/>
        <v>23.751228314680212</v>
      </c>
      <c r="C723" s="65">
        <v>10</v>
      </c>
      <c r="D723" s="65">
        <f t="shared" si="159"/>
        <v>18.867247809428463</v>
      </c>
      <c r="E723" s="107">
        <f t="shared" ref="E723" si="170">MIN(B723,D723)</f>
        <v>18.867247809428463</v>
      </c>
      <c r="F723" s="65">
        <f t="shared" si="160"/>
        <v>2.7511964115393384</v>
      </c>
      <c r="G723" s="65">
        <f t="shared" si="161"/>
        <v>2.2940224981557469</v>
      </c>
      <c r="H723" s="107">
        <f t="shared" ref="H723" si="171">MIN(F723:G723,C723)</f>
        <v>2.2940224981557469</v>
      </c>
      <c r="I723" s="107">
        <f t="shared" ref="I723" si="172">H723+$B$637</f>
        <v>6.2940224981557469</v>
      </c>
      <c r="K723" s="88">
        <f t="shared" si="163"/>
        <v>8.7079605274285203</v>
      </c>
      <c r="L723" s="88">
        <f t="shared" si="163"/>
        <v>10</v>
      </c>
      <c r="M723" s="88">
        <f t="shared" si="163"/>
        <v>10</v>
      </c>
      <c r="N723" s="88">
        <f t="shared" si="163"/>
        <v>10</v>
      </c>
      <c r="O723" s="88">
        <f t="shared" si="163"/>
        <v>10</v>
      </c>
      <c r="P723"/>
      <c r="Q723" s="408" t="s">
        <v>788</v>
      </c>
      <c r="R723" s="88">
        <f t="shared" si="164"/>
        <v>1.0587796145334214</v>
      </c>
      <c r="S723" s="88">
        <f t="shared" si="164"/>
        <v>1.5881694218001323</v>
      </c>
      <c r="T723" s="88">
        <f t="shared" si="165"/>
        <v>2.9049334606872677</v>
      </c>
      <c r="U723" s="88">
        <f t="shared" si="165"/>
        <v>4.3574001910309015</v>
      </c>
      <c r="V723" s="429">
        <f t="shared" ref="V723" si="173">R723*200/1.35</f>
        <v>156.85623919013648</v>
      </c>
      <c r="W723" s="429">
        <f t="shared" ref="W723" si="174">T723*200/1.35</f>
        <v>430.36051269440998</v>
      </c>
    </row>
    <row r="724" spans="1:23" ht="45">
      <c r="A724" s="408" t="s">
        <v>757</v>
      </c>
      <c r="B724" s="65">
        <f t="shared" si="158"/>
        <v>30.961422624493849</v>
      </c>
      <c r="C724" s="65">
        <v>13</v>
      </c>
      <c r="D724" s="65">
        <f t="shared" si="159"/>
        <v>24.755400336061037</v>
      </c>
      <c r="E724" s="107">
        <f t="shared" ref="E724" si="175">MIN(B724,D724)</f>
        <v>24.755400336061037</v>
      </c>
      <c r="F724" s="65">
        <f t="shared" si="160"/>
        <v>3.8123633982915046</v>
      </c>
      <c r="G724" s="65">
        <f t="shared" si="161"/>
        <v>3.1789097314502079</v>
      </c>
      <c r="H724" s="107">
        <f t="shared" ref="H724" si="176">MIN(F724:G724,C724)</f>
        <v>3.1789097314502079</v>
      </c>
      <c r="I724" s="107">
        <f t="shared" ref="I724" si="177">H724+$B$637</f>
        <v>7.1789097314502079</v>
      </c>
      <c r="K724" s="88">
        <f t="shared" si="163"/>
        <v>11.425569385874324</v>
      </c>
      <c r="L724" s="88">
        <f t="shared" si="163"/>
        <v>13</v>
      </c>
      <c r="M724" s="88">
        <f t="shared" si="163"/>
        <v>13</v>
      </c>
      <c r="N724" s="88">
        <f t="shared" si="163"/>
        <v>13</v>
      </c>
      <c r="O724" s="88">
        <f t="shared" si="163"/>
        <v>13</v>
      </c>
      <c r="P724"/>
      <c r="Q724" s="408" t="s">
        <v>757</v>
      </c>
      <c r="R724" s="88">
        <f t="shared" si="164"/>
        <v>1.4671891068231728</v>
      </c>
      <c r="S724" s="88">
        <f t="shared" si="164"/>
        <v>2.2007836602347592</v>
      </c>
      <c r="T724" s="88">
        <f t="shared" si="165"/>
        <v>3.3133429529770186</v>
      </c>
      <c r="U724" s="88">
        <f t="shared" si="165"/>
        <v>4.9700144294655288</v>
      </c>
      <c r="V724" s="429">
        <f t="shared" ref="V724" si="178">R724*200/1.35</f>
        <v>217.36134915898853</v>
      </c>
      <c r="W724" s="429">
        <f t="shared" ref="W724" si="179">T724*200/1.35</f>
        <v>490.865622663262</v>
      </c>
    </row>
    <row r="725" spans="1:23" ht="45">
      <c r="A725" s="408" t="s">
        <v>362</v>
      </c>
      <c r="B725" s="65">
        <f t="shared" si="158"/>
        <v>38.595746011355345</v>
      </c>
      <c r="C725" s="65">
        <v>12</v>
      </c>
      <c r="D725" s="65">
        <f t="shared" si="159"/>
        <v>30.939288915885378</v>
      </c>
      <c r="E725" s="107">
        <f t="shared" si="167"/>
        <v>30.939288915885378</v>
      </c>
      <c r="F725" s="65">
        <f t="shared" si="160"/>
        <v>4.9332588870727569</v>
      </c>
      <c r="G725" s="65">
        <f t="shared" si="161"/>
        <v>4.1135329443476287</v>
      </c>
      <c r="H725" s="107">
        <f t="shared" si="162"/>
        <v>4.1135329443476287</v>
      </c>
      <c r="I725" s="107">
        <f t="shared" si="168"/>
        <v>8.1135329443476287</v>
      </c>
      <c r="K725" s="88">
        <f t="shared" si="163"/>
        <v>12</v>
      </c>
      <c r="L725" s="88">
        <f t="shared" si="163"/>
        <v>12</v>
      </c>
      <c r="M725" s="88">
        <f t="shared" si="163"/>
        <v>12</v>
      </c>
      <c r="N725" s="88">
        <f t="shared" si="163"/>
        <v>12</v>
      </c>
      <c r="O725" s="88">
        <f t="shared" si="163"/>
        <v>12</v>
      </c>
      <c r="P725"/>
      <c r="Q725" s="408" t="s">
        <v>362</v>
      </c>
      <c r="R725" s="88">
        <f t="shared" si="164"/>
        <v>1.8985536666219824</v>
      </c>
      <c r="S725" s="88">
        <f t="shared" si="164"/>
        <v>2.8478304999329738</v>
      </c>
      <c r="T725" s="88">
        <f t="shared" si="165"/>
        <v>3.744707512775828</v>
      </c>
      <c r="U725" s="88">
        <f t="shared" si="165"/>
        <v>5.6170612691637434</v>
      </c>
      <c r="V725" s="429">
        <f>R725*200/1.35</f>
        <v>281.26720986992331</v>
      </c>
      <c r="W725" s="429">
        <f>T725*200/1.35</f>
        <v>554.77148337419669</v>
      </c>
    </row>
    <row r="726" spans="1:23" ht="45">
      <c r="A726" s="408" t="s">
        <v>363</v>
      </c>
      <c r="B726" s="65">
        <f t="shared" si="158"/>
        <v>46.230069398216841</v>
      </c>
      <c r="C726" s="65">
        <v>12</v>
      </c>
      <c r="D726" s="65">
        <f t="shared" si="159"/>
        <v>37.127060080507114</v>
      </c>
      <c r="E726" s="107">
        <f t="shared" si="167"/>
        <v>37.127060080507114</v>
      </c>
      <c r="F726" s="65">
        <f t="shared" si="160"/>
        <v>6.12302390616283</v>
      </c>
      <c r="G726" s="65">
        <f t="shared" si="161"/>
        <v>5.1055236549138909</v>
      </c>
      <c r="H726" s="107">
        <f t="shared" si="162"/>
        <v>5.1055236549138909</v>
      </c>
      <c r="I726" s="107">
        <f t="shared" si="168"/>
        <v>9.1055236549138918</v>
      </c>
      <c r="K726" s="88">
        <f t="shared" si="163"/>
        <v>12</v>
      </c>
      <c r="L726" s="88">
        <f t="shared" si="163"/>
        <v>12</v>
      </c>
      <c r="M726" s="88">
        <f t="shared" si="163"/>
        <v>12</v>
      </c>
      <c r="N726" s="88">
        <f t="shared" si="163"/>
        <v>12</v>
      </c>
      <c r="O726" s="88">
        <f t="shared" si="163"/>
        <v>12</v>
      </c>
      <c r="P726"/>
      <c r="Q726" s="408" t="s">
        <v>363</v>
      </c>
      <c r="R726" s="88">
        <f t="shared" si="164"/>
        <v>2.3563955330371802</v>
      </c>
      <c r="S726" s="88">
        <f t="shared" si="164"/>
        <v>3.5345932995557705</v>
      </c>
      <c r="T726" s="88">
        <f t="shared" si="165"/>
        <v>4.2025493791910264</v>
      </c>
      <c r="U726" s="88">
        <f t="shared" si="165"/>
        <v>6.3038240687865406</v>
      </c>
      <c r="V726" s="429">
        <f>R726*200/1.35</f>
        <v>349.09563452402671</v>
      </c>
      <c r="W726" s="429">
        <f>T726*200/1.35</f>
        <v>622.59990802830021</v>
      </c>
    </row>
    <row r="727" spans="1:23" ht="45">
      <c r="A727" s="396" t="s">
        <v>364</v>
      </c>
      <c r="B727" s="65">
        <f t="shared" si="158"/>
        <v>15.19872110450749</v>
      </c>
      <c r="C727" s="65">
        <v>8</v>
      </c>
      <c r="D727" s="65">
        <f t="shared" si="159"/>
        <v>22.060260066839945</v>
      </c>
      <c r="E727" s="107">
        <f t="shared" si="167"/>
        <v>15.19872110450749</v>
      </c>
      <c r="F727" s="65">
        <f t="shared" si="160"/>
        <v>2.8454065427374902</v>
      </c>
      <c r="G727" s="65">
        <f t="shared" si="161"/>
        <v>4.3635207379614211</v>
      </c>
      <c r="H727" s="107">
        <f t="shared" si="162"/>
        <v>2.8454065427374902</v>
      </c>
      <c r="I727" s="107">
        <f t="shared" si="168"/>
        <v>6.8454065427374902</v>
      </c>
      <c r="K727" s="88">
        <f t="shared" si="163"/>
        <v>7.0147943559265338</v>
      </c>
      <c r="L727" s="88">
        <f t="shared" si="163"/>
        <v>8</v>
      </c>
      <c r="M727" s="88">
        <f t="shared" si="163"/>
        <v>8</v>
      </c>
      <c r="N727" s="88">
        <f t="shared" si="163"/>
        <v>8</v>
      </c>
      <c r="O727" s="88">
        <f t="shared" si="163"/>
        <v>8</v>
      </c>
      <c r="P727"/>
      <c r="Q727" s="396" t="s">
        <v>364</v>
      </c>
      <c r="R727" s="88">
        <f t="shared" si="164"/>
        <v>1.3132645581865339</v>
      </c>
      <c r="S727" s="88">
        <f t="shared" si="164"/>
        <v>1.9698968372798009</v>
      </c>
      <c r="T727" s="88">
        <f t="shared" si="165"/>
        <v>3.1594184043403799</v>
      </c>
      <c r="U727" s="88">
        <f t="shared" si="165"/>
        <v>4.7391276065105696</v>
      </c>
      <c r="V727" s="429">
        <f t="shared" si="166"/>
        <v>194.55771232393093</v>
      </c>
      <c r="W727" s="429">
        <f t="shared" si="169"/>
        <v>468.0619858282044</v>
      </c>
    </row>
    <row r="728" spans="1:23" ht="47.25" customHeight="1">
      <c r="A728" s="396" t="s">
        <v>365</v>
      </c>
      <c r="B728" s="65">
        <f t="shared" si="158"/>
        <v>23.258648962958429</v>
      </c>
      <c r="C728" s="65">
        <v>10</v>
      </c>
      <c r="D728" s="65">
        <f t="shared" si="159"/>
        <v>34.193460589897342</v>
      </c>
      <c r="E728" s="107">
        <f t="shared" si="167"/>
        <v>23.258648962958429</v>
      </c>
      <c r="F728" s="65">
        <f t="shared" si="160"/>
        <v>4.2725432285353833</v>
      </c>
      <c r="G728" s="65">
        <f t="shared" si="161"/>
        <v>6.5557147477983477</v>
      </c>
      <c r="H728" s="107">
        <f t="shared" si="162"/>
        <v>4.2725432285353833</v>
      </c>
      <c r="I728" s="107">
        <f t="shared" si="168"/>
        <v>8.2725432285353833</v>
      </c>
      <c r="K728" s="88">
        <f t="shared" si="163"/>
        <v>10</v>
      </c>
      <c r="L728" s="88">
        <f t="shared" si="163"/>
        <v>10</v>
      </c>
      <c r="M728" s="88">
        <f t="shared" si="163"/>
        <v>10</v>
      </c>
      <c r="N728" s="88">
        <f t="shared" si="163"/>
        <v>10</v>
      </c>
      <c r="O728" s="88">
        <f t="shared" si="163"/>
        <v>10</v>
      </c>
      <c r="P728"/>
      <c r="Q728" s="396" t="s">
        <v>365</v>
      </c>
      <c r="R728" s="88">
        <f t="shared" si="164"/>
        <v>1.9719430285547921</v>
      </c>
      <c r="S728" s="88">
        <f t="shared" si="164"/>
        <v>2.9579145428321882</v>
      </c>
      <c r="T728" s="88">
        <f t="shared" si="165"/>
        <v>3.8180968747086386</v>
      </c>
      <c r="U728" s="88">
        <f t="shared" si="165"/>
        <v>5.727145312062957</v>
      </c>
      <c r="V728" s="429">
        <f t="shared" si="166"/>
        <v>292.13970793404326</v>
      </c>
      <c r="W728" s="429">
        <f t="shared" si="169"/>
        <v>565.64398143831681</v>
      </c>
    </row>
    <row r="729" spans="1:23" ht="47.25" customHeight="1">
      <c r="A729" s="396" t="s">
        <v>366</v>
      </c>
      <c r="B729" s="65">
        <f t="shared" si="158"/>
        <v>31.548860474507968</v>
      </c>
      <c r="C729" s="65">
        <v>12</v>
      </c>
      <c r="D729" s="65">
        <f t="shared" si="159"/>
        <v>46.574855782819661</v>
      </c>
      <c r="E729" s="107">
        <f t="shared" si="167"/>
        <v>31.548860474507968</v>
      </c>
      <c r="F729" s="65">
        <f t="shared" si="160"/>
        <v>5.6346405643713657</v>
      </c>
      <c r="G729" s="65">
        <f t="shared" si="161"/>
        <v>8.6476775288603118</v>
      </c>
      <c r="H729" s="107">
        <f>MIN(F729:G729,C729)</f>
        <v>5.6346405643713657</v>
      </c>
      <c r="I729" s="107">
        <f>H729+$B$637</f>
        <v>9.6346405643713666</v>
      </c>
      <c r="K729" s="88">
        <f t="shared" si="163"/>
        <v>12</v>
      </c>
      <c r="L729" s="88">
        <f t="shared" si="163"/>
        <v>12</v>
      </c>
      <c r="M729" s="88">
        <f t="shared" si="163"/>
        <v>12</v>
      </c>
      <c r="N729" s="88">
        <f t="shared" si="163"/>
        <v>12</v>
      </c>
      <c r="O729" s="88">
        <f t="shared" si="163"/>
        <v>12</v>
      </c>
      <c r="P729"/>
      <c r="Q729" s="396" t="s">
        <v>366</v>
      </c>
      <c r="R729" s="88">
        <f t="shared" si="164"/>
        <v>2.6006033374021684</v>
      </c>
      <c r="S729" s="88">
        <f t="shared" si="164"/>
        <v>3.9009050061032533</v>
      </c>
      <c r="T729" s="88">
        <f t="shared" si="165"/>
        <v>4.4467571835560156</v>
      </c>
      <c r="U729" s="88">
        <f t="shared" si="165"/>
        <v>6.6701357753340238</v>
      </c>
      <c r="V729" s="429">
        <f t="shared" si="166"/>
        <v>385.2745685040249</v>
      </c>
      <c r="W729" s="429">
        <f t="shared" si="169"/>
        <v>658.77884200829851</v>
      </c>
    </row>
    <row r="730" spans="1:23" ht="47.25" customHeight="1">
      <c r="A730" s="396" t="s">
        <v>367</v>
      </c>
      <c r="B730" s="65">
        <f t="shared" si="158"/>
        <v>31.548860474507968</v>
      </c>
      <c r="C730" s="65">
        <v>12</v>
      </c>
      <c r="D730" s="65">
        <f t="shared" si="159"/>
        <v>46.574855782819661</v>
      </c>
      <c r="E730" s="107">
        <f t="shared" si="167"/>
        <v>31.548860474507968</v>
      </c>
      <c r="F730" s="65">
        <f t="shared" si="160"/>
        <v>5.1169638723882258</v>
      </c>
      <c r="G730" s="65">
        <f t="shared" si="161"/>
        <v>7.8550136614939294</v>
      </c>
      <c r="H730" s="107">
        <f>MIN(F730:G730,C730)</f>
        <v>5.1169638723882258</v>
      </c>
      <c r="I730" s="107">
        <f>H730+$B$637</f>
        <v>9.1169638723882258</v>
      </c>
      <c r="K730" s="88">
        <f t="shared" si="163"/>
        <v>12</v>
      </c>
      <c r="L730" s="88">
        <f t="shared" si="163"/>
        <v>12</v>
      </c>
      <c r="M730" s="88">
        <f t="shared" si="163"/>
        <v>12</v>
      </c>
      <c r="N730" s="88">
        <f t="shared" si="163"/>
        <v>12</v>
      </c>
      <c r="O730" s="88">
        <f t="shared" si="163"/>
        <v>12</v>
      </c>
      <c r="P730"/>
      <c r="Q730" s="396" t="s">
        <v>367</v>
      </c>
      <c r="R730" s="88">
        <f t="shared" si="164"/>
        <v>2.3616756334099502</v>
      </c>
      <c r="S730" s="88">
        <f t="shared" si="164"/>
        <v>3.5425134501149258</v>
      </c>
      <c r="T730" s="88">
        <f t="shared" si="165"/>
        <v>4.207829479563796</v>
      </c>
      <c r="U730" s="88">
        <f t="shared" si="165"/>
        <v>6.3117442193456954</v>
      </c>
      <c r="V730" s="429">
        <f t="shared" si="166"/>
        <v>349.87787161628893</v>
      </c>
      <c r="W730" s="429">
        <f t="shared" si="169"/>
        <v>623.38214512056231</v>
      </c>
    </row>
    <row r="731" spans="1:23" ht="47.25" customHeight="1">
      <c r="A731" s="396" t="s">
        <v>368</v>
      </c>
      <c r="B731" s="65">
        <f t="shared" si="158"/>
        <v>31.548860474507968</v>
      </c>
      <c r="C731" s="65">
        <v>12</v>
      </c>
      <c r="D731" s="65">
        <f t="shared" si="159"/>
        <v>46.574855782819661</v>
      </c>
      <c r="E731" s="107">
        <f t="shared" si="167"/>
        <v>31.548860474507968</v>
      </c>
      <c r="F731" s="65">
        <f t="shared" si="160"/>
        <v>4.6863960027681477</v>
      </c>
      <c r="G731" s="65">
        <f t="shared" si="161"/>
        <v>7.1953256114452913</v>
      </c>
      <c r="H731" s="107">
        <f>MIN(F731:G731,C731)</f>
        <v>4.6863960027681477</v>
      </c>
      <c r="I731" s="107">
        <f>H731+$B$637</f>
        <v>8.6863960027681486</v>
      </c>
      <c r="K731" s="88">
        <f t="shared" si="163"/>
        <v>12</v>
      </c>
      <c r="L731" s="88">
        <f t="shared" si="163"/>
        <v>12</v>
      </c>
      <c r="M731" s="88">
        <f t="shared" si="163"/>
        <v>12</v>
      </c>
      <c r="N731" s="88">
        <f t="shared" si="163"/>
        <v>12</v>
      </c>
      <c r="O731" s="88">
        <f t="shared" si="163"/>
        <v>12</v>
      </c>
      <c r="P731"/>
      <c r="Q731" s="396" t="s">
        <v>368</v>
      </c>
      <c r="R731" s="88">
        <f t="shared" si="164"/>
        <v>2.1629520012776062</v>
      </c>
      <c r="S731" s="88">
        <f t="shared" si="164"/>
        <v>3.2444280019164102</v>
      </c>
      <c r="T731" s="88">
        <f t="shared" si="165"/>
        <v>4.0091058474314529</v>
      </c>
      <c r="U731" s="88">
        <f t="shared" si="165"/>
        <v>6.0136587711471794</v>
      </c>
      <c r="V731" s="429">
        <f t="shared" si="166"/>
        <v>320.4373335226083</v>
      </c>
      <c r="W731" s="429">
        <f t="shared" si="169"/>
        <v>593.94160702688191</v>
      </c>
    </row>
    <row r="732" spans="1:23">
      <c r="A732" s="91"/>
      <c r="D732" s="99"/>
    </row>
    <row r="733" spans="1:23">
      <c r="A733" s="3"/>
      <c r="D733" s="100"/>
    </row>
    <row r="734" spans="1:23">
      <c r="A734" s="161" t="s">
        <v>202</v>
      </c>
      <c r="B734" s="22">
        <v>65</v>
      </c>
      <c r="C734" t="s">
        <v>65</v>
      </c>
      <c r="D734" s="100"/>
    </row>
    <row r="735" spans="1:23" ht="18">
      <c r="A735" s="161" t="s">
        <v>203</v>
      </c>
      <c r="B735">
        <f>16+B734/2</f>
        <v>48.5</v>
      </c>
      <c r="C735" t="s">
        <v>65</v>
      </c>
      <c r="D735" s="162" t="s">
        <v>204</v>
      </c>
      <c r="K735" s="754" t="s">
        <v>205</v>
      </c>
      <c r="L735" s="755"/>
      <c r="M735" s="755"/>
      <c r="N735" s="756"/>
      <c r="S735" s="757"/>
      <c r="T735" s="757"/>
      <c r="U735" s="757"/>
      <c r="V735" s="757"/>
    </row>
    <row r="736" spans="1:23" ht="18">
      <c r="A736" s="23" t="s">
        <v>39</v>
      </c>
      <c r="B736" s="163">
        <f>B632</f>
        <v>385</v>
      </c>
      <c r="C736" t="s">
        <v>40</v>
      </c>
      <c r="D736" s="100"/>
      <c r="K736" s="758" t="s">
        <v>206</v>
      </c>
      <c r="L736" s="759"/>
      <c r="M736" s="759"/>
      <c r="N736" s="760"/>
      <c r="P736"/>
      <c r="S736" s="757"/>
      <c r="T736" s="757"/>
      <c r="U736" s="757"/>
      <c r="V736" s="757"/>
    </row>
    <row r="737" spans="1:22" ht="31.5" customHeight="1">
      <c r="A737" s="4" t="s">
        <v>2</v>
      </c>
      <c r="B737" s="164" t="s">
        <v>207</v>
      </c>
      <c r="C737" s="5" t="s">
        <v>208</v>
      </c>
      <c r="D737" s="150" t="s">
        <v>183</v>
      </c>
      <c r="E737" s="164" t="s">
        <v>209</v>
      </c>
      <c r="F737" s="5" t="s">
        <v>210</v>
      </c>
      <c r="G737" s="4" t="s">
        <v>211</v>
      </c>
      <c r="K737" s="752" t="s">
        <v>212</v>
      </c>
      <c r="L737" s="761"/>
      <c r="M737" s="752" t="s">
        <v>213</v>
      </c>
      <c r="N737" s="712"/>
      <c r="O737" s="710" t="s">
        <v>199</v>
      </c>
      <c r="P737" s="712"/>
      <c r="S737" s="762"/>
      <c r="T737" s="762"/>
      <c r="U737" s="762"/>
      <c r="V737" s="762"/>
    </row>
    <row r="738" spans="1:22" ht="30">
      <c r="A738" s="8"/>
      <c r="B738" s="166" t="s">
        <v>17</v>
      </c>
      <c r="C738" s="8"/>
      <c r="D738" s="151" t="s">
        <v>18</v>
      </c>
      <c r="E738" s="166" t="s">
        <v>18</v>
      </c>
      <c r="F738" s="8"/>
      <c r="G738" s="82" t="s">
        <v>17</v>
      </c>
      <c r="K738" s="167">
        <v>0.6</v>
      </c>
      <c r="L738" s="167">
        <v>0.9</v>
      </c>
      <c r="M738" s="167">
        <v>0.6</v>
      </c>
      <c r="N738" s="167">
        <v>0.9</v>
      </c>
      <c r="O738" s="159" t="s">
        <v>200</v>
      </c>
      <c r="P738" s="159" t="s">
        <v>201</v>
      </c>
      <c r="S738" s="108"/>
      <c r="T738" s="108"/>
      <c r="U738" s="108"/>
      <c r="V738" s="108"/>
    </row>
    <row r="739" spans="1:22">
      <c r="A739" s="44" t="s">
        <v>214</v>
      </c>
      <c r="B739" s="168">
        <f t="shared" ref="B739:B744" si="180">MIN(B717,D717)</f>
        <v>6.4479422867607532</v>
      </c>
      <c r="C739" s="169">
        <v>0.108</v>
      </c>
      <c r="D739" s="153">
        <v>21</v>
      </c>
      <c r="E739" s="168">
        <f>D739+10+$B$735</f>
        <v>79.5</v>
      </c>
      <c r="F739" s="170">
        <f>1/(1+E739*C739)</f>
        <v>0.10431879824744418</v>
      </c>
      <c r="G739" s="171">
        <f>F739*B739</f>
        <v>0.67264159052375894</v>
      </c>
      <c r="K739" s="88">
        <f>$G739*K$738/1.3</f>
        <v>0.31044996485711951</v>
      </c>
      <c r="L739" s="88">
        <f>$G739*L$738/1.3</f>
        <v>0.46567494728567921</v>
      </c>
      <c r="M739" s="88">
        <f t="shared" ref="M739:N749" si="181">($G739+$B$637)*M$738/1.3</f>
        <v>2.1566038110109655</v>
      </c>
      <c r="N739" s="88">
        <f t="shared" si="181"/>
        <v>3.2349057165164488</v>
      </c>
      <c r="O739" s="160">
        <f t="shared" ref="O739:O749" si="182">K739*200/1.35</f>
        <v>45.992587386239926</v>
      </c>
      <c r="P739" s="160">
        <f t="shared" ref="P739:P749" si="183">(K739+(4/1.3*0.6))*200/1.35</f>
        <v>319.4968608905134</v>
      </c>
      <c r="S739" s="116"/>
      <c r="T739" s="116"/>
      <c r="U739" s="116"/>
      <c r="V739" s="116"/>
    </row>
    <row r="740" spans="1:22">
      <c r="A740" s="44" t="s">
        <v>215</v>
      </c>
      <c r="B740" s="168">
        <f t="shared" si="180"/>
        <v>8.7507788177467365</v>
      </c>
      <c r="C740" s="169">
        <v>6.9000000000000006E-2</v>
      </c>
      <c r="D740" s="153">
        <v>31</v>
      </c>
      <c r="E740" s="168">
        <f t="shared" ref="E740:E749" si="184">D740+10+$B$735</f>
        <v>89.5</v>
      </c>
      <c r="F740" s="170">
        <f t="shared" ref="F740:F749" si="185">1/(1+E740*C740)</f>
        <v>0.13936311058462825</v>
      </c>
      <c r="G740" s="171">
        <f t="shared" ref="G740:G749" si="186">F740*B740</f>
        <v>1.2195357560792608</v>
      </c>
      <c r="K740" s="88">
        <f t="shared" ref="K740:K749" si="187">$G740*K$738/1.3</f>
        <v>0.56286265665196655</v>
      </c>
      <c r="L740" s="88">
        <f t="shared" ref="L740:L749" si="188">$G740*L$738/1.3</f>
        <v>0.84429398497794983</v>
      </c>
      <c r="M740" s="88">
        <f t="shared" si="181"/>
        <v>2.4090165028058128</v>
      </c>
      <c r="N740" s="88">
        <f t="shared" si="181"/>
        <v>3.6135247542087194</v>
      </c>
      <c r="O740" s="160">
        <f t="shared" si="182"/>
        <v>83.387060244735778</v>
      </c>
      <c r="P740" s="160">
        <f t="shared" si="183"/>
        <v>356.89133374900922</v>
      </c>
      <c r="S740" s="116"/>
      <c r="T740" s="116"/>
      <c r="U740" s="116"/>
      <c r="V740" s="116"/>
    </row>
    <row r="741" spans="1:22">
      <c r="A741" s="44" t="s">
        <v>216</v>
      </c>
      <c r="B741" s="168">
        <f t="shared" si="180"/>
        <v>12.895884573521506</v>
      </c>
      <c r="C741" s="169">
        <v>5.3999999999999999E-2</v>
      </c>
      <c r="D741" s="153">
        <v>41</v>
      </c>
      <c r="E741" s="168">
        <f t="shared" si="184"/>
        <v>99.5</v>
      </c>
      <c r="F741" s="170">
        <f t="shared" si="185"/>
        <v>0.15691197238349286</v>
      </c>
      <c r="G741" s="171">
        <f t="shared" si="186"/>
        <v>2.0235186840611181</v>
      </c>
      <c r="K741" s="88">
        <f t="shared" si="187"/>
        <v>0.93393170033590067</v>
      </c>
      <c r="L741" s="88">
        <f t="shared" si="188"/>
        <v>1.400897550503851</v>
      </c>
      <c r="M741" s="88">
        <f t="shared" si="181"/>
        <v>2.7800855464897465</v>
      </c>
      <c r="N741" s="88">
        <f t="shared" si="181"/>
        <v>4.1701283197346202</v>
      </c>
      <c r="O741" s="160">
        <f t="shared" si="182"/>
        <v>138.3602519016149</v>
      </c>
      <c r="P741" s="160">
        <f t="shared" si="183"/>
        <v>411.86452540588834</v>
      </c>
      <c r="S741" s="116"/>
      <c r="T741" s="116"/>
      <c r="U741" s="116"/>
      <c r="V741" s="116"/>
    </row>
    <row r="742" spans="1:22">
      <c r="A742" s="44" t="s">
        <v>217</v>
      </c>
      <c r="B742" s="168">
        <f t="shared" si="180"/>
        <v>16.810706676197679</v>
      </c>
      <c r="C742" s="169">
        <v>4.4999999999999998E-2</v>
      </c>
      <c r="D742" s="153">
        <v>51</v>
      </c>
      <c r="E742" s="168">
        <f t="shared" si="184"/>
        <v>109.5</v>
      </c>
      <c r="F742" s="170">
        <f t="shared" si="185"/>
        <v>0.16870518768452128</v>
      </c>
      <c r="G742" s="171">
        <f t="shared" si="186"/>
        <v>2.8360534249173641</v>
      </c>
      <c r="K742" s="88">
        <f t="shared" si="187"/>
        <v>1.3089477345772449</v>
      </c>
      <c r="L742" s="88">
        <f t="shared" si="188"/>
        <v>1.9634216018658674</v>
      </c>
      <c r="M742" s="88">
        <f t="shared" si="181"/>
        <v>3.1551015807310905</v>
      </c>
      <c r="N742" s="88">
        <f t="shared" si="181"/>
        <v>4.7326523710966368</v>
      </c>
      <c r="O742" s="160">
        <f t="shared" si="182"/>
        <v>193.91818290033257</v>
      </c>
      <c r="P742" s="160">
        <f t="shared" si="183"/>
        <v>467.42245640460601</v>
      </c>
      <c r="S742" s="116"/>
      <c r="T742" s="116"/>
      <c r="U742" s="116"/>
      <c r="V742" s="116"/>
    </row>
    <row r="743" spans="1:22">
      <c r="A743" s="44" t="s">
        <v>218</v>
      </c>
      <c r="B743" s="168">
        <f t="shared" si="180"/>
        <v>20.955812431972447</v>
      </c>
      <c r="C743" s="169">
        <v>3.7999999999999999E-2</v>
      </c>
      <c r="D743" s="153">
        <v>61</v>
      </c>
      <c r="E743" s="168">
        <f t="shared" si="184"/>
        <v>119.5</v>
      </c>
      <c r="F743" s="170">
        <f t="shared" si="185"/>
        <v>0.18047283883775495</v>
      </c>
      <c r="G743" s="171">
        <f t="shared" si="186"/>
        <v>3.781954959749585</v>
      </c>
      <c r="K743" s="88">
        <f t="shared" si="187"/>
        <v>1.7455176737305775</v>
      </c>
      <c r="L743" s="88">
        <f t="shared" si="188"/>
        <v>2.6182765105958667</v>
      </c>
      <c r="M743" s="88">
        <f t="shared" si="181"/>
        <v>3.5916715198844238</v>
      </c>
      <c r="N743" s="88">
        <f t="shared" si="181"/>
        <v>5.3875072798266359</v>
      </c>
      <c r="O743" s="160">
        <f t="shared" si="182"/>
        <v>258.59521092304851</v>
      </c>
      <c r="P743" s="160">
        <f t="shared" si="183"/>
        <v>532.09948442732195</v>
      </c>
      <c r="S743" s="116"/>
      <c r="T743" s="116"/>
      <c r="U743" s="116"/>
      <c r="V743" s="116"/>
    </row>
    <row r="744" spans="1:22">
      <c r="A744" s="44" t="s">
        <v>219</v>
      </c>
      <c r="B744" s="168">
        <f t="shared" si="180"/>
        <v>25.100918187747219</v>
      </c>
      <c r="C744" s="169">
        <v>3.4000000000000002E-2</v>
      </c>
      <c r="D744" s="153">
        <v>71</v>
      </c>
      <c r="E744" s="168">
        <f t="shared" si="184"/>
        <v>129.5</v>
      </c>
      <c r="F744" s="170">
        <f t="shared" si="185"/>
        <v>0.18508236165093464</v>
      </c>
      <c r="G744" s="171">
        <f t="shared" si="186"/>
        <v>4.6457372177951539</v>
      </c>
      <c r="K744" s="88">
        <f t="shared" si="187"/>
        <v>2.1441864082131481</v>
      </c>
      <c r="L744" s="88">
        <f t="shared" si="188"/>
        <v>3.2162796123197221</v>
      </c>
      <c r="M744" s="88">
        <f t="shared" si="181"/>
        <v>3.9903402543669944</v>
      </c>
      <c r="N744" s="88">
        <f t="shared" si="181"/>
        <v>5.9855103815504913</v>
      </c>
      <c r="O744" s="160">
        <f t="shared" si="182"/>
        <v>317.65724566120707</v>
      </c>
      <c r="P744" s="160">
        <f t="shared" si="183"/>
        <v>591.16151916548051</v>
      </c>
      <c r="S744" s="116"/>
      <c r="T744" s="116"/>
      <c r="U744" s="116"/>
      <c r="V744" s="116"/>
    </row>
    <row r="745" spans="1:22">
      <c r="A745" s="44" t="s">
        <v>220</v>
      </c>
      <c r="B745" s="168">
        <f>MIN(B727,D727)</f>
        <v>15.19872110450749</v>
      </c>
      <c r="C745" s="169">
        <v>0.03</v>
      </c>
      <c r="D745" s="153">
        <v>66</v>
      </c>
      <c r="E745" s="168">
        <f t="shared" si="184"/>
        <v>124.5</v>
      </c>
      <c r="F745" s="170">
        <f t="shared" si="185"/>
        <v>0.2111932418162619</v>
      </c>
      <c r="G745" s="171">
        <f t="shared" si="186"/>
        <v>3.2098671815221733</v>
      </c>
      <c r="K745" s="88">
        <f t="shared" si="187"/>
        <v>1.4814771607025414</v>
      </c>
      <c r="L745" s="88">
        <f t="shared" si="188"/>
        <v>2.2222157410538124</v>
      </c>
      <c r="M745" s="88">
        <f t="shared" si="181"/>
        <v>3.3276310068563872</v>
      </c>
      <c r="N745" s="88">
        <f t="shared" si="181"/>
        <v>4.9914465102845815</v>
      </c>
      <c r="O745" s="160">
        <f t="shared" si="182"/>
        <v>219.47809788185799</v>
      </c>
      <c r="P745" s="160">
        <f t="shared" si="183"/>
        <v>492.98237138613143</v>
      </c>
      <c r="S745" s="116"/>
      <c r="T745" s="116"/>
      <c r="U745" s="116"/>
      <c r="V745" s="116"/>
    </row>
    <row r="746" spans="1:22">
      <c r="A746" s="44" t="s">
        <v>221</v>
      </c>
      <c r="B746" s="168">
        <f>MIN(B728,D728)</f>
        <v>23.258648962958429</v>
      </c>
      <c r="C746" s="169">
        <v>2.4E-2</v>
      </c>
      <c r="D746" s="153">
        <v>87</v>
      </c>
      <c r="E746" s="168">
        <f t="shared" si="184"/>
        <v>145.5</v>
      </c>
      <c r="F746" s="170">
        <f t="shared" si="185"/>
        <v>0.22261798753339271</v>
      </c>
      <c r="G746" s="171">
        <f t="shared" si="186"/>
        <v>5.1777936248794365</v>
      </c>
      <c r="K746" s="88">
        <f t="shared" si="187"/>
        <v>2.3897509037905089</v>
      </c>
      <c r="L746" s="88">
        <f t="shared" si="188"/>
        <v>3.5846263556857636</v>
      </c>
      <c r="M746" s="88">
        <f t="shared" si="181"/>
        <v>4.2359047499443552</v>
      </c>
      <c r="N746" s="88">
        <f t="shared" si="181"/>
        <v>6.3538571249165328</v>
      </c>
      <c r="O746" s="160">
        <f t="shared" si="182"/>
        <v>354.03717093192722</v>
      </c>
      <c r="P746" s="160">
        <f t="shared" si="183"/>
        <v>627.54144443620066</v>
      </c>
      <c r="S746" s="116"/>
      <c r="T746" s="116"/>
      <c r="U746" s="116"/>
      <c r="V746" s="116"/>
    </row>
    <row r="747" spans="1:22">
      <c r="A747" s="44" t="s">
        <v>222</v>
      </c>
      <c r="B747" s="168">
        <f>MIN(B729,D729)</f>
        <v>31.548860474507968</v>
      </c>
      <c r="C747" s="169">
        <v>0.02</v>
      </c>
      <c r="D747" s="153">
        <v>110</v>
      </c>
      <c r="E747" s="168">
        <f t="shared" si="184"/>
        <v>168.5</v>
      </c>
      <c r="F747" s="170">
        <f t="shared" si="185"/>
        <v>0.22883295194508008</v>
      </c>
      <c r="G747" s="171">
        <f t="shared" si="186"/>
        <v>7.2194188728851181</v>
      </c>
      <c r="K747" s="88">
        <f t="shared" si="187"/>
        <v>3.332039479793131</v>
      </c>
      <c r="L747" s="88">
        <f t="shared" si="188"/>
        <v>4.9980592196896971</v>
      </c>
      <c r="M747" s="88">
        <f t="shared" si="181"/>
        <v>5.1781933259469772</v>
      </c>
      <c r="N747" s="88">
        <f t="shared" si="181"/>
        <v>7.7672899889204672</v>
      </c>
      <c r="O747" s="160">
        <f t="shared" si="182"/>
        <v>493.63547848787124</v>
      </c>
      <c r="P747" s="160">
        <f t="shared" si="183"/>
        <v>767.13975199214451</v>
      </c>
      <c r="S747" s="116"/>
      <c r="T747" s="116"/>
      <c r="U747" s="116"/>
      <c r="V747" s="116"/>
    </row>
    <row r="748" spans="1:22">
      <c r="A748" s="44" t="s">
        <v>223</v>
      </c>
      <c r="B748" s="168">
        <f>B747</f>
        <v>31.548860474507968</v>
      </c>
      <c r="C748" s="169">
        <v>1.7999999999999999E-2</v>
      </c>
      <c r="D748" s="153">
        <v>130</v>
      </c>
      <c r="E748" s="168">
        <f t="shared" si="184"/>
        <v>188.5</v>
      </c>
      <c r="F748" s="170">
        <f t="shared" si="185"/>
        <v>0.22763487366264512</v>
      </c>
      <c r="G748" s="171">
        <f t="shared" si="186"/>
        <v>7.18162086831504</v>
      </c>
      <c r="K748" s="88">
        <f t="shared" si="187"/>
        <v>3.3145942469146337</v>
      </c>
      <c r="L748" s="88">
        <f t="shared" si="188"/>
        <v>4.9718913703719503</v>
      </c>
      <c r="M748" s="88">
        <f t="shared" si="181"/>
        <v>5.1607480930684799</v>
      </c>
      <c r="N748" s="88">
        <f t="shared" si="181"/>
        <v>7.7411221396027203</v>
      </c>
      <c r="O748" s="160">
        <f t="shared" si="182"/>
        <v>491.05099954290864</v>
      </c>
      <c r="P748" s="160">
        <f t="shared" si="183"/>
        <v>764.55527304718203</v>
      </c>
      <c r="S748" s="116"/>
      <c r="T748" s="116"/>
      <c r="U748" s="116"/>
      <c r="V748" s="116"/>
    </row>
    <row r="749" spans="1:22">
      <c r="A749" s="44" t="s">
        <v>224</v>
      </c>
      <c r="B749" s="168">
        <f>B748</f>
        <v>31.548860474507968</v>
      </c>
      <c r="C749" s="169">
        <v>1.6E-2</v>
      </c>
      <c r="D749" s="153">
        <v>150</v>
      </c>
      <c r="E749" s="168">
        <f t="shared" si="184"/>
        <v>208.5</v>
      </c>
      <c r="F749" s="170">
        <f t="shared" si="185"/>
        <v>0.23062730627306272</v>
      </c>
      <c r="G749" s="171">
        <f t="shared" si="186"/>
        <v>7.2760287072204717</v>
      </c>
      <c r="K749" s="88">
        <f t="shared" si="187"/>
        <v>3.3581670956402174</v>
      </c>
      <c r="L749" s="88">
        <f t="shared" si="188"/>
        <v>5.0372506434603261</v>
      </c>
      <c r="M749" s="88">
        <f t="shared" si="181"/>
        <v>5.2043209417940641</v>
      </c>
      <c r="N749" s="88">
        <f t="shared" si="181"/>
        <v>7.8064814126910962</v>
      </c>
      <c r="O749" s="160">
        <f t="shared" si="182"/>
        <v>497.50623639114326</v>
      </c>
      <c r="P749" s="160">
        <f t="shared" si="183"/>
        <v>771.01050989541682</v>
      </c>
      <c r="S749" s="116"/>
      <c r="T749" s="116"/>
      <c r="U749" s="116"/>
      <c r="V749" s="116"/>
    </row>
    <row r="750" spans="1:22">
      <c r="A750" s="3"/>
      <c r="B750" s="172"/>
      <c r="C750" s="173"/>
      <c r="D750" s="100"/>
      <c r="E750" s="172"/>
      <c r="F750" s="174"/>
      <c r="G750" s="175"/>
      <c r="K750" s="116"/>
      <c r="L750" s="116"/>
      <c r="M750" s="116"/>
      <c r="N750" s="116"/>
      <c r="P750" s="176"/>
      <c r="Q750" s="176"/>
    </row>
    <row r="751" spans="1:22">
      <c r="A751" s="3"/>
      <c r="D751" s="100"/>
    </row>
    <row r="752" spans="1:22" ht="23.25">
      <c r="A752" s="177" t="s">
        <v>225</v>
      </c>
      <c r="D752" s="100"/>
    </row>
    <row r="753" spans="1:22">
      <c r="A753" s="161" t="s">
        <v>202</v>
      </c>
      <c r="B753" s="22">
        <v>58</v>
      </c>
      <c r="C753" t="s">
        <v>65</v>
      </c>
      <c r="D753" s="100"/>
    </row>
    <row r="754" spans="1:22" ht="18">
      <c r="A754" s="161" t="s">
        <v>203</v>
      </c>
      <c r="B754">
        <f>19+B753/2</f>
        <v>48</v>
      </c>
      <c r="C754" t="s">
        <v>65</v>
      </c>
      <c r="D754" s="162" t="s">
        <v>226</v>
      </c>
      <c r="K754" s="754" t="s">
        <v>227</v>
      </c>
      <c r="L754" s="755"/>
      <c r="M754" s="755"/>
      <c r="N754" s="756"/>
      <c r="S754" s="754" t="s">
        <v>227</v>
      </c>
      <c r="T754" s="755"/>
      <c r="U754" s="755"/>
      <c r="V754" s="756"/>
    </row>
    <row r="755" spans="1:22" ht="18">
      <c r="A755" s="23" t="s">
        <v>39</v>
      </c>
      <c r="B755" s="163">
        <v>380</v>
      </c>
      <c r="C755" t="s">
        <v>40</v>
      </c>
      <c r="D755" s="100"/>
      <c r="K755" s="758" t="s">
        <v>206</v>
      </c>
      <c r="L755" s="759"/>
      <c r="M755" s="759"/>
      <c r="N755" s="760"/>
      <c r="P755"/>
      <c r="S755" s="758" t="s">
        <v>228</v>
      </c>
      <c r="T755" s="759"/>
      <c r="U755" s="759"/>
      <c r="V755" s="760"/>
    </row>
    <row r="756" spans="1:22" ht="18">
      <c r="A756" s="4" t="s">
        <v>2</v>
      </c>
      <c r="B756" s="164" t="s">
        <v>207</v>
      </c>
      <c r="C756" s="5" t="s">
        <v>208</v>
      </c>
      <c r="D756" s="150" t="s">
        <v>183</v>
      </c>
      <c r="E756" s="164" t="s">
        <v>209</v>
      </c>
      <c r="F756" s="5" t="s">
        <v>210</v>
      </c>
      <c r="G756" s="4" t="s">
        <v>211</v>
      </c>
      <c r="K756" s="764" t="s">
        <v>229</v>
      </c>
      <c r="L756" s="762"/>
      <c r="M756" s="762"/>
      <c r="N756" s="765"/>
      <c r="P756" s="766" t="s">
        <v>199</v>
      </c>
      <c r="Q756" s="766"/>
      <c r="S756" s="764" t="s">
        <v>229</v>
      </c>
      <c r="T756" s="762"/>
      <c r="U756" s="762"/>
      <c r="V756" s="765"/>
    </row>
    <row r="757" spans="1:22" ht="30">
      <c r="A757" s="8"/>
      <c r="B757" s="166" t="s">
        <v>17</v>
      </c>
      <c r="C757" s="8"/>
      <c r="D757" s="151" t="s">
        <v>18</v>
      </c>
      <c r="E757" s="166" t="s">
        <v>18</v>
      </c>
      <c r="F757" s="8"/>
      <c r="G757" s="82" t="s">
        <v>17</v>
      </c>
      <c r="K757" s="178">
        <v>0.6</v>
      </c>
      <c r="L757" s="178">
        <v>0.7</v>
      </c>
      <c r="M757" s="178">
        <v>0.8</v>
      </c>
      <c r="N757" s="178">
        <v>0.9</v>
      </c>
      <c r="P757" s="159" t="s">
        <v>212</v>
      </c>
      <c r="Q757" s="159" t="s">
        <v>201</v>
      </c>
      <c r="S757" s="178">
        <v>0.6</v>
      </c>
      <c r="T757" s="178">
        <v>0.7</v>
      </c>
      <c r="U757" s="178">
        <v>0.8</v>
      </c>
      <c r="V757" s="178">
        <v>0.9</v>
      </c>
    </row>
    <row r="758" spans="1:22">
      <c r="A758" s="44" t="s">
        <v>214</v>
      </c>
      <c r="B758" s="168">
        <f t="shared" ref="B758:B763" si="189">MIN(B717,D717)</f>
        <v>6.4479422867607532</v>
      </c>
      <c r="C758" s="169">
        <v>0.108</v>
      </c>
      <c r="D758" s="153">
        <v>21</v>
      </c>
      <c r="E758" s="168">
        <f>D758+10+$B$754</f>
        <v>79</v>
      </c>
      <c r="F758" s="170">
        <f>1/(1+E758*C758)</f>
        <v>0.1049097775912715</v>
      </c>
      <c r="G758" s="171">
        <f>F758*B758</f>
        <v>0.67645219122542521</v>
      </c>
      <c r="K758" s="88">
        <f>$G758*K$757/1.3</f>
        <v>0.31220870364250392</v>
      </c>
      <c r="L758" s="88">
        <f t="shared" ref="L758:N768" si="190">$G758*L$757/1.3</f>
        <v>0.36424348758292124</v>
      </c>
      <c r="M758" s="88">
        <f t="shared" si="190"/>
        <v>0.41627827152333857</v>
      </c>
      <c r="N758" s="88">
        <f t="shared" si="190"/>
        <v>0.4683130554637559</v>
      </c>
      <c r="P758" s="179">
        <f t="shared" ref="P758:P768" si="191">K758*200/1.35</f>
        <v>46.253141280370947</v>
      </c>
      <c r="Q758" s="179">
        <f t="shared" ref="Q758:Q768" si="192">(K758+(4/1.3*0.6))*200/1.35</f>
        <v>319.75741478464437</v>
      </c>
      <c r="S758" s="88">
        <f t="shared" ref="S758:V768" si="193">($G758+$B$637)*S$757/1.3</f>
        <v>2.1583625497963501</v>
      </c>
      <c r="T758" s="88">
        <f t="shared" si="193"/>
        <v>2.518089641429075</v>
      </c>
      <c r="U758" s="88">
        <f t="shared" si="193"/>
        <v>2.8778167330618003</v>
      </c>
      <c r="V758" s="88">
        <f t="shared" si="193"/>
        <v>3.2375438246945252</v>
      </c>
    </row>
    <row r="759" spans="1:22">
      <c r="A759" s="44" t="s">
        <v>215</v>
      </c>
      <c r="B759" s="168">
        <f t="shared" si="189"/>
        <v>8.7507788177467365</v>
      </c>
      <c r="C759" s="169">
        <v>6.9000000000000006E-2</v>
      </c>
      <c r="D759" s="153">
        <v>31</v>
      </c>
      <c r="E759" s="168">
        <f t="shared" ref="E759:E768" si="194">D759+10+$B$754</f>
        <v>89</v>
      </c>
      <c r="F759" s="170">
        <f t="shared" ref="F759:F768" si="195">1/(1+E759*C759)</f>
        <v>0.14003640946646126</v>
      </c>
      <c r="G759" s="171">
        <f t="shared" ref="G759:G768" si="196">F759*B759</f>
        <v>1.2254276456724178</v>
      </c>
      <c r="K759" s="88">
        <f t="shared" ref="K759:K768" si="197">$G759*K$757/1.3</f>
        <v>0.56558199031034662</v>
      </c>
      <c r="L759" s="88">
        <f t="shared" si="190"/>
        <v>0.65984565536207107</v>
      </c>
      <c r="M759" s="88">
        <f t="shared" si="190"/>
        <v>0.75410932041379553</v>
      </c>
      <c r="N759" s="88">
        <f t="shared" si="190"/>
        <v>0.84837298546552009</v>
      </c>
      <c r="P759" s="179">
        <f t="shared" si="191"/>
        <v>83.789924490421711</v>
      </c>
      <c r="Q759" s="179">
        <f t="shared" si="192"/>
        <v>357.29419799469514</v>
      </c>
      <c r="S759" s="88">
        <f t="shared" si="193"/>
        <v>2.4117358364641923</v>
      </c>
      <c r="T759" s="88">
        <f t="shared" si="193"/>
        <v>2.8136918092082244</v>
      </c>
      <c r="U759" s="88">
        <f t="shared" si="193"/>
        <v>3.2156477819522573</v>
      </c>
      <c r="V759" s="88">
        <f t="shared" si="193"/>
        <v>3.6176037546962889</v>
      </c>
    </row>
    <row r="760" spans="1:22">
      <c r="A760" s="44" t="s">
        <v>216</v>
      </c>
      <c r="B760" s="168">
        <f t="shared" si="189"/>
        <v>12.895884573521506</v>
      </c>
      <c r="C760" s="169">
        <v>5.3999999999999999E-2</v>
      </c>
      <c r="D760" s="153">
        <v>41</v>
      </c>
      <c r="E760" s="168">
        <f t="shared" si="194"/>
        <v>99</v>
      </c>
      <c r="F760" s="170">
        <f t="shared" si="195"/>
        <v>0.15757957768673181</v>
      </c>
      <c r="G760" s="171">
        <f t="shared" si="196"/>
        <v>2.0321280449923584</v>
      </c>
      <c r="K760" s="88">
        <f t="shared" si="197"/>
        <v>0.93790525153493465</v>
      </c>
      <c r="L760" s="88">
        <f t="shared" si="190"/>
        <v>1.0942227934574238</v>
      </c>
      <c r="M760" s="88">
        <f t="shared" si="190"/>
        <v>1.2505403353799129</v>
      </c>
      <c r="N760" s="88">
        <f t="shared" si="190"/>
        <v>1.4068578773024019</v>
      </c>
      <c r="P760" s="179">
        <f t="shared" si="191"/>
        <v>138.94892615332364</v>
      </c>
      <c r="Q760" s="179">
        <f t="shared" si="192"/>
        <v>412.45319965759711</v>
      </c>
      <c r="S760" s="88">
        <f t="shared" si="193"/>
        <v>2.7840590976887807</v>
      </c>
      <c r="T760" s="88">
        <f t="shared" si="193"/>
        <v>3.2480689473035773</v>
      </c>
      <c r="U760" s="88">
        <f t="shared" si="193"/>
        <v>3.7120787969183744</v>
      </c>
      <c r="V760" s="88">
        <f t="shared" si="193"/>
        <v>4.1760886465331719</v>
      </c>
    </row>
    <row r="761" spans="1:22">
      <c r="A761" s="44" t="s">
        <v>217</v>
      </c>
      <c r="B761" s="168">
        <f t="shared" si="189"/>
        <v>16.810706676197679</v>
      </c>
      <c r="C761" s="169">
        <v>4.4999999999999998E-2</v>
      </c>
      <c r="D761" s="153">
        <v>51</v>
      </c>
      <c r="E761" s="168">
        <f t="shared" si="194"/>
        <v>109</v>
      </c>
      <c r="F761" s="170">
        <f t="shared" si="195"/>
        <v>0.16934801016088061</v>
      </c>
      <c r="G761" s="171">
        <f t="shared" si="196"/>
        <v>2.8468597250123078</v>
      </c>
      <c r="K761" s="88">
        <f t="shared" si="197"/>
        <v>1.3139352576979881</v>
      </c>
      <c r="L761" s="88">
        <f t="shared" si="190"/>
        <v>1.5329244673143194</v>
      </c>
      <c r="M761" s="88">
        <f t="shared" si="190"/>
        <v>1.7519136769306509</v>
      </c>
      <c r="N761" s="88">
        <f t="shared" si="190"/>
        <v>1.9709028865469822</v>
      </c>
      <c r="P761" s="179">
        <f t="shared" si="191"/>
        <v>194.65707521451677</v>
      </c>
      <c r="Q761" s="179">
        <f t="shared" si="192"/>
        <v>468.16134871879024</v>
      </c>
      <c r="S761" s="88">
        <f t="shared" si="193"/>
        <v>3.1600891038518344</v>
      </c>
      <c r="T761" s="88">
        <f t="shared" si="193"/>
        <v>3.6867706211604734</v>
      </c>
      <c r="U761" s="88">
        <f t="shared" si="193"/>
        <v>4.2134521384691128</v>
      </c>
      <c r="V761" s="88">
        <f t="shared" si="193"/>
        <v>4.7401336557777523</v>
      </c>
    </row>
    <row r="762" spans="1:22">
      <c r="A762" s="44" t="s">
        <v>218</v>
      </c>
      <c r="B762" s="168">
        <f t="shared" si="189"/>
        <v>20.955812431972447</v>
      </c>
      <c r="C762" s="169">
        <v>3.7999999999999999E-2</v>
      </c>
      <c r="D762" s="153">
        <v>61</v>
      </c>
      <c r="E762" s="168">
        <f t="shared" si="194"/>
        <v>119</v>
      </c>
      <c r="F762" s="170">
        <f t="shared" si="195"/>
        <v>0.18109380659181457</v>
      </c>
      <c r="G762" s="171">
        <f t="shared" si="196"/>
        <v>3.7949678435299616</v>
      </c>
      <c r="K762" s="88">
        <f t="shared" si="197"/>
        <v>1.7515236200907514</v>
      </c>
      <c r="L762" s="88">
        <f t="shared" si="190"/>
        <v>2.0434442234392098</v>
      </c>
      <c r="M762" s="88">
        <f t="shared" si="190"/>
        <v>2.3353648267876688</v>
      </c>
      <c r="N762" s="88">
        <f t="shared" si="190"/>
        <v>2.6272854301361273</v>
      </c>
      <c r="P762" s="179">
        <f t="shared" si="191"/>
        <v>259.48498075418541</v>
      </c>
      <c r="Q762" s="179">
        <f t="shared" si="192"/>
        <v>532.9892542584588</v>
      </c>
      <c r="S762" s="88">
        <f t="shared" si="193"/>
        <v>3.5976774662445976</v>
      </c>
      <c r="T762" s="88">
        <f t="shared" si="193"/>
        <v>4.1972903772853636</v>
      </c>
      <c r="U762" s="88">
        <f t="shared" si="193"/>
        <v>4.7969032883261313</v>
      </c>
      <c r="V762" s="88">
        <f t="shared" si="193"/>
        <v>5.3965161993668973</v>
      </c>
    </row>
    <row r="763" spans="1:22">
      <c r="A763" s="44" t="s">
        <v>219</v>
      </c>
      <c r="B763" s="168">
        <f t="shared" si="189"/>
        <v>25.100918187747219</v>
      </c>
      <c r="C763" s="169">
        <v>3.4000000000000002E-2</v>
      </c>
      <c r="D763" s="153">
        <v>71</v>
      </c>
      <c r="E763" s="168">
        <f t="shared" si="194"/>
        <v>129</v>
      </c>
      <c r="F763" s="170">
        <f t="shared" si="195"/>
        <v>0.18566654288897141</v>
      </c>
      <c r="G763" s="171">
        <f t="shared" si="196"/>
        <v>4.660400703257932</v>
      </c>
      <c r="K763" s="88">
        <f t="shared" si="197"/>
        <v>2.1509541707344302</v>
      </c>
      <c r="L763" s="88">
        <f t="shared" si="190"/>
        <v>2.5094465325235018</v>
      </c>
      <c r="M763" s="88">
        <f t="shared" si="190"/>
        <v>2.8679388943125734</v>
      </c>
      <c r="N763" s="88">
        <f t="shared" si="190"/>
        <v>3.2264312561016455</v>
      </c>
      <c r="P763" s="179">
        <f t="shared" si="191"/>
        <v>318.65987714584151</v>
      </c>
      <c r="Q763" s="179">
        <f t="shared" si="192"/>
        <v>592.16415065011495</v>
      </c>
      <c r="S763" s="88">
        <f t="shared" si="193"/>
        <v>3.9971080168882756</v>
      </c>
      <c r="T763" s="88">
        <f t="shared" si="193"/>
        <v>4.6632926863696547</v>
      </c>
      <c r="U763" s="88">
        <f t="shared" si="193"/>
        <v>5.3294773558510347</v>
      </c>
      <c r="V763" s="88">
        <f t="shared" si="193"/>
        <v>5.9956620253324138</v>
      </c>
    </row>
    <row r="764" spans="1:22">
      <c r="A764" s="44" t="s">
        <v>220</v>
      </c>
      <c r="B764" s="168">
        <f>MIN(B727,D727)</f>
        <v>15.19872110450749</v>
      </c>
      <c r="C764" s="169">
        <v>0.03</v>
      </c>
      <c r="D764" s="153">
        <v>66</v>
      </c>
      <c r="E764" s="168">
        <f t="shared" si="194"/>
        <v>124</v>
      </c>
      <c r="F764" s="170">
        <f t="shared" si="195"/>
        <v>0.21186440677966104</v>
      </c>
      <c r="G764" s="171">
        <f t="shared" si="196"/>
        <v>3.2200680306159937</v>
      </c>
      <c r="K764" s="88">
        <f t="shared" si="197"/>
        <v>1.4861852448996893</v>
      </c>
      <c r="L764" s="88">
        <f t="shared" si="190"/>
        <v>1.7338827857163039</v>
      </c>
      <c r="M764" s="88">
        <f t="shared" si="190"/>
        <v>1.9815803265329193</v>
      </c>
      <c r="N764" s="88">
        <f t="shared" si="190"/>
        <v>2.2292778673495341</v>
      </c>
      <c r="P764" s="179">
        <f t="shared" si="191"/>
        <v>220.175591836991</v>
      </c>
      <c r="Q764" s="179">
        <f t="shared" si="192"/>
        <v>493.67986534126442</v>
      </c>
      <c r="S764" s="88">
        <f t="shared" si="193"/>
        <v>3.3323390910535355</v>
      </c>
      <c r="T764" s="88">
        <f t="shared" si="193"/>
        <v>3.8877289395624577</v>
      </c>
      <c r="U764" s="88">
        <f t="shared" si="193"/>
        <v>4.4431187880713807</v>
      </c>
      <c r="V764" s="88">
        <f t="shared" si="193"/>
        <v>4.9985086365803033</v>
      </c>
    </row>
    <row r="765" spans="1:22">
      <c r="A765" s="44" t="s">
        <v>221</v>
      </c>
      <c r="B765" s="168">
        <f>MIN(B728,D728)</f>
        <v>23.258648962958429</v>
      </c>
      <c r="C765" s="169">
        <v>2.4E-2</v>
      </c>
      <c r="D765" s="153">
        <v>87</v>
      </c>
      <c r="E765" s="168">
        <f t="shared" si="194"/>
        <v>145</v>
      </c>
      <c r="F765" s="170">
        <f t="shared" si="195"/>
        <v>0.2232142857142857</v>
      </c>
      <c r="G765" s="171">
        <f t="shared" si="196"/>
        <v>5.1916627149460775</v>
      </c>
      <c r="K765" s="88">
        <f t="shared" si="197"/>
        <v>2.3961520222828048</v>
      </c>
      <c r="L765" s="88">
        <f t="shared" si="190"/>
        <v>2.7955106926632722</v>
      </c>
      <c r="M765" s="88">
        <f t="shared" si="190"/>
        <v>3.1948693630437401</v>
      </c>
      <c r="N765" s="88">
        <f t="shared" si="190"/>
        <v>3.5942280334242076</v>
      </c>
      <c r="P765" s="179">
        <f t="shared" si="191"/>
        <v>354.98548478263774</v>
      </c>
      <c r="Q765" s="179">
        <f t="shared" si="192"/>
        <v>628.48975828691107</v>
      </c>
      <c r="S765" s="88">
        <f t="shared" si="193"/>
        <v>4.2423058684366506</v>
      </c>
      <c r="T765" s="88">
        <f t="shared" si="193"/>
        <v>4.9493568465094251</v>
      </c>
      <c r="U765" s="88">
        <f t="shared" si="193"/>
        <v>5.6564078245822014</v>
      </c>
      <c r="V765" s="88">
        <f t="shared" si="193"/>
        <v>6.3634588026549768</v>
      </c>
    </row>
    <row r="766" spans="1:22">
      <c r="A766" s="44" t="s">
        <v>222</v>
      </c>
      <c r="B766" s="168">
        <f>MIN(B729,D729)</f>
        <v>31.548860474507968</v>
      </c>
      <c r="C766" s="169">
        <v>0.02</v>
      </c>
      <c r="D766" s="153">
        <v>110</v>
      </c>
      <c r="E766" s="168">
        <f t="shared" si="194"/>
        <v>168</v>
      </c>
      <c r="F766" s="170">
        <f t="shared" si="195"/>
        <v>0.22935779816513766</v>
      </c>
      <c r="G766" s="171">
        <f t="shared" si="196"/>
        <v>7.2359771730522873</v>
      </c>
      <c r="K766" s="88">
        <f t="shared" si="197"/>
        <v>3.3396817721779786</v>
      </c>
      <c r="L766" s="88">
        <f t="shared" si="190"/>
        <v>3.8962954008743078</v>
      </c>
      <c r="M766" s="88">
        <f t="shared" si="190"/>
        <v>4.4529090295706384</v>
      </c>
      <c r="N766" s="88">
        <f t="shared" si="190"/>
        <v>5.0095226582669685</v>
      </c>
      <c r="P766" s="179">
        <f t="shared" si="191"/>
        <v>494.76766995229309</v>
      </c>
      <c r="Q766" s="179">
        <f t="shared" si="192"/>
        <v>768.27194345656653</v>
      </c>
      <c r="S766" s="88">
        <f t="shared" si="193"/>
        <v>5.1858356183318248</v>
      </c>
      <c r="T766" s="88">
        <f t="shared" si="193"/>
        <v>6.0501415547204616</v>
      </c>
      <c r="U766" s="88">
        <f t="shared" si="193"/>
        <v>6.9144474911091001</v>
      </c>
      <c r="V766" s="88">
        <f t="shared" si="193"/>
        <v>7.7787534274977368</v>
      </c>
    </row>
    <row r="767" spans="1:22">
      <c r="A767" s="44" t="s">
        <v>223</v>
      </c>
      <c r="B767" s="168">
        <f>B766</f>
        <v>31.548860474507968</v>
      </c>
      <c r="C767" s="169">
        <v>1.7999999999999999E-2</v>
      </c>
      <c r="D767" s="153">
        <v>130</v>
      </c>
      <c r="E767" s="168">
        <f t="shared" si="194"/>
        <v>188</v>
      </c>
      <c r="F767" s="170">
        <f t="shared" si="195"/>
        <v>0.22810218978102187</v>
      </c>
      <c r="G767" s="171">
        <f t="shared" si="196"/>
        <v>7.1963641593311962</v>
      </c>
      <c r="K767" s="88">
        <f t="shared" si="197"/>
        <v>3.3213988427682444</v>
      </c>
      <c r="L767" s="88">
        <f t="shared" si="190"/>
        <v>3.8749653165629514</v>
      </c>
      <c r="M767" s="88">
        <f t="shared" si="190"/>
        <v>4.4285317903576598</v>
      </c>
      <c r="N767" s="88">
        <f t="shared" si="190"/>
        <v>4.9820982641523663</v>
      </c>
      <c r="P767" s="179">
        <f t="shared" si="191"/>
        <v>492.05908781751765</v>
      </c>
      <c r="Q767" s="179">
        <f t="shared" si="192"/>
        <v>765.56336132179104</v>
      </c>
      <c r="S767" s="88">
        <f t="shared" si="193"/>
        <v>5.1675526889220906</v>
      </c>
      <c r="T767" s="88">
        <f t="shared" si="193"/>
        <v>6.0288114704091047</v>
      </c>
      <c r="U767" s="88">
        <f t="shared" si="193"/>
        <v>6.8900702518961205</v>
      </c>
      <c r="V767" s="88">
        <f t="shared" si="193"/>
        <v>7.7513290333831364</v>
      </c>
    </row>
    <row r="768" spans="1:22">
      <c r="A768" s="44" t="s">
        <v>224</v>
      </c>
      <c r="B768" s="168">
        <f>B766</f>
        <v>31.548860474507968</v>
      </c>
      <c r="C768" s="169">
        <v>1.6E-2</v>
      </c>
      <c r="D768" s="153">
        <v>150</v>
      </c>
      <c r="E768" s="168">
        <f t="shared" si="194"/>
        <v>208</v>
      </c>
      <c r="F768" s="170">
        <f t="shared" si="195"/>
        <v>0.23105360443622919</v>
      </c>
      <c r="G768" s="171">
        <f t="shared" si="196"/>
        <v>7.2894779284907498</v>
      </c>
      <c r="K768" s="88">
        <f t="shared" si="197"/>
        <v>3.3643744285341919</v>
      </c>
      <c r="L768" s="88">
        <f t="shared" si="190"/>
        <v>3.9251034999565571</v>
      </c>
      <c r="M768" s="88">
        <f t="shared" si="190"/>
        <v>4.4858325713789231</v>
      </c>
      <c r="N768" s="88">
        <f t="shared" si="190"/>
        <v>5.0465616428012883</v>
      </c>
      <c r="P768" s="179">
        <f t="shared" si="191"/>
        <v>498.42584126432473</v>
      </c>
      <c r="Q768" s="179">
        <f t="shared" si="192"/>
        <v>771.93011476859817</v>
      </c>
      <c r="S768" s="88">
        <f t="shared" si="193"/>
        <v>5.2105282746880386</v>
      </c>
      <c r="T768" s="88">
        <f t="shared" si="193"/>
        <v>6.0789496538027112</v>
      </c>
      <c r="U768" s="88">
        <f t="shared" si="193"/>
        <v>6.9473710329173857</v>
      </c>
      <c r="V768" s="88">
        <f t="shared" si="193"/>
        <v>7.8157924120320574</v>
      </c>
    </row>
    <row r="769" spans="1:4">
      <c r="A769" s="3"/>
      <c r="D769" s="100"/>
    </row>
    <row r="770" spans="1:4">
      <c r="A770" s="3"/>
      <c r="D770" s="100"/>
    </row>
    <row r="771" spans="1:4">
      <c r="A771" s="3"/>
      <c r="D771" s="100"/>
    </row>
    <row r="772" spans="1:4">
      <c r="A772" s="3"/>
      <c r="D772" s="100"/>
    </row>
    <row r="773" spans="1:4">
      <c r="A773" s="3"/>
      <c r="D773" s="100"/>
    </row>
    <row r="774" spans="1:4">
      <c r="A774" s="3"/>
      <c r="D774" s="100"/>
    </row>
    <row r="775" spans="1:4">
      <c r="A775" s="3"/>
      <c r="D775" s="100"/>
    </row>
    <row r="776" spans="1:4">
      <c r="A776" s="3"/>
      <c r="D776" s="100"/>
    </row>
    <row r="777" spans="1:4">
      <c r="A777" s="3"/>
      <c r="D777" s="100"/>
    </row>
    <row r="778" spans="1:4">
      <c r="A778" s="3"/>
      <c r="D778" s="100"/>
    </row>
    <row r="779" spans="1:4">
      <c r="A779" s="3"/>
      <c r="D779" s="100"/>
    </row>
    <row r="780" spans="1:4" ht="18.75">
      <c r="A780" s="56" t="s">
        <v>84</v>
      </c>
      <c r="D780" s="100"/>
    </row>
    <row r="781" spans="1:4">
      <c r="A781" s="21" t="s">
        <v>37</v>
      </c>
      <c r="B781" s="22" t="s">
        <v>25</v>
      </c>
      <c r="D781" s="100"/>
    </row>
    <row r="782" spans="1:4" ht="18">
      <c r="A782" s="23" t="s">
        <v>39</v>
      </c>
      <c r="B782" s="24">
        <f>VLOOKUP(B781,$V$7:$W$16,2,FALSE)</f>
        <v>385</v>
      </c>
      <c r="C782" t="s">
        <v>40</v>
      </c>
    </row>
    <row r="783" spans="1:4" ht="18">
      <c r="A783" s="23" t="s">
        <v>62</v>
      </c>
      <c r="B783" s="53">
        <v>35000</v>
      </c>
      <c r="C783" s="53">
        <v>20000</v>
      </c>
      <c r="D783" t="s">
        <v>63</v>
      </c>
    </row>
    <row r="784" spans="1:4">
      <c r="A784" s="23" t="s">
        <v>64</v>
      </c>
      <c r="B784" s="53">
        <v>10</v>
      </c>
      <c r="C784" s="53">
        <v>8</v>
      </c>
      <c r="D784" t="s">
        <v>65</v>
      </c>
    </row>
    <row r="785" spans="1:19" ht="18">
      <c r="A785" s="23" t="s">
        <v>66</v>
      </c>
      <c r="B785" s="75">
        <f>0.033*$B$782*B784^-0.3</f>
        <v>6.3675838032344938</v>
      </c>
      <c r="C785" s="75">
        <f>0.033*$B$782*C784^-0.3</f>
        <v>6.808440920761802</v>
      </c>
      <c r="D785" t="s">
        <v>67</v>
      </c>
      <c r="P785"/>
      <c r="Q785"/>
      <c r="R785"/>
      <c r="S785"/>
    </row>
    <row r="786" spans="1:19" ht="18">
      <c r="A786" s="23" t="s">
        <v>68</v>
      </c>
      <c r="B786" s="76">
        <f>0.082*B784^-0.3*$B$782</f>
        <v>15.822480965612984</v>
      </c>
      <c r="C786" s="76">
        <f>0.082*C784^-0.3*$B$782</f>
        <v>16.917944106135387</v>
      </c>
      <c r="D786" t="s">
        <v>67</v>
      </c>
      <c r="P786"/>
      <c r="Q786"/>
      <c r="R786"/>
      <c r="S786"/>
    </row>
    <row r="788" spans="1:19">
      <c r="A788" s="3"/>
      <c r="D788" s="100"/>
      <c r="P788"/>
      <c r="Q788"/>
      <c r="R788"/>
      <c r="S788"/>
    </row>
    <row r="789" spans="1:19">
      <c r="A789" s="3"/>
      <c r="P789"/>
      <c r="Q789"/>
      <c r="R789"/>
      <c r="S789"/>
    </row>
    <row r="790" spans="1:19" ht="18">
      <c r="A790" s="4" t="s">
        <v>2</v>
      </c>
      <c r="B790" s="5" t="s">
        <v>43</v>
      </c>
      <c r="C790" s="5" t="s">
        <v>9</v>
      </c>
      <c r="D790" s="5" t="s">
        <v>44</v>
      </c>
      <c r="E790" s="5" t="s">
        <v>59</v>
      </c>
      <c r="F790" s="5" t="s">
        <v>60</v>
      </c>
      <c r="G790" s="5" t="s">
        <v>230</v>
      </c>
      <c r="H790" s="181"/>
      <c r="I790" s="165"/>
      <c r="J790" s="165"/>
      <c r="K790" s="165"/>
      <c r="P790"/>
      <c r="Q790"/>
      <c r="R790"/>
      <c r="S790"/>
    </row>
    <row r="791" spans="1:19">
      <c r="A791" s="8"/>
      <c r="B791" s="9" t="s">
        <v>19</v>
      </c>
      <c r="C791" s="9" t="s">
        <v>18</v>
      </c>
      <c r="D791" s="9" t="s">
        <v>18</v>
      </c>
      <c r="E791" s="9" t="s">
        <v>17</v>
      </c>
      <c r="F791" s="9" t="s">
        <v>17</v>
      </c>
      <c r="G791" s="62" t="s">
        <v>17</v>
      </c>
      <c r="H791" s="181"/>
      <c r="I791" s="165"/>
      <c r="J791" s="165"/>
      <c r="K791" s="165"/>
      <c r="P791"/>
      <c r="Q791"/>
      <c r="R791"/>
      <c r="S791"/>
    </row>
    <row r="792" spans="1:19" hidden="1">
      <c r="A792" s="14" t="s">
        <v>29</v>
      </c>
      <c r="B792" s="66">
        <v>1</v>
      </c>
      <c r="C792" s="66">
        <v>8</v>
      </c>
      <c r="D792" s="34">
        <v>137</v>
      </c>
      <c r="E792" s="65">
        <f>(0.3*0.52*SQRT(C792)*D792^0.9*$B$782^0.8)/1000</f>
        <v>4.3260017012857244</v>
      </c>
      <c r="F792" s="65">
        <f>MIN(2.3*SQRT($C$783*$C$785*$C$784)/1000+(E792/4),$C$784*$C$785*D792/1000,$C$784*$C$785*D792/1000*(SQRT(2+4*$C$783/($C$784*$C$785*D792^2))-1)+E792/4)</f>
        <v>3.482055443506348</v>
      </c>
      <c r="G792" s="65" t="e">
        <f>(B792*F792+#REF!*K792)/(B792+#REF!)</f>
        <v>#REF!</v>
      </c>
      <c r="H792" s="386"/>
      <c r="I792" s="314"/>
      <c r="J792" s="123"/>
      <c r="K792" s="123"/>
      <c r="P792"/>
      <c r="Q792"/>
      <c r="R792"/>
      <c r="S792"/>
    </row>
    <row r="793" spans="1:19" hidden="1">
      <c r="A793" s="44" t="s">
        <v>30</v>
      </c>
      <c r="B793" s="66">
        <v>1</v>
      </c>
      <c r="C793" s="66">
        <v>8</v>
      </c>
      <c r="D793" s="34">
        <v>137</v>
      </c>
      <c r="E793" s="65">
        <f t="shared" ref="E793:E799" si="198">(0.3*0.52*SQRT(C793)*D793^0.9*$B$782^0.8)/1000</f>
        <v>4.3260017012857244</v>
      </c>
      <c r="F793" s="65">
        <f>MIN(2.3*SQRT($C$783*$C$785*$C$784)/1000+(E793/4),$C$784*$C$785*D793/1000,$C$784*$C$785*D793/1000*(SQRT(2+4*$C$783/($C$784*$C$785*D793^2))-1)+E793/4)</f>
        <v>3.482055443506348</v>
      </c>
      <c r="G793" s="65" t="e">
        <f>(B793*F793+#REF!*K793)/(B793+#REF!)</f>
        <v>#REF!</v>
      </c>
      <c r="H793" s="386"/>
      <c r="I793" s="314"/>
      <c r="J793" s="123"/>
      <c r="K793" s="123"/>
      <c r="P793"/>
      <c r="Q793"/>
      <c r="R793"/>
      <c r="S793"/>
    </row>
    <row r="794" spans="1:19" hidden="1">
      <c r="A794" s="14" t="s">
        <v>31</v>
      </c>
      <c r="B794" s="66">
        <v>1</v>
      </c>
      <c r="C794" s="66">
        <v>8</v>
      </c>
      <c r="D794" s="34">
        <v>137</v>
      </c>
      <c r="E794" s="65">
        <f t="shared" si="198"/>
        <v>4.3260017012857244</v>
      </c>
      <c r="F794" s="65">
        <f>MIN(2.3*SQRT($C$783*$C$785*$C$784)/1000+(E794/4),$C$784*$C$785*D794/1000,$C$784*$C$785*D794/1000*(SQRT(2+4*$C$783/($C$784*$C$785*D794^2))-1)+E794/4)</f>
        <v>3.482055443506348</v>
      </c>
      <c r="G794" s="65" t="e">
        <f>(B794*F794+#REF!*K794)/(B794+#REF!)</f>
        <v>#REF!</v>
      </c>
      <c r="H794" s="386"/>
      <c r="I794" s="314"/>
      <c r="J794" s="123"/>
      <c r="K794" s="123"/>
      <c r="P794"/>
      <c r="Q794"/>
      <c r="R794"/>
      <c r="S794"/>
    </row>
    <row r="795" spans="1:19" hidden="1">
      <c r="A795" s="44" t="s">
        <v>32</v>
      </c>
      <c r="B795" s="66">
        <v>1</v>
      </c>
      <c r="C795" s="66">
        <v>8</v>
      </c>
      <c r="D795" s="34">
        <v>137</v>
      </c>
      <c r="E795" s="65">
        <f t="shared" si="198"/>
        <v>4.3260017012857244</v>
      </c>
      <c r="F795" s="65">
        <f>MIN(2.3*SQRT($C$783*$C$785*$C$784)/1000+(E795/4),$C$784*$C$785*D795/1000,$C$784*$C$785*D795/1000*(SQRT(2+4*$C$783/($C$784*$C$785*D795^2))-1)+E795/4)</f>
        <v>3.482055443506348</v>
      </c>
      <c r="G795" s="65" t="e">
        <f>(B795*F795+#REF!*K795)/(B795+#REF!)</f>
        <v>#REF!</v>
      </c>
      <c r="H795" s="386"/>
      <c r="I795" s="314"/>
      <c r="J795" s="123"/>
      <c r="K795" s="123"/>
      <c r="P795"/>
      <c r="Q795"/>
      <c r="R795"/>
      <c r="S795"/>
    </row>
    <row r="796" spans="1:19" hidden="1">
      <c r="A796" s="14" t="s">
        <v>33</v>
      </c>
      <c r="B796" s="66">
        <v>1</v>
      </c>
      <c r="C796" s="66">
        <v>10</v>
      </c>
      <c r="D796" s="34">
        <v>175</v>
      </c>
      <c r="E796" s="65">
        <f t="shared" si="198"/>
        <v>6.0287520940422592</v>
      </c>
      <c r="F796" s="65">
        <f>MIN(2.3*SQRT($B$783*$B$785*$B$784)/1000+(E796/4),$B$784*$B$785*D796/1000,$B$784*$B$785*D796/1000*(SQRT(2+4*$B$783/($B$784*$B$785*D796^2))-1)+E796/4)</f>
        <v>4.9407840119298001</v>
      </c>
      <c r="G796" s="65" t="e">
        <f>(B796*F796+#REF!*K796)/(B796+#REF!)</f>
        <v>#REF!</v>
      </c>
      <c r="H796" s="386"/>
      <c r="I796" s="314"/>
      <c r="J796" s="123"/>
      <c r="K796" s="123"/>
      <c r="P796"/>
      <c r="Q796"/>
      <c r="R796"/>
      <c r="S796"/>
    </row>
    <row r="797" spans="1:19" hidden="1">
      <c r="A797" s="44" t="s">
        <v>34</v>
      </c>
      <c r="B797" s="66">
        <v>1</v>
      </c>
      <c r="C797" s="66">
        <v>10</v>
      </c>
      <c r="D797" s="34">
        <v>175</v>
      </c>
      <c r="E797" s="65">
        <f t="shared" si="198"/>
        <v>6.0287520940422592</v>
      </c>
      <c r="F797" s="65">
        <f>MIN(2.3*SQRT($B$783*$B$785*$B$784)/1000+(E797/4),$B$784*$B$785*D797/1000,$B$784*$B$785*D797/1000*(SQRT(2+4*$B$783/($B$784*$B$785*D797^2))-1)+E797/4)</f>
        <v>4.9407840119298001</v>
      </c>
      <c r="G797" s="65" t="e">
        <f>(B797*F797+#REF!*K797)/(B797+#REF!)</f>
        <v>#REF!</v>
      </c>
      <c r="H797" s="386"/>
      <c r="I797" s="314"/>
      <c r="J797" s="123"/>
      <c r="K797" s="123"/>
      <c r="P797"/>
      <c r="Q797"/>
      <c r="R797"/>
      <c r="S797"/>
    </row>
    <row r="798" spans="1:19" hidden="1">
      <c r="A798" s="44" t="s">
        <v>35</v>
      </c>
      <c r="B798" s="66">
        <v>1</v>
      </c>
      <c r="C798" s="66">
        <v>10</v>
      </c>
      <c r="D798" s="34">
        <v>175</v>
      </c>
      <c r="E798" s="65">
        <f t="shared" si="198"/>
        <v>6.0287520940422592</v>
      </c>
      <c r="F798" s="65">
        <f>MIN(2.3*SQRT($B$783*$B$785*$B$784)/1000+(E798/4),$B$784*$B$785*D798/1000,$B$784*$B$785*D798/1000*(SQRT(2+4*$B$783/($B$784*$B$785*D798^2))-1)+E798/4)</f>
        <v>4.9407840119298001</v>
      </c>
      <c r="G798" s="65" t="e">
        <f>(B798*F798+#REF!*K798)/(B798+#REF!)</f>
        <v>#REF!</v>
      </c>
      <c r="H798" s="386"/>
      <c r="I798" s="314"/>
      <c r="J798" s="123"/>
      <c r="K798" s="123"/>
      <c r="P798"/>
      <c r="Q798"/>
      <c r="R798"/>
      <c r="S798"/>
    </row>
    <row r="799" spans="1:19" hidden="1">
      <c r="A799" s="14" t="s">
        <v>36</v>
      </c>
      <c r="B799" s="66">
        <v>1</v>
      </c>
      <c r="C799" s="66">
        <v>10</v>
      </c>
      <c r="D799" s="34">
        <v>175</v>
      </c>
      <c r="E799" s="65">
        <f t="shared" si="198"/>
        <v>6.0287520940422592</v>
      </c>
      <c r="F799" s="65">
        <f>MIN(2.3*SQRT($B$783*$B$785*$B$784)/1000+(E799/4),$B$784*$B$785*D799/1000,$B$784*$B$785*D799/1000*(SQRT(2+4*$B$783/($B$784*$B$785*D799^2))-1)+E799/4)</f>
        <v>4.9407840119298001</v>
      </c>
      <c r="G799" s="65" t="e">
        <f>(B799*F799+#REF!*K799)/(B799+#REF!)</f>
        <v>#REF!</v>
      </c>
      <c r="H799" s="386"/>
      <c r="I799" s="314"/>
      <c r="J799" s="123"/>
      <c r="K799" s="123"/>
      <c r="P799"/>
      <c r="Q799"/>
      <c r="R799"/>
      <c r="S799"/>
    </row>
    <row r="800" spans="1:19" ht="30">
      <c r="A800" s="424" t="s">
        <v>377</v>
      </c>
      <c r="B800" s="66">
        <v>10</v>
      </c>
      <c r="C800" s="66">
        <v>8</v>
      </c>
      <c r="D800" s="34">
        <v>150</v>
      </c>
      <c r="E800" s="65">
        <f t="shared" ref="E800:E805" si="199">($E$806*0.52*SQRT(C800)*D800^0.9*$B$782^0.8)/1000</f>
        <v>4.6937538287484974</v>
      </c>
      <c r="F800" s="65">
        <f>MIN(2.3*SQRT($C$783*$C$785*$C$784)/1000+(E800/4),$C$784*$C$785*D800/1000,$C$784*$C$785*D800/1000*(SQRT(2+4*$C$783/($C$784*$C$785*D800^2))-1)+E800/4)</f>
        <v>3.573993475372041</v>
      </c>
      <c r="G800" s="65">
        <f t="shared" ref="G800:G805" si="200">F800</f>
        <v>3.573993475372041</v>
      </c>
      <c r="H800" s="386"/>
      <c r="I800" s="314"/>
      <c r="J800" s="123"/>
      <c r="K800" s="123"/>
      <c r="P800"/>
      <c r="Q800"/>
      <c r="R800"/>
      <c r="S800"/>
    </row>
    <row r="801" spans="1:19" ht="30">
      <c r="A801" s="342" t="s">
        <v>379</v>
      </c>
      <c r="B801" s="66">
        <v>10</v>
      </c>
      <c r="C801" s="66">
        <v>8</v>
      </c>
      <c r="D801" s="34">
        <v>230</v>
      </c>
      <c r="E801" s="65">
        <f t="shared" si="199"/>
        <v>6.8959360897190116</v>
      </c>
      <c r="F801" s="65">
        <f>MIN(2.3*SQRT($C$783*$C$785*$C$784)/1000+(E801/4),$C$784*$C$785*D801/1000,$C$784*$C$785*D801/1000*(SQRT(2+4*$C$783/($C$784*$C$785*D801^2))-1)+E801/4)</f>
        <v>4.1245390406146694</v>
      </c>
      <c r="G801" s="65">
        <f t="shared" si="200"/>
        <v>4.1245390406146694</v>
      </c>
      <c r="H801" s="386"/>
      <c r="I801" s="314"/>
      <c r="J801" s="123"/>
      <c r="K801" s="123"/>
      <c r="P801"/>
      <c r="Q801"/>
      <c r="R801"/>
      <c r="S801"/>
    </row>
    <row r="802" spans="1:19" ht="30">
      <c r="A802" s="342" t="s">
        <v>380</v>
      </c>
      <c r="B802" s="66">
        <v>16</v>
      </c>
      <c r="C802" s="66">
        <v>8</v>
      </c>
      <c r="D802" s="34">
        <v>150</v>
      </c>
      <c r="E802" s="65">
        <f t="shared" si="199"/>
        <v>4.6937538287484974</v>
      </c>
      <c r="F802" s="65">
        <f>MIN(2.3*SQRT($C$783*$C$785*$C$784)/1000+(E802/4),$C$784*$C$785*D802/1000,$C$784*$C$785*D802/1000*(SQRT(2+4*$C$783/($C$784*$C$785*D802^2))-1)+E802/4)</f>
        <v>3.573993475372041</v>
      </c>
      <c r="G802" s="65">
        <f t="shared" si="200"/>
        <v>3.573993475372041</v>
      </c>
      <c r="H802" s="386"/>
      <c r="I802" s="314"/>
      <c r="J802" s="123"/>
      <c r="K802" s="123"/>
      <c r="P802"/>
      <c r="Q802"/>
      <c r="R802"/>
      <c r="S802"/>
    </row>
    <row r="803" spans="1:19" ht="30">
      <c r="A803" s="342" t="s">
        <v>381</v>
      </c>
      <c r="B803" s="66">
        <v>16</v>
      </c>
      <c r="C803" s="66">
        <v>8</v>
      </c>
      <c r="D803" s="34">
        <v>230</v>
      </c>
      <c r="E803" s="65">
        <f t="shared" si="199"/>
        <v>6.8959360897190116</v>
      </c>
      <c r="F803" s="65">
        <f>MIN(2.3*SQRT($C$783*$C$785*$C$784)/1000+(E803/4),$C$784*$C$785*D803/1000,$C$784*$C$785*D803/1000*(SQRT(2+4*$C$783/($C$784*$C$785*D803^2))-1)+E803/4)</f>
        <v>4.1245390406146694</v>
      </c>
      <c r="G803" s="65">
        <f t="shared" si="200"/>
        <v>4.1245390406146694</v>
      </c>
      <c r="H803" s="386"/>
      <c r="I803" s="314"/>
      <c r="J803" s="123"/>
      <c r="K803" s="123"/>
      <c r="P803"/>
      <c r="Q803"/>
      <c r="R803"/>
      <c r="S803"/>
    </row>
    <row r="804" spans="1:19" ht="30">
      <c r="A804" s="342" t="s">
        <v>383</v>
      </c>
      <c r="B804" s="66">
        <v>16</v>
      </c>
      <c r="C804" s="66">
        <v>10</v>
      </c>
      <c r="D804" s="34">
        <v>190</v>
      </c>
      <c r="E804" s="65">
        <f t="shared" si="199"/>
        <v>6.4918940417166029</v>
      </c>
      <c r="F804" s="65">
        <f>MIN(2.3*SQRT($B$783*$B$785*$B$784)/1000+(E804/4),$B$784*$B$785*D804/1000,$B$784*$B$785*D804/1000*(SQRT(2+4*$B$783/($B$784*$B$785*D804^2))-1)+E804/4)</f>
        <v>5.0565694988483862</v>
      </c>
      <c r="G804" s="65">
        <f t="shared" si="200"/>
        <v>5.0565694988483862</v>
      </c>
      <c r="H804" s="386"/>
      <c r="I804" s="314"/>
      <c r="J804" s="123"/>
      <c r="K804" s="123"/>
      <c r="P804"/>
      <c r="Q804"/>
      <c r="R804"/>
      <c r="S804"/>
    </row>
    <row r="805" spans="1:19" ht="30">
      <c r="A805" s="342" t="s">
        <v>382</v>
      </c>
      <c r="B805" s="66">
        <v>25</v>
      </c>
      <c r="C805" s="66">
        <v>10</v>
      </c>
      <c r="D805" s="34">
        <v>190</v>
      </c>
      <c r="E805" s="65">
        <f t="shared" si="199"/>
        <v>6.4918940417166029</v>
      </c>
      <c r="F805" s="65">
        <f>MIN(2.3*SQRT($B$783*$B$785*$B$784)/1000+(E805/4),$B$784*$B$785*D805/1000,$B$784*$B$785*D805/1000*(SQRT(2+4*$B$783/($B$784*$B$785*D805^2))-1)+E805/4)</f>
        <v>5.0565694988483862</v>
      </c>
      <c r="G805" s="65">
        <f t="shared" si="200"/>
        <v>5.0565694988483862</v>
      </c>
      <c r="H805" s="386"/>
      <c r="I805" s="314"/>
      <c r="J805" s="123"/>
      <c r="K805" s="123"/>
      <c r="P805"/>
      <c r="Q805"/>
      <c r="R805"/>
      <c r="S805"/>
    </row>
    <row r="806" spans="1:19">
      <c r="D806" s="23" t="s">
        <v>308</v>
      </c>
      <c r="E806" s="430">
        <v>0.3</v>
      </c>
    </row>
    <row r="808" spans="1:19">
      <c r="A808" s="3"/>
      <c r="P808"/>
      <c r="Q808"/>
      <c r="R808"/>
      <c r="S808"/>
    </row>
    <row r="809" spans="1:19" ht="18">
      <c r="A809" s="4" t="s">
        <v>2</v>
      </c>
      <c r="B809" s="5" t="s">
        <v>169</v>
      </c>
      <c r="C809" s="5" t="s">
        <v>154</v>
      </c>
      <c r="D809" s="5" t="s">
        <v>159</v>
      </c>
      <c r="E809" s="5" t="s">
        <v>179</v>
      </c>
      <c r="F809" s="5" t="s">
        <v>157</v>
      </c>
      <c r="G809" s="180" t="s">
        <v>180</v>
      </c>
      <c r="H809" s="181"/>
      <c r="I809" s="108"/>
      <c r="J809" s="108"/>
      <c r="K809" s="108"/>
      <c r="L809" s="108"/>
      <c r="P809"/>
      <c r="Q809"/>
      <c r="R809"/>
      <c r="S809"/>
    </row>
    <row r="810" spans="1:19">
      <c r="A810" s="8"/>
      <c r="B810" s="62" t="s">
        <v>17</v>
      </c>
      <c r="C810" s="9" t="s">
        <v>19</v>
      </c>
      <c r="D810" s="9" t="s">
        <v>78</v>
      </c>
      <c r="E810" s="9" t="s">
        <v>78</v>
      </c>
      <c r="F810" s="9" t="s">
        <v>18</v>
      </c>
      <c r="G810" s="182" t="s">
        <v>17</v>
      </c>
      <c r="H810" s="181"/>
      <c r="I810" s="108"/>
      <c r="J810" s="108"/>
      <c r="K810" s="108"/>
      <c r="L810" s="108"/>
      <c r="P810"/>
      <c r="Q810"/>
      <c r="R810"/>
      <c r="S810"/>
    </row>
    <row r="811" spans="1:19" hidden="1">
      <c r="A811" s="14" t="s">
        <v>29</v>
      </c>
      <c r="B811" s="34" t="e">
        <f t="shared" ref="B811:B824" si="201">G792</f>
        <v>#REF!</v>
      </c>
      <c r="C811" s="66">
        <v>7</v>
      </c>
      <c r="D811" s="66">
        <v>247</v>
      </c>
      <c r="E811" s="183">
        <v>529</v>
      </c>
      <c r="F811" s="152">
        <v>0</v>
      </c>
      <c r="G811" s="184" t="e">
        <f t="shared" ref="G811:G824" si="202">B811/(SQRT((1/C811+F811/D811)^2+(F811/E811)^2))</f>
        <v>#REF!</v>
      </c>
      <c r="H811" s="185"/>
      <c r="I811" s="172"/>
      <c r="J811" s="100"/>
      <c r="K811" s="100"/>
      <c r="L811" s="100"/>
      <c r="P811"/>
      <c r="Q811"/>
      <c r="R811"/>
      <c r="S811"/>
    </row>
    <row r="812" spans="1:19" hidden="1">
      <c r="A812" s="44" t="s">
        <v>30</v>
      </c>
      <c r="B812" s="34" t="e">
        <f t="shared" si="201"/>
        <v>#REF!</v>
      </c>
      <c r="C812" s="66">
        <v>8</v>
      </c>
      <c r="D812" s="66">
        <v>312</v>
      </c>
      <c r="E812" s="183">
        <v>904</v>
      </c>
      <c r="F812" s="152">
        <f t="shared" ref="F812:F824" si="203">F811</f>
        <v>0</v>
      </c>
      <c r="G812" s="184" t="e">
        <f t="shared" si="202"/>
        <v>#REF!</v>
      </c>
      <c r="H812" s="185"/>
      <c r="I812" s="172"/>
      <c r="J812" s="100"/>
      <c r="K812" s="100"/>
      <c r="L812" s="100"/>
      <c r="P812"/>
      <c r="Q812"/>
      <c r="R812"/>
      <c r="S812"/>
    </row>
    <row r="813" spans="1:19" hidden="1">
      <c r="A813" s="14" t="s">
        <v>31</v>
      </c>
      <c r="B813" s="34" t="e">
        <f t="shared" si="201"/>
        <v>#REF!</v>
      </c>
      <c r="C813" s="66">
        <v>8</v>
      </c>
      <c r="D813" s="66">
        <v>318</v>
      </c>
      <c r="E813" s="183">
        <v>868</v>
      </c>
      <c r="F813" s="152">
        <f t="shared" si="203"/>
        <v>0</v>
      </c>
      <c r="G813" s="184" t="e">
        <f t="shared" si="202"/>
        <v>#REF!</v>
      </c>
      <c r="H813" s="185"/>
      <c r="I813" s="172"/>
      <c r="J813" s="100"/>
      <c r="K813" s="100"/>
      <c r="L813" s="100"/>
      <c r="P813"/>
      <c r="Q813"/>
      <c r="R813"/>
      <c r="S813"/>
    </row>
    <row r="814" spans="1:19" hidden="1">
      <c r="A814" s="44" t="s">
        <v>32</v>
      </c>
      <c r="B814" s="34" t="e">
        <f t="shared" si="201"/>
        <v>#REF!</v>
      </c>
      <c r="C814" s="66">
        <v>8</v>
      </c>
      <c r="D814" s="66">
        <v>378</v>
      </c>
      <c r="E814" s="183">
        <v>1354</v>
      </c>
      <c r="F814" s="152">
        <f t="shared" si="203"/>
        <v>0</v>
      </c>
      <c r="G814" s="184" t="e">
        <f t="shared" si="202"/>
        <v>#REF!</v>
      </c>
      <c r="H814" s="185"/>
      <c r="I814" s="172"/>
      <c r="J814" s="100"/>
      <c r="K814" s="100"/>
      <c r="L814" s="100"/>
      <c r="P814"/>
      <c r="Q814"/>
      <c r="R814"/>
      <c r="S814"/>
    </row>
    <row r="815" spans="1:19" hidden="1">
      <c r="A815" s="14" t="s">
        <v>33</v>
      </c>
      <c r="B815" s="34" t="e">
        <f t="shared" si="201"/>
        <v>#REF!</v>
      </c>
      <c r="C815" s="66">
        <v>8</v>
      </c>
      <c r="D815" s="66">
        <v>360</v>
      </c>
      <c r="E815" s="183">
        <v>720</v>
      </c>
      <c r="F815" s="152">
        <f t="shared" si="203"/>
        <v>0</v>
      </c>
      <c r="G815" s="184" t="e">
        <f t="shared" si="202"/>
        <v>#REF!</v>
      </c>
      <c r="H815" s="185"/>
      <c r="I815" s="172"/>
      <c r="J815" s="100"/>
      <c r="K815" s="100"/>
      <c r="L815" s="100"/>
    </row>
    <row r="816" spans="1:19" hidden="1">
      <c r="A816" s="44" t="s">
        <v>34</v>
      </c>
      <c r="B816" s="34" t="e">
        <f t="shared" si="201"/>
        <v>#REF!</v>
      </c>
      <c r="C816" s="66">
        <v>8</v>
      </c>
      <c r="D816" s="66">
        <v>410</v>
      </c>
      <c r="E816" s="183">
        <v>1076</v>
      </c>
      <c r="F816" s="152">
        <f t="shared" si="203"/>
        <v>0</v>
      </c>
      <c r="G816" s="184" t="e">
        <f t="shared" si="202"/>
        <v>#REF!</v>
      </c>
      <c r="H816" s="185"/>
      <c r="I816" s="172"/>
      <c r="J816" s="100"/>
      <c r="K816" s="100"/>
      <c r="L816" s="100"/>
    </row>
    <row r="817" spans="1:24" hidden="1">
      <c r="A817" s="44" t="s">
        <v>35</v>
      </c>
      <c r="B817" s="34" t="e">
        <f t="shared" si="201"/>
        <v>#REF!</v>
      </c>
      <c r="C817" s="66">
        <v>8</v>
      </c>
      <c r="D817" s="66">
        <v>480</v>
      </c>
      <c r="E817" s="183">
        <v>1440</v>
      </c>
      <c r="F817" s="152">
        <f t="shared" si="203"/>
        <v>0</v>
      </c>
      <c r="G817" s="184" t="e">
        <f t="shared" si="202"/>
        <v>#REF!</v>
      </c>
      <c r="H817" s="185"/>
      <c r="I817" s="172"/>
      <c r="J817" s="100"/>
      <c r="K817" s="100"/>
      <c r="L817" s="100"/>
    </row>
    <row r="818" spans="1:24" hidden="1">
      <c r="A818" s="14" t="s">
        <v>36</v>
      </c>
      <c r="B818" s="34" t="e">
        <f t="shared" si="201"/>
        <v>#REF!</v>
      </c>
      <c r="C818" s="66">
        <v>8</v>
      </c>
      <c r="D818" s="66">
        <v>566</v>
      </c>
      <c r="E818" s="183">
        <v>1980</v>
      </c>
      <c r="F818" s="152">
        <f t="shared" si="203"/>
        <v>0</v>
      </c>
      <c r="G818" s="184" t="e">
        <f t="shared" si="202"/>
        <v>#REF!</v>
      </c>
      <c r="H818" s="185"/>
      <c r="I818" s="172"/>
      <c r="J818" s="100"/>
      <c r="K818" s="100"/>
      <c r="L818" s="100"/>
    </row>
    <row r="819" spans="1:24" ht="30">
      <c r="A819" s="424" t="s">
        <v>377</v>
      </c>
      <c r="B819" s="34">
        <f t="shared" si="201"/>
        <v>3.573993475372041</v>
      </c>
      <c r="C819" s="66">
        <v>10</v>
      </c>
      <c r="D819" s="66">
        <v>313</v>
      </c>
      <c r="E819" s="183">
        <v>683</v>
      </c>
      <c r="F819" s="152">
        <f t="shared" si="203"/>
        <v>0</v>
      </c>
      <c r="G819" s="184">
        <f t="shared" si="202"/>
        <v>35.739934753720405</v>
      </c>
      <c r="H819" s="185"/>
      <c r="I819" s="172"/>
      <c r="J819" s="100"/>
      <c r="K819" s="100"/>
      <c r="L819" s="100"/>
    </row>
    <row r="820" spans="1:24" ht="30">
      <c r="A820" s="342" t="s">
        <v>379</v>
      </c>
      <c r="B820" s="34">
        <f t="shared" si="201"/>
        <v>4.1245390406146694</v>
      </c>
      <c r="C820" s="66">
        <v>10</v>
      </c>
      <c r="D820" s="66">
        <v>313</v>
      </c>
      <c r="E820" s="183">
        <v>683</v>
      </c>
      <c r="F820" s="152">
        <f t="shared" si="203"/>
        <v>0</v>
      </c>
      <c r="G820" s="184">
        <f t="shared" si="202"/>
        <v>41.24539040614669</v>
      </c>
      <c r="H820" s="185"/>
      <c r="I820" s="172"/>
      <c r="J820" s="100"/>
      <c r="K820" s="100"/>
      <c r="L820" s="100"/>
    </row>
    <row r="821" spans="1:24" ht="30">
      <c r="A821" s="342" t="s">
        <v>380</v>
      </c>
      <c r="B821" s="34">
        <f t="shared" si="201"/>
        <v>3.573993475372041</v>
      </c>
      <c r="C821" s="66">
        <v>16</v>
      </c>
      <c r="D821" s="66">
        <v>590</v>
      </c>
      <c r="E821" s="183">
        <v>2061</v>
      </c>
      <c r="F821" s="152">
        <f t="shared" si="203"/>
        <v>0</v>
      </c>
      <c r="G821" s="184">
        <f t="shared" si="202"/>
        <v>57.183895605952657</v>
      </c>
      <c r="H821" s="185"/>
      <c r="I821" s="172"/>
      <c r="J821" s="100"/>
      <c r="K821" s="100"/>
      <c r="L821" s="100"/>
      <c r="U821" s="186"/>
      <c r="V821" s="186"/>
      <c r="W821" s="186"/>
      <c r="X821" s="186"/>
    </row>
    <row r="822" spans="1:24" ht="30">
      <c r="A822" s="342" t="s">
        <v>381</v>
      </c>
      <c r="B822" s="34">
        <f t="shared" si="201"/>
        <v>4.1245390406146694</v>
      </c>
      <c r="C822" s="66">
        <v>16</v>
      </c>
      <c r="D822" s="66">
        <v>590</v>
      </c>
      <c r="E822" s="183">
        <v>2061</v>
      </c>
      <c r="F822" s="152">
        <f t="shared" si="203"/>
        <v>0</v>
      </c>
      <c r="G822" s="184">
        <f t="shared" si="202"/>
        <v>65.99262464983471</v>
      </c>
      <c r="H822" s="185"/>
      <c r="I822" s="172"/>
      <c r="J822" s="100"/>
      <c r="K822" s="100"/>
      <c r="L822" s="100"/>
      <c r="U822" s="186"/>
      <c r="V822" s="186"/>
      <c r="W822" s="186"/>
      <c r="X822" s="186"/>
    </row>
    <row r="823" spans="1:24" ht="30">
      <c r="A823" s="342" t="s">
        <v>383</v>
      </c>
      <c r="B823" s="34">
        <f t="shared" si="201"/>
        <v>5.0565694988483862</v>
      </c>
      <c r="C823" s="66">
        <v>16</v>
      </c>
      <c r="D823" s="66">
        <v>665</v>
      </c>
      <c r="E823" s="183">
        <v>1678</v>
      </c>
      <c r="F823" s="152">
        <f t="shared" si="203"/>
        <v>0</v>
      </c>
      <c r="G823" s="184">
        <f t="shared" si="202"/>
        <v>80.90511198157418</v>
      </c>
      <c r="H823" s="185"/>
      <c r="I823" s="172"/>
      <c r="J823" s="100"/>
      <c r="K823" s="100"/>
      <c r="L823" s="100"/>
      <c r="U823" s="186"/>
      <c r="V823" s="186"/>
      <c r="W823" s="186"/>
      <c r="X823" s="186"/>
    </row>
    <row r="824" spans="1:24" ht="30">
      <c r="A824" s="342" t="s">
        <v>382</v>
      </c>
      <c r="B824" s="34">
        <f t="shared" si="201"/>
        <v>5.0565694988483862</v>
      </c>
      <c r="C824" s="66">
        <v>25</v>
      </c>
      <c r="D824" s="66">
        <v>1284</v>
      </c>
      <c r="E824" s="183">
        <v>5189</v>
      </c>
      <c r="F824" s="152">
        <f t="shared" si="203"/>
        <v>0</v>
      </c>
      <c r="G824" s="184">
        <f t="shared" si="202"/>
        <v>126.41423747120966</v>
      </c>
      <c r="H824" s="185"/>
      <c r="I824" s="172"/>
      <c r="J824" s="100"/>
      <c r="K824" s="100"/>
      <c r="L824" s="100"/>
      <c r="U824" s="186"/>
      <c r="V824" s="186"/>
      <c r="W824" s="186"/>
      <c r="X824" s="186"/>
    </row>
    <row r="825" spans="1:24">
      <c r="A825" s="3"/>
      <c r="B825" s="118"/>
      <c r="C825" s="118"/>
      <c r="D825" s="172"/>
      <c r="E825" s="100"/>
      <c r="F825" s="100"/>
      <c r="G825" s="118"/>
      <c r="H825" s="118"/>
      <c r="I825" s="172"/>
      <c r="J825" s="100"/>
      <c r="K825" s="100"/>
      <c r="L825" s="100"/>
      <c r="U825" s="186"/>
      <c r="V825" s="186"/>
      <c r="W825" s="186"/>
      <c r="X825" s="186"/>
    </row>
    <row r="826" spans="1:24">
      <c r="U826" s="186"/>
      <c r="V826" s="186"/>
      <c r="W826" s="186"/>
      <c r="X826" s="186"/>
    </row>
    <row r="827" spans="1:24" ht="18">
      <c r="A827" s="4" t="s">
        <v>2</v>
      </c>
      <c r="B827" s="5" t="s">
        <v>43</v>
      </c>
      <c r="C827" s="5" t="s">
        <v>9</v>
      </c>
      <c r="D827" s="5" t="s">
        <v>44</v>
      </c>
      <c r="E827" s="5" t="s">
        <v>69</v>
      </c>
      <c r="F827" s="5" t="s">
        <v>70</v>
      </c>
      <c r="G827" s="5" t="s">
        <v>231</v>
      </c>
      <c r="H827" s="181"/>
      <c r="I827" s="165"/>
      <c r="J827" s="165"/>
      <c r="K827" s="165"/>
      <c r="U827" s="186"/>
      <c r="V827" s="186"/>
      <c r="W827" s="186"/>
      <c r="X827" s="186"/>
    </row>
    <row r="828" spans="1:24">
      <c r="A828" s="8"/>
      <c r="B828" s="9" t="s">
        <v>19</v>
      </c>
      <c r="C828" s="9" t="s">
        <v>18</v>
      </c>
      <c r="D828" s="9" t="s">
        <v>18</v>
      </c>
      <c r="E828" s="9" t="s">
        <v>17</v>
      </c>
      <c r="F828" s="9" t="s">
        <v>17</v>
      </c>
      <c r="G828" s="62" t="s">
        <v>17</v>
      </c>
      <c r="H828" s="181"/>
      <c r="I828" s="165"/>
      <c r="J828" s="165"/>
      <c r="K828" s="165"/>
      <c r="U828" s="186"/>
      <c r="V828" s="186"/>
      <c r="W828" s="186"/>
      <c r="X828" s="186"/>
    </row>
    <row r="829" spans="1:24" hidden="1">
      <c r="A829" s="14" t="s">
        <v>29</v>
      </c>
      <c r="B829" s="66">
        <v>1</v>
      </c>
      <c r="C829" s="66">
        <v>8</v>
      </c>
      <c r="D829" s="34">
        <f>80-23</f>
        <v>57</v>
      </c>
      <c r="E829" s="65">
        <f>(0.52*SQRT(C829)*D829^0.9*$B$782^0.8)/1000</f>
        <v>6.5494418543005892</v>
      </c>
      <c r="F829" s="65">
        <f>MIN(2.3*SQRT($C$783*$C$786*$C$784)/1000+(E829/4),$C$784*$C$786*D829/1000,$C$784*$C$786*D829/1000*(SQRT(2+4*$C$783/($C$784*$C$786*D829^2))-1)+E829/4)</f>
        <v>5.3182617456072272</v>
      </c>
      <c r="G829" s="65" t="e">
        <f>(B829*F829+#REF!*K829)/(B829+#REF!)</f>
        <v>#REF!</v>
      </c>
      <c r="H829" s="386">
        <v>8</v>
      </c>
      <c r="I829" s="314">
        <v>70</v>
      </c>
      <c r="J829" s="123">
        <f>0.52*SQRT(H829)*I829^0.9*$B$782^0.8/1000</f>
        <v>7.8796178754106014</v>
      </c>
      <c r="K829" s="123">
        <f>MIN(2.3*SQRT($C$783*$C$786*$C$784)/1000+(J829/4),$C$784*$C$786*I829/1000,$C$784*$C$786*I829/1000*(SQRT(2+4*$C$783/($C$784*$C$786*I829^2))-1)+J829/4)</f>
        <v>5.7539958910348616</v>
      </c>
      <c r="U829" s="186"/>
      <c r="V829" s="186"/>
      <c r="W829" s="186"/>
      <c r="X829" s="186"/>
    </row>
    <row r="830" spans="1:24" hidden="1">
      <c r="A830" s="44" t="s">
        <v>30</v>
      </c>
      <c r="B830" s="66">
        <v>1</v>
      </c>
      <c r="C830" s="66">
        <v>8</v>
      </c>
      <c r="D830" s="34">
        <f>80-23</f>
        <v>57</v>
      </c>
      <c r="E830" s="65">
        <f t="shared" ref="E830:E842" si="204">(0.52*SQRT(C830)*D830^0.9*$B$782^0.8)/1000</f>
        <v>6.5494418543005892</v>
      </c>
      <c r="F830" s="65">
        <f>MIN(2.3*SQRT($C$783*$C$786*$C$784)/1000+(E830/4),$C$784*$C$786*D830/1000,$C$784*$C$786*D830/1000*(SQRT(2+4*$C$783/($C$784*$C$786*D830^2))-1)+E830/4)</f>
        <v>5.3182617456072272</v>
      </c>
      <c r="G830" s="65" t="e">
        <f>(B830*F830+#REF!*K830)/(B830+#REF!)</f>
        <v>#REF!</v>
      </c>
      <c r="H830" s="386">
        <v>8</v>
      </c>
      <c r="I830" s="314">
        <v>70</v>
      </c>
      <c r="J830" s="123">
        <f t="shared" ref="J830:J836" si="205">0.52*SQRT(H830)*I830^0.9*$B$782^0.8/1000</f>
        <v>7.8796178754106014</v>
      </c>
      <c r="K830" s="123">
        <f>MIN(2.3*SQRT($C$783*$C$786*$C$784)/1000+(J830/4),$C$784*$C$786*I830/1000,$C$784*$C$786*I830/1000*(SQRT(2+4*$C$783/($C$784*$C$786*I830^2))-1)+J830/4)</f>
        <v>5.7539958910348616</v>
      </c>
    </row>
    <row r="831" spans="1:24" hidden="1">
      <c r="A831" s="14" t="s">
        <v>31</v>
      </c>
      <c r="B831" s="66">
        <v>1</v>
      </c>
      <c r="C831" s="66">
        <v>8</v>
      </c>
      <c r="D831" s="34">
        <f>80-23</f>
        <v>57</v>
      </c>
      <c r="E831" s="65">
        <f t="shared" si="204"/>
        <v>6.5494418543005892</v>
      </c>
      <c r="F831" s="65">
        <f>MIN(2.3*SQRT($C$783*$C$786*$C$784)/1000+(E831/4),$C$784*$C$786*D831/1000,$C$784*$C$786*D831/1000*(SQRT(2+4*$C$783/($C$784*$C$786*D831^2))-1)+E831/4)</f>
        <v>5.3182617456072272</v>
      </c>
      <c r="G831" s="65" t="e">
        <f>(B831*F831+#REF!*K831)/(B831+#REF!)</f>
        <v>#REF!</v>
      </c>
      <c r="H831" s="386">
        <v>8</v>
      </c>
      <c r="I831" s="314">
        <v>70</v>
      </c>
      <c r="J831" s="123">
        <f t="shared" si="205"/>
        <v>7.8796178754106014</v>
      </c>
      <c r="K831" s="123">
        <f>MIN(2.3*SQRT($C$783*$C$786*$C$784)/1000+(J831/4),$C$784*$C$786*I831/1000,$C$784*$C$786*I831/1000*(SQRT(2+4*$C$783/($C$784*$C$786*I831^2))-1)+J831/4)</f>
        <v>5.7539958910348616</v>
      </c>
    </row>
    <row r="832" spans="1:24" hidden="1">
      <c r="A832" s="44" t="s">
        <v>32</v>
      </c>
      <c r="B832" s="66">
        <v>1</v>
      </c>
      <c r="C832" s="66">
        <v>8</v>
      </c>
      <c r="D832" s="34">
        <f>80-23</f>
        <v>57</v>
      </c>
      <c r="E832" s="65">
        <f t="shared" si="204"/>
        <v>6.5494418543005892</v>
      </c>
      <c r="F832" s="65">
        <f>MIN(2.3*SQRT($C$783*$C$786*$C$784)/1000+(E832/4),$C$784*$C$786*D832/1000,$C$784*$C$786*D832/1000*(SQRT(2+4*$C$783/($C$784*$C$786*D832^2))-1)+E832/4)</f>
        <v>5.3182617456072272</v>
      </c>
      <c r="G832" s="65" t="e">
        <f>(B832*F832+#REF!*K832)/(B832+#REF!)</f>
        <v>#REF!</v>
      </c>
      <c r="H832" s="386">
        <v>8</v>
      </c>
      <c r="I832" s="314">
        <v>70</v>
      </c>
      <c r="J832" s="123">
        <f t="shared" si="205"/>
        <v>7.8796178754106014</v>
      </c>
      <c r="K832" s="123">
        <f>MIN(2.3*SQRT($C$783*$C$786*$C$784)/1000+(J832/4),$C$784*$C$786*I832/1000,$C$784*$C$786*I832/1000*(SQRT(2+4*$C$783/($C$784*$C$786*I832^2))-1)+J832/4)</f>
        <v>5.7539958910348616</v>
      </c>
    </row>
    <row r="833" spans="1:12" hidden="1">
      <c r="A833" s="14" t="s">
        <v>33</v>
      </c>
      <c r="B833" s="66">
        <v>1</v>
      </c>
      <c r="C833" s="66">
        <v>10</v>
      </c>
      <c r="D833" s="34">
        <f>100-25</f>
        <v>75</v>
      </c>
      <c r="E833" s="65">
        <f t="shared" si="204"/>
        <v>9.3740456535592109</v>
      </c>
      <c r="F833" s="65">
        <f>MIN(2.3*SQRT($B$783*$B$786*$B$784)/1000+(E833/4),$B$784*$B$786*D833/1000,$B$784*$B$786*D833/1000*(SQRT(2+4*$B$783/($B$784*$B$786*D833^2))-1)+E833/4)</f>
        <v>7.7560268644377208</v>
      </c>
      <c r="G833" s="65" t="e">
        <f>(B833*F833+#REF!*K833)/(B833+#REF!)</f>
        <v>#REF!</v>
      </c>
      <c r="H833" s="386">
        <v>10</v>
      </c>
      <c r="I833" s="314">
        <v>90</v>
      </c>
      <c r="J833" s="123">
        <f t="shared" si="205"/>
        <v>11.045622226154116</v>
      </c>
      <c r="K833" s="123">
        <f>MIN(2.3*SQRT($B$783*$B$786*$B$784)/1000+(J833/4),$B$784*$B$786*I833/1000,$B$784*$B$786*I833/1000*(SQRT(2+4*$B$783/($B$784*$B$786*I833^2))-1)+J833/4)</f>
        <v>8.173921007586447</v>
      </c>
    </row>
    <row r="834" spans="1:12" hidden="1">
      <c r="A834" s="44" t="s">
        <v>34</v>
      </c>
      <c r="B834" s="66">
        <v>1</v>
      </c>
      <c r="C834" s="66">
        <v>10</v>
      </c>
      <c r="D834" s="34">
        <f>100-25</f>
        <v>75</v>
      </c>
      <c r="E834" s="65">
        <f t="shared" si="204"/>
        <v>9.3740456535592109</v>
      </c>
      <c r="F834" s="65">
        <f>MIN(2.3*SQRT($B$783*$B$786*$B$784)/1000+(E834/4),$B$784*$B$786*D834/1000,$B$784*$B$786*D834/1000*(SQRT(2+4*$B$783/($B$784*$B$786*D834^2))-1)+E834/4)</f>
        <v>7.7560268644377208</v>
      </c>
      <c r="G834" s="65" t="e">
        <f>(B834*F834+#REF!*K834)/(B834+#REF!)</f>
        <v>#REF!</v>
      </c>
      <c r="H834" s="386">
        <v>10</v>
      </c>
      <c r="I834" s="314">
        <v>90</v>
      </c>
      <c r="J834" s="123">
        <f t="shared" si="205"/>
        <v>11.045622226154116</v>
      </c>
      <c r="K834" s="123">
        <f>MIN(2.3*SQRT($B$783*$B$786*$B$784)/1000+(J834/4),$B$784*$B$786*I834/1000,$B$784*$B$786*I834/1000*(SQRT(2+4*$B$783/($B$784*$B$786*I834^2))-1)+J834/4)</f>
        <v>8.173921007586447</v>
      </c>
    </row>
    <row r="835" spans="1:12" hidden="1">
      <c r="A835" s="44" t="s">
        <v>35</v>
      </c>
      <c r="B835" s="66">
        <v>1</v>
      </c>
      <c r="C835" s="66">
        <v>10</v>
      </c>
      <c r="D835" s="34">
        <f>100-25</f>
        <v>75</v>
      </c>
      <c r="E835" s="65">
        <f t="shared" si="204"/>
        <v>9.3740456535592109</v>
      </c>
      <c r="F835" s="65">
        <f>MIN(2.3*SQRT($B$783*$B$786*$B$784)/1000+(E835/4),$B$784*$B$786*D835/1000,$B$784*$B$786*D835/1000*(SQRT(2+4*$B$783/($B$784*$B$786*D835^2))-1)+E835/4)</f>
        <v>7.7560268644377208</v>
      </c>
      <c r="G835" s="65" t="e">
        <f>(B835*F835+#REF!*K835)/(B835+#REF!)</f>
        <v>#REF!</v>
      </c>
      <c r="H835" s="386">
        <v>10</v>
      </c>
      <c r="I835" s="314">
        <v>90</v>
      </c>
      <c r="J835" s="123">
        <f t="shared" si="205"/>
        <v>11.045622226154116</v>
      </c>
      <c r="K835" s="123">
        <f>MIN(2.3*SQRT($B$783*$B$786*$B$784)/1000+(J835/4),$B$784*$B$786*I835/1000,$B$784*$B$786*I835/1000*(SQRT(2+4*$B$783/($B$784*$B$786*I835^2))-1)+J835/4)</f>
        <v>8.173921007586447</v>
      </c>
    </row>
    <row r="836" spans="1:12" hidden="1">
      <c r="A836" s="14" t="s">
        <v>36</v>
      </c>
      <c r="B836" s="66">
        <v>1</v>
      </c>
      <c r="C836" s="66">
        <v>10</v>
      </c>
      <c r="D836" s="34">
        <f>100-25</f>
        <v>75</v>
      </c>
      <c r="E836" s="65">
        <f t="shared" si="204"/>
        <v>9.3740456535592109</v>
      </c>
      <c r="F836" s="65">
        <f>MIN(2.3*SQRT($B$783*$B$786*$B$784)/1000+(E836/4),$B$784*$B$786*D836/1000,$B$784*$B$786*D836/1000*(SQRT(2+4*$B$783/($B$784*$B$786*D836^2))-1)+E836/4)</f>
        <v>7.7560268644377208</v>
      </c>
      <c r="G836" s="65" t="e">
        <f>(B836*F836+#REF!*K836)/(B836+#REF!)</f>
        <v>#REF!</v>
      </c>
      <c r="H836" s="386">
        <v>10</v>
      </c>
      <c r="I836" s="314">
        <v>90</v>
      </c>
      <c r="J836" s="123">
        <f t="shared" si="205"/>
        <v>11.045622226154116</v>
      </c>
      <c r="K836" s="123">
        <f>MIN(2.3*SQRT($B$783*$B$786*$B$784)/1000+(J836/4),$B$784*$B$786*I836/1000,$B$784*$B$786*I836/1000*(SQRT(2+4*$B$783/($B$784*$B$786*I836^2))-1)+J836/4)</f>
        <v>8.173921007586447</v>
      </c>
    </row>
    <row r="837" spans="1:12" ht="30">
      <c r="A837" s="424" t="s">
        <v>377</v>
      </c>
      <c r="B837" s="66">
        <v>10</v>
      </c>
      <c r="C837" s="66">
        <v>8</v>
      </c>
      <c r="D837" s="34">
        <v>70</v>
      </c>
      <c r="E837" s="65">
        <f t="shared" si="204"/>
        <v>7.8796178754106014</v>
      </c>
      <c r="F837" s="65">
        <f>MIN(2.3*SQRT($C$783*$C$786*$C$784)/1000+(E837/4),$C$784*$C$786*D837/1000,$C$784*$C$786*D837/1000*(SQRT(2+4*$C$783/($C$784*$C$786*D837^2))-1)+E837/4)</f>
        <v>5.7539958910348616</v>
      </c>
      <c r="G837" s="65">
        <f t="shared" ref="G837:G842" si="206">F837</f>
        <v>5.7539958910348616</v>
      </c>
      <c r="H837" s="386"/>
      <c r="I837" s="314"/>
      <c r="J837" s="123"/>
      <c r="K837" s="123"/>
    </row>
    <row r="838" spans="1:12" ht="30">
      <c r="A838" s="342" t="s">
        <v>379</v>
      </c>
      <c r="B838" s="66">
        <v>10</v>
      </c>
      <c r="C838" s="66">
        <v>8</v>
      </c>
      <c r="D838" s="34">
        <v>70</v>
      </c>
      <c r="E838" s="65">
        <f t="shared" si="204"/>
        <v>7.8796178754106014</v>
      </c>
      <c r="F838" s="65">
        <f>MIN(2.3*SQRT($C$783*$C$786*$C$784)/1000+(E838/4),$C$784*$C$786*D838/1000,$C$784*$C$786*D838/1000*(SQRT(2+4*$C$783/($C$784*$C$786*D838^2))-1)+E838/4)</f>
        <v>5.7539958910348616</v>
      </c>
      <c r="G838" s="65">
        <f t="shared" si="206"/>
        <v>5.7539958910348616</v>
      </c>
      <c r="H838" s="386"/>
      <c r="I838" s="314"/>
      <c r="J838" s="123"/>
      <c r="K838" s="123"/>
    </row>
    <row r="839" spans="1:12" ht="30">
      <c r="A839" s="342" t="s">
        <v>380</v>
      </c>
      <c r="B839" s="66">
        <v>16</v>
      </c>
      <c r="C839" s="66">
        <v>8</v>
      </c>
      <c r="D839" s="34">
        <v>70</v>
      </c>
      <c r="E839" s="65">
        <f t="shared" si="204"/>
        <v>7.8796178754106014</v>
      </c>
      <c r="F839" s="65">
        <f>MIN(2.3*SQRT($C$783*$C$786*$C$784)/1000+(E839/4),$C$784*$C$786*D839/1000,$C$784*$C$786*D839/1000*(SQRT(2+4*$C$783/($C$784*$C$786*D839^2))-1)+E839/4)</f>
        <v>5.7539958910348616</v>
      </c>
      <c r="G839" s="65">
        <f t="shared" si="206"/>
        <v>5.7539958910348616</v>
      </c>
      <c r="H839" s="386"/>
      <c r="I839" s="314"/>
      <c r="J839" s="123"/>
      <c r="K839" s="123"/>
    </row>
    <row r="840" spans="1:12" ht="30">
      <c r="A840" s="342" t="s">
        <v>381</v>
      </c>
      <c r="B840" s="66">
        <v>16</v>
      </c>
      <c r="C840" s="66">
        <v>8</v>
      </c>
      <c r="D840" s="34">
        <v>70</v>
      </c>
      <c r="E840" s="65">
        <f t="shared" si="204"/>
        <v>7.8796178754106014</v>
      </c>
      <c r="F840" s="65">
        <f>MIN(2.3*SQRT($C$783*$C$786*$C$784)/1000+(E840/4),$C$784*$C$786*D840/1000,$C$784*$C$786*D840/1000*(SQRT(2+4*$C$783/($C$784*$C$786*D840^2))-1)+E840/4)</f>
        <v>5.7539958910348616</v>
      </c>
      <c r="G840" s="65">
        <f t="shared" si="206"/>
        <v>5.7539958910348616</v>
      </c>
      <c r="H840" s="386"/>
      <c r="I840" s="314"/>
      <c r="J840" s="123"/>
      <c r="K840" s="123"/>
    </row>
    <row r="841" spans="1:12" ht="30">
      <c r="A841" s="342" t="s">
        <v>383</v>
      </c>
      <c r="B841" s="66">
        <v>16</v>
      </c>
      <c r="C841" s="66">
        <v>10</v>
      </c>
      <c r="D841" s="34">
        <v>90</v>
      </c>
      <c r="E841" s="65">
        <f t="shared" si="204"/>
        <v>11.045622226154116</v>
      </c>
      <c r="F841" s="65">
        <f>MIN(2.3*SQRT($B$783*$B$786*$B$784)/1000+(E841/4),$B$784*$B$786*D841/1000,$B$784*$B$786*D841/1000*(SQRT(2+4*$B$783/($B$784*$B$786*D841^2))-1)+E841/4)</f>
        <v>8.173921007586447</v>
      </c>
      <c r="G841" s="65">
        <f t="shared" si="206"/>
        <v>8.173921007586447</v>
      </c>
      <c r="H841" s="386"/>
      <c r="I841" s="314"/>
      <c r="J841" s="123"/>
      <c r="K841" s="123"/>
    </row>
    <row r="842" spans="1:12" ht="30">
      <c r="A842" s="342" t="s">
        <v>382</v>
      </c>
      <c r="B842" s="66">
        <v>25</v>
      </c>
      <c r="C842" s="66">
        <v>10</v>
      </c>
      <c r="D842" s="34">
        <v>90</v>
      </c>
      <c r="E842" s="65">
        <f t="shared" si="204"/>
        <v>11.045622226154116</v>
      </c>
      <c r="F842" s="65">
        <f>MIN(2.3*SQRT($B$783*$B$786*$B$784)/1000+(E842/4),$B$784*$B$786*D842/1000,$B$784*$B$786*D842/1000*(SQRT(2+4*$B$783/($B$784*$B$786*D842^2))-1)+E842/4)</f>
        <v>8.173921007586447</v>
      </c>
      <c r="G842" s="65">
        <f t="shared" si="206"/>
        <v>8.173921007586447</v>
      </c>
      <c r="H842" s="386"/>
      <c r="I842" s="314"/>
      <c r="J842" s="123"/>
      <c r="K842" s="123"/>
    </row>
    <row r="843" spans="1:12">
      <c r="L843" s="187"/>
    </row>
    <row r="845" spans="1:12" ht="18">
      <c r="A845" s="4" t="s">
        <v>2</v>
      </c>
      <c r="B845" s="5" t="s">
        <v>185</v>
      </c>
      <c r="C845" s="5" t="s">
        <v>232</v>
      </c>
      <c r="D845" s="5" t="s">
        <v>154</v>
      </c>
      <c r="E845" s="5" t="s">
        <v>159</v>
      </c>
      <c r="F845" s="5" t="s">
        <v>179</v>
      </c>
      <c r="G845" s="5" t="s">
        <v>233</v>
      </c>
      <c r="H845" s="5" t="s">
        <v>161</v>
      </c>
      <c r="I845" s="5" t="s">
        <v>189</v>
      </c>
    </row>
    <row r="846" spans="1:12">
      <c r="A846" s="8"/>
      <c r="B846" s="62" t="s">
        <v>17</v>
      </c>
      <c r="C846" s="62" t="s">
        <v>17</v>
      </c>
      <c r="D846" s="9" t="s">
        <v>19</v>
      </c>
      <c r="E846" s="9" t="s">
        <v>78</v>
      </c>
      <c r="F846" s="9" t="s">
        <v>78</v>
      </c>
      <c r="G846" s="9" t="s">
        <v>78</v>
      </c>
      <c r="H846" s="9" t="s">
        <v>18</v>
      </c>
      <c r="I846" s="9" t="s">
        <v>17</v>
      </c>
    </row>
    <row r="847" spans="1:12" hidden="1">
      <c r="A847" s="14" t="s">
        <v>29</v>
      </c>
      <c r="B847" s="34" t="e">
        <f t="shared" ref="B847:B860" si="207">G829</f>
        <v>#REF!</v>
      </c>
      <c r="C847" s="34" t="e">
        <f>(B829*E829+#REF!*J829)/(B829+#REF!)</f>
        <v>#REF!</v>
      </c>
      <c r="D847" s="66">
        <v>7</v>
      </c>
      <c r="E847" s="66">
        <v>247</v>
      </c>
      <c r="F847" s="183">
        <v>529</v>
      </c>
      <c r="G847" s="106">
        <v>5.9</v>
      </c>
      <c r="H847" s="152">
        <f>F811</f>
        <v>0</v>
      </c>
      <c r="I847" s="34" t="e">
        <f t="shared" ref="I847:I860" si="208">B847/(SQRT((1/D847+H847/E847)^2+(H847/F847)^2+(B847/(G847*C847))^2))</f>
        <v>#REF!</v>
      </c>
    </row>
    <row r="848" spans="1:12" hidden="1">
      <c r="A848" s="44" t="s">
        <v>30</v>
      </c>
      <c r="B848" s="34" t="e">
        <f t="shared" si="207"/>
        <v>#REF!</v>
      </c>
      <c r="C848" s="34" t="e">
        <f>(B830*E830+#REF!*J830)/(B830+#REF!)</f>
        <v>#REF!</v>
      </c>
      <c r="D848" s="66">
        <v>8</v>
      </c>
      <c r="E848" s="66">
        <v>312</v>
      </c>
      <c r="F848" s="183">
        <v>904</v>
      </c>
      <c r="G848" s="106">
        <v>6.48</v>
      </c>
      <c r="H848" s="152">
        <f t="shared" ref="H848:H860" si="209">H847</f>
        <v>0</v>
      </c>
      <c r="I848" s="34" t="e">
        <f t="shared" si="208"/>
        <v>#REF!</v>
      </c>
    </row>
    <row r="849" spans="1:40" hidden="1">
      <c r="A849" s="14" t="s">
        <v>31</v>
      </c>
      <c r="B849" s="34" t="e">
        <f t="shared" si="207"/>
        <v>#REF!</v>
      </c>
      <c r="C849" s="34" t="e">
        <f>(B831*E831+#REF!*J831)/(B831+#REF!)</f>
        <v>#REF!</v>
      </c>
      <c r="D849" s="66">
        <v>8</v>
      </c>
      <c r="E849" s="66">
        <v>318</v>
      </c>
      <c r="F849" s="183">
        <v>868</v>
      </c>
      <c r="G849" s="106">
        <v>6.48</v>
      </c>
      <c r="H849" s="152">
        <f t="shared" si="209"/>
        <v>0</v>
      </c>
      <c r="I849" s="34" t="e">
        <f t="shared" si="208"/>
        <v>#REF!</v>
      </c>
    </row>
    <row r="850" spans="1:40" hidden="1">
      <c r="A850" s="44" t="s">
        <v>32</v>
      </c>
      <c r="B850" s="34" t="e">
        <f t="shared" si="207"/>
        <v>#REF!</v>
      </c>
      <c r="C850" s="34" t="e">
        <f>(B832*E832+#REF!*J832)/(B832+#REF!)</f>
        <v>#REF!</v>
      </c>
      <c r="D850" s="66">
        <v>8</v>
      </c>
      <c r="E850" s="66">
        <v>378</v>
      </c>
      <c r="F850" s="183">
        <v>1354</v>
      </c>
      <c r="G850" s="106">
        <v>6.48</v>
      </c>
      <c r="H850" s="152">
        <f t="shared" si="209"/>
        <v>0</v>
      </c>
      <c r="I850" s="34" t="e">
        <f t="shared" si="208"/>
        <v>#REF!</v>
      </c>
    </row>
    <row r="851" spans="1:40" hidden="1">
      <c r="A851" s="14" t="s">
        <v>33</v>
      </c>
      <c r="B851" s="34" t="e">
        <f t="shared" si="207"/>
        <v>#REF!</v>
      </c>
      <c r="C851" s="34" t="e">
        <f>(B833*E833+#REF!*J833)/(B833+#REF!)</f>
        <v>#REF!</v>
      </c>
      <c r="D851" s="66">
        <v>8</v>
      </c>
      <c r="E851" s="66">
        <v>360</v>
      </c>
      <c r="F851" s="183">
        <v>720</v>
      </c>
      <c r="G851" s="106">
        <v>8.67</v>
      </c>
      <c r="H851" s="152">
        <f t="shared" si="209"/>
        <v>0</v>
      </c>
      <c r="I851" s="34" t="e">
        <f t="shared" si="208"/>
        <v>#REF!</v>
      </c>
    </row>
    <row r="852" spans="1:40" hidden="1">
      <c r="A852" s="44" t="s">
        <v>34</v>
      </c>
      <c r="B852" s="34" t="e">
        <f t="shared" si="207"/>
        <v>#REF!</v>
      </c>
      <c r="C852" s="34" t="e">
        <f>(B834*E834+#REF!*J834)/(B834+#REF!)</f>
        <v>#REF!</v>
      </c>
      <c r="D852" s="66">
        <v>8</v>
      </c>
      <c r="E852" s="66">
        <v>410</v>
      </c>
      <c r="F852" s="183">
        <v>1076</v>
      </c>
      <c r="G852" s="106">
        <v>8.67</v>
      </c>
      <c r="H852" s="152">
        <f t="shared" si="209"/>
        <v>0</v>
      </c>
      <c r="I852" s="34" t="e">
        <f t="shared" si="208"/>
        <v>#REF!</v>
      </c>
      <c r="AE852" s="24"/>
      <c r="AF852" s="24"/>
      <c r="AG852" s="24"/>
      <c r="AH852" s="24"/>
      <c r="AI852" s="24"/>
      <c r="AJ852" s="24"/>
      <c r="AK852" s="24"/>
      <c r="AL852" s="24"/>
      <c r="AM852" s="24"/>
    </row>
    <row r="853" spans="1:40" hidden="1">
      <c r="A853" s="44" t="s">
        <v>35</v>
      </c>
      <c r="B853" s="34" t="e">
        <f t="shared" si="207"/>
        <v>#REF!</v>
      </c>
      <c r="C853" s="34" t="e">
        <f>(B835*E835+#REF!*J835)/(B835+#REF!)</f>
        <v>#REF!</v>
      </c>
      <c r="D853" s="66">
        <v>8</v>
      </c>
      <c r="E853" s="66">
        <v>480</v>
      </c>
      <c r="F853" s="183">
        <v>1440</v>
      </c>
      <c r="G853" s="106">
        <v>9.52</v>
      </c>
      <c r="H853" s="152">
        <f t="shared" si="209"/>
        <v>0</v>
      </c>
      <c r="I853" s="34" t="e">
        <f t="shared" si="208"/>
        <v>#REF!</v>
      </c>
      <c r="AE853" s="24"/>
      <c r="AF853" s="24"/>
      <c r="AG853" s="24"/>
      <c r="AH853" s="24"/>
      <c r="AI853" s="24"/>
      <c r="AJ853" s="24"/>
      <c r="AK853" s="24"/>
      <c r="AL853" s="24"/>
      <c r="AM853" s="24"/>
    </row>
    <row r="854" spans="1:40" hidden="1">
      <c r="A854" s="14" t="s">
        <v>36</v>
      </c>
      <c r="B854" s="34" t="e">
        <f t="shared" si="207"/>
        <v>#REF!</v>
      </c>
      <c r="C854" s="34" t="e">
        <f>(B836*E836+#REF!*J836)/(B836+#REF!)</f>
        <v>#REF!</v>
      </c>
      <c r="D854" s="66">
        <v>8</v>
      </c>
      <c r="E854" s="66">
        <v>566</v>
      </c>
      <c r="F854" s="183">
        <v>1980</v>
      </c>
      <c r="G854" s="106">
        <v>9.52</v>
      </c>
      <c r="H854" s="152">
        <f t="shared" si="209"/>
        <v>0</v>
      </c>
      <c r="I854" s="34" t="e">
        <f t="shared" si="208"/>
        <v>#REF!</v>
      </c>
      <c r="AE854" s="24"/>
      <c r="AF854" s="24"/>
      <c r="AG854" s="24"/>
      <c r="AH854" s="24"/>
      <c r="AI854" s="24"/>
      <c r="AJ854" s="24"/>
      <c r="AK854" s="24"/>
      <c r="AL854" s="24"/>
      <c r="AM854" s="24"/>
    </row>
    <row r="855" spans="1:40" ht="30">
      <c r="A855" s="424" t="s">
        <v>377</v>
      </c>
      <c r="B855" s="34">
        <f t="shared" si="207"/>
        <v>5.7539958910348616</v>
      </c>
      <c r="C855" s="34">
        <f t="shared" ref="C855:C860" si="210">(B837*E837)</f>
        <v>78.796178754106009</v>
      </c>
      <c r="D855" s="66">
        <v>10</v>
      </c>
      <c r="E855" s="66">
        <v>313</v>
      </c>
      <c r="F855" s="183">
        <v>683</v>
      </c>
      <c r="G855" s="106">
        <v>8.25</v>
      </c>
      <c r="H855" s="152">
        <f t="shared" si="209"/>
        <v>0</v>
      </c>
      <c r="I855" s="34">
        <f t="shared" si="208"/>
        <v>57.3158714071267</v>
      </c>
      <c r="AE855" s="24"/>
      <c r="AF855" s="24"/>
      <c r="AG855" s="24"/>
      <c r="AH855" s="24"/>
      <c r="AI855" s="24"/>
      <c r="AJ855" s="24"/>
      <c r="AK855" s="24"/>
      <c r="AL855" s="24"/>
      <c r="AM855" s="24"/>
    </row>
    <row r="856" spans="1:40" ht="30">
      <c r="A856" s="342" t="s">
        <v>379</v>
      </c>
      <c r="B856" s="34">
        <f t="shared" si="207"/>
        <v>5.7539958910348616</v>
      </c>
      <c r="C856" s="34">
        <f t="shared" si="210"/>
        <v>78.796178754106009</v>
      </c>
      <c r="D856" s="66">
        <v>10</v>
      </c>
      <c r="E856" s="66">
        <v>313</v>
      </c>
      <c r="F856" s="183">
        <v>683</v>
      </c>
      <c r="G856" s="106">
        <v>8.25</v>
      </c>
      <c r="H856" s="152">
        <f t="shared" si="209"/>
        <v>0</v>
      </c>
      <c r="I856" s="34">
        <f t="shared" si="208"/>
        <v>57.3158714071267</v>
      </c>
      <c r="AE856" s="24"/>
      <c r="AF856" s="24"/>
      <c r="AG856" s="24"/>
      <c r="AH856" s="24"/>
      <c r="AI856" s="24"/>
      <c r="AJ856" s="24"/>
      <c r="AK856" s="24"/>
      <c r="AL856" s="24"/>
      <c r="AM856" s="24"/>
    </row>
    <row r="857" spans="1:40" ht="30">
      <c r="A857" s="342" t="s">
        <v>380</v>
      </c>
      <c r="B857" s="34">
        <f t="shared" si="207"/>
        <v>5.7539958910348616</v>
      </c>
      <c r="C857" s="34">
        <f t="shared" si="210"/>
        <v>126.07388600656962</v>
      </c>
      <c r="D857" s="66">
        <v>16</v>
      </c>
      <c r="E857" s="66">
        <v>590</v>
      </c>
      <c r="F857" s="183">
        <v>2061</v>
      </c>
      <c r="G857" s="106">
        <v>13</v>
      </c>
      <c r="H857" s="152">
        <f t="shared" si="209"/>
        <v>0</v>
      </c>
      <c r="I857" s="34">
        <f t="shared" si="208"/>
        <v>91.919031934834024</v>
      </c>
      <c r="AE857" s="24"/>
      <c r="AF857" s="24"/>
      <c r="AG857" s="24"/>
      <c r="AH857" s="24"/>
      <c r="AI857" s="24"/>
      <c r="AJ857" s="24"/>
      <c r="AK857" s="24"/>
      <c r="AL857" s="24"/>
      <c r="AM857" s="24"/>
    </row>
    <row r="858" spans="1:40" ht="30">
      <c r="A858" s="342" t="s">
        <v>381</v>
      </c>
      <c r="B858" s="34">
        <f t="shared" si="207"/>
        <v>5.7539958910348616</v>
      </c>
      <c r="C858" s="34">
        <f t="shared" si="210"/>
        <v>126.07388600656962</v>
      </c>
      <c r="D858" s="66">
        <v>16</v>
      </c>
      <c r="E858" s="66">
        <v>590</v>
      </c>
      <c r="F858" s="183">
        <v>2061</v>
      </c>
      <c r="G858" s="106">
        <v>13</v>
      </c>
      <c r="H858" s="152">
        <f t="shared" si="209"/>
        <v>0</v>
      </c>
      <c r="I858" s="34">
        <f t="shared" si="208"/>
        <v>91.919031934834024</v>
      </c>
      <c r="AE858" s="24"/>
      <c r="AF858" s="24"/>
      <c r="AG858" s="24"/>
      <c r="AH858" s="24"/>
      <c r="AI858" s="24"/>
      <c r="AJ858" s="24"/>
      <c r="AK858" s="24"/>
      <c r="AL858" s="24"/>
      <c r="AM858" s="24"/>
    </row>
    <row r="859" spans="1:40" ht="30">
      <c r="A859" s="342" t="s">
        <v>383</v>
      </c>
      <c r="B859" s="34">
        <f t="shared" si="207"/>
        <v>8.173921007586447</v>
      </c>
      <c r="C859" s="34">
        <f t="shared" si="210"/>
        <v>176.72995561846585</v>
      </c>
      <c r="D859" s="66">
        <v>16</v>
      </c>
      <c r="E859" s="66">
        <v>665</v>
      </c>
      <c r="F859" s="183">
        <v>1678</v>
      </c>
      <c r="G859" s="106">
        <v>17.3</v>
      </c>
      <c r="H859" s="152">
        <f t="shared" si="209"/>
        <v>0</v>
      </c>
      <c r="I859" s="34">
        <f t="shared" si="208"/>
        <v>130.66325116354344</v>
      </c>
      <c r="AE859" s="24"/>
      <c r="AF859" s="24"/>
      <c r="AG859" s="24"/>
      <c r="AH859" s="24"/>
      <c r="AI859" s="24"/>
      <c r="AJ859" s="24"/>
      <c r="AK859" s="24"/>
      <c r="AL859" s="24"/>
      <c r="AM859" s="24"/>
    </row>
    <row r="860" spans="1:40" ht="30">
      <c r="A860" s="342" t="s">
        <v>382</v>
      </c>
      <c r="B860" s="34">
        <f t="shared" si="207"/>
        <v>8.173921007586447</v>
      </c>
      <c r="C860" s="34">
        <f t="shared" si="210"/>
        <v>276.14055565385291</v>
      </c>
      <c r="D860" s="66">
        <v>25</v>
      </c>
      <c r="E860" s="66">
        <v>1284</v>
      </c>
      <c r="F860" s="183">
        <v>5189</v>
      </c>
      <c r="G860" s="106">
        <v>26.8</v>
      </c>
      <c r="H860" s="152">
        <f t="shared" si="209"/>
        <v>0</v>
      </c>
      <c r="I860" s="34">
        <f t="shared" si="208"/>
        <v>204.27016721470059</v>
      </c>
      <c r="AE860" s="24"/>
      <c r="AF860" s="24"/>
      <c r="AG860" s="24"/>
      <c r="AH860" s="24"/>
      <c r="AI860" s="24"/>
      <c r="AJ860" s="24"/>
      <c r="AK860" s="24"/>
      <c r="AL860" s="24"/>
      <c r="AM860" s="24"/>
    </row>
    <row r="861" spans="1:40">
      <c r="AE861" s="24"/>
      <c r="AF861" s="24"/>
      <c r="AG861" s="24"/>
      <c r="AH861" s="24"/>
      <c r="AI861" s="24"/>
      <c r="AJ861" s="24"/>
      <c r="AK861" s="24"/>
      <c r="AL861" s="24"/>
      <c r="AM861" s="24"/>
    </row>
    <row r="862" spans="1:40">
      <c r="A862" s="3"/>
      <c r="B862" s="77"/>
      <c r="F862" s="3"/>
      <c r="AE862" s="24"/>
      <c r="AF862" s="24"/>
      <c r="AG862" s="24"/>
      <c r="AH862" s="24"/>
      <c r="AI862" s="24"/>
      <c r="AJ862" s="24"/>
      <c r="AK862" s="24"/>
      <c r="AL862" s="24"/>
      <c r="AM862" s="24"/>
    </row>
    <row r="863" spans="1:40" ht="18">
      <c r="A863" s="4" t="s">
        <v>2</v>
      </c>
      <c r="B863" s="78" t="s">
        <v>163</v>
      </c>
      <c r="C863" s="78" t="s">
        <v>164</v>
      </c>
      <c r="D863" s="78" t="s">
        <v>234</v>
      </c>
      <c r="E863" s="79" t="s">
        <v>235</v>
      </c>
      <c r="F863" s="80"/>
      <c r="O863" s="4" t="s">
        <v>2</v>
      </c>
      <c r="P863" s="710" t="s">
        <v>166</v>
      </c>
      <c r="Q863" s="711"/>
      <c r="R863" s="711"/>
      <c r="S863" s="711"/>
      <c r="T863" s="712"/>
      <c r="V863" s="2" t="s">
        <v>236</v>
      </c>
      <c r="W863" s="2">
        <v>350</v>
      </c>
      <c r="X863" s="2">
        <v>380</v>
      </c>
      <c r="Y863" s="2">
        <v>410</v>
      </c>
      <c r="Z863" s="2">
        <v>430</v>
      </c>
      <c r="AA863" s="2">
        <v>450</v>
      </c>
      <c r="AB863" s="2">
        <v>400</v>
      </c>
      <c r="AC863" s="2"/>
      <c r="AE863" s="188"/>
      <c r="AF863" s="188" t="s">
        <v>237</v>
      </c>
      <c r="AG863" s="188">
        <v>350</v>
      </c>
      <c r="AH863" s="188">
        <v>380</v>
      </c>
      <c r="AI863" s="188">
        <v>410</v>
      </c>
      <c r="AJ863" s="188">
        <v>430</v>
      </c>
      <c r="AK863" s="188">
        <v>450</v>
      </c>
      <c r="AL863" s="188">
        <v>400</v>
      </c>
      <c r="AM863" s="188"/>
    </row>
    <row r="864" spans="1:40">
      <c r="A864" s="8"/>
      <c r="B864" s="81" t="s">
        <v>17</v>
      </c>
      <c r="C864" s="82" t="s">
        <v>17</v>
      </c>
      <c r="D864" s="82" t="s">
        <v>17</v>
      </c>
      <c r="E864" s="83" t="s">
        <v>17</v>
      </c>
      <c r="F864" s="84"/>
      <c r="O864" s="8"/>
      <c r="P864" s="95">
        <v>0.6</v>
      </c>
      <c r="Q864" s="95">
        <v>0.7</v>
      </c>
      <c r="R864" s="95">
        <v>0.8</v>
      </c>
      <c r="S864" s="95">
        <v>0.9</v>
      </c>
      <c r="T864" s="95">
        <v>1</v>
      </c>
      <c r="V864" s="189">
        <v>10</v>
      </c>
      <c r="W864" s="190">
        <v>24</v>
      </c>
      <c r="X864" s="2">
        <v>25.3</v>
      </c>
      <c r="Y864" s="2">
        <v>26.7</v>
      </c>
      <c r="Z864" s="2">
        <v>27.6</v>
      </c>
      <c r="AA864" s="2">
        <v>28.4</v>
      </c>
      <c r="AB864" s="2">
        <v>26.3</v>
      </c>
      <c r="AC864" t="str">
        <f t="shared" ref="AC864:AC870" si="211">IF(MAX(W864:AB864)/1.3&gt;U$866,"Verbinder","")</f>
        <v/>
      </c>
      <c r="AE864" s="105"/>
      <c r="AF864" s="191">
        <v>10</v>
      </c>
      <c r="AG864" s="105">
        <v>33.9</v>
      </c>
      <c r="AH864" s="188"/>
      <c r="AI864" s="188"/>
      <c r="AJ864" s="188"/>
      <c r="AK864" s="188">
        <v>40</v>
      </c>
      <c r="AL864" s="188"/>
      <c r="AM864" s="24" t="str">
        <f t="shared" ref="AM864:AM870" si="212">IF(MAX(AG864:AL864)/1.3&gt;AE$866,"Verbinder","")</f>
        <v/>
      </c>
      <c r="AN864" t="str">
        <f>IF(OR(AG864&lt;W864,AK864&lt;AA864),"ACHTUNG","")</f>
        <v/>
      </c>
    </row>
    <row r="865" spans="1:40" hidden="1">
      <c r="A865" s="14" t="s">
        <v>29</v>
      </c>
      <c r="B865" s="16" t="e">
        <f t="shared" ref="B865:B878" si="213">G811</f>
        <v>#REF!</v>
      </c>
      <c r="C865" s="16">
        <v>34</v>
      </c>
      <c r="D865" s="16" t="e">
        <f t="shared" ref="D865:D878" si="214">I847</f>
        <v>#REF!</v>
      </c>
      <c r="E865" s="192" t="e">
        <f>MIN(B865,D865)</f>
        <v>#REF!</v>
      </c>
      <c r="F865" s="97"/>
      <c r="J865" s="103"/>
      <c r="O865" s="14" t="s">
        <v>29</v>
      </c>
      <c r="P865" s="88" t="e">
        <f t="shared" ref="P865:T878" si="215">MIN(P$864*$B865/1.3,$C865/1,P$864*$D865/1.3)</f>
        <v>#REF!</v>
      </c>
      <c r="Q865" s="88" t="e">
        <f t="shared" si="215"/>
        <v>#REF!</v>
      </c>
      <c r="R865" s="88" t="e">
        <f t="shared" si="215"/>
        <v>#REF!</v>
      </c>
      <c r="S865" s="88" t="e">
        <f t="shared" si="215"/>
        <v>#REF!</v>
      </c>
      <c r="T865" s="88" t="e">
        <f t="shared" si="215"/>
        <v>#REF!</v>
      </c>
      <c r="U865" s="2">
        <v>3</v>
      </c>
      <c r="V865" s="2">
        <v>20</v>
      </c>
      <c r="W865" s="2">
        <v>20.6</v>
      </c>
      <c r="X865" s="2">
        <v>21.8</v>
      </c>
      <c r="Y865" s="2">
        <v>22.9</v>
      </c>
      <c r="Z865" s="2">
        <v>23.7</v>
      </c>
      <c r="AA865" s="2">
        <v>24.4</v>
      </c>
      <c r="AB865" s="2">
        <v>22.6</v>
      </c>
      <c r="AC865" t="str">
        <f t="shared" si="211"/>
        <v/>
      </c>
      <c r="AE865" s="188"/>
      <c r="AF865" s="188">
        <v>20</v>
      </c>
      <c r="AG865" s="188">
        <v>28.7</v>
      </c>
      <c r="AH865" s="188"/>
      <c r="AI865" s="188"/>
      <c r="AJ865" s="188"/>
      <c r="AK865" s="188">
        <v>33.799999999999997</v>
      </c>
      <c r="AL865" s="188"/>
      <c r="AM865" s="24" t="str">
        <f t="shared" si="212"/>
        <v/>
      </c>
      <c r="AN865" t="str">
        <f t="shared" ref="AN865:AN913" si="216">IF(OR(AG865&lt;W865,AK865&lt;AA865),"ACHTUNG","")</f>
        <v/>
      </c>
    </row>
    <row r="866" spans="1:40" hidden="1">
      <c r="A866" s="44" t="s">
        <v>30</v>
      </c>
      <c r="B866" s="16" t="e">
        <f t="shared" si="213"/>
        <v>#REF!</v>
      </c>
      <c r="C866" s="16">
        <v>34</v>
      </c>
      <c r="D866" s="16" t="e">
        <f t="shared" si="214"/>
        <v>#REF!</v>
      </c>
      <c r="E866" s="192" t="e">
        <f t="shared" ref="E866:E878" si="217">MIN(B866,D866)</f>
        <v>#REF!</v>
      </c>
      <c r="F866" s="97"/>
      <c r="J866" s="103"/>
      <c r="O866" s="44" t="s">
        <v>30</v>
      </c>
      <c r="P866" s="88" t="e">
        <f t="shared" si="215"/>
        <v>#REF!</v>
      </c>
      <c r="Q866" s="88" t="e">
        <f t="shared" si="215"/>
        <v>#REF!</v>
      </c>
      <c r="R866" s="88" t="e">
        <f t="shared" si="215"/>
        <v>#REF!</v>
      </c>
      <c r="S866" s="88" t="e">
        <f t="shared" si="215"/>
        <v>#REF!</v>
      </c>
      <c r="T866" s="88" t="e">
        <f t="shared" si="215"/>
        <v>#REF!</v>
      </c>
      <c r="U866" s="2">
        <v>34</v>
      </c>
      <c r="V866" s="2">
        <v>30</v>
      </c>
      <c r="W866" s="189">
        <v>18</v>
      </c>
      <c r="X866" s="189">
        <v>19</v>
      </c>
      <c r="Y866" s="2">
        <v>19.899999999999999</v>
      </c>
      <c r="Z866" s="2">
        <v>20.6</v>
      </c>
      <c r="AA866" s="2">
        <v>21.2</v>
      </c>
      <c r="AB866" s="2">
        <v>19.600000000000001</v>
      </c>
      <c r="AC866" t="str">
        <f t="shared" si="211"/>
        <v/>
      </c>
      <c r="AE866" s="188">
        <v>34</v>
      </c>
      <c r="AF866" s="188">
        <v>30</v>
      </c>
      <c r="AG866" s="188">
        <v>24.7</v>
      </c>
      <c r="AH866" s="188"/>
      <c r="AI866" s="188"/>
      <c r="AJ866" s="188"/>
      <c r="AK866" s="188">
        <v>29</v>
      </c>
      <c r="AL866" s="188"/>
      <c r="AM866" s="24" t="str">
        <f t="shared" si="212"/>
        <v/>
      </c>
      <c r="AN866" t="str">
        <f t="shared" si="216"/>
        <v/>
      </c>
    </row>
    <row r="867" spans="1:40" hidden="1">
      <c r="A867" s="14" t="s">
        <v>31</v>
      </c>
      <c r="B867" s="16" t="e">
        <f t="shared" si="213"/>
        <v>#REF!</v>
      </c>
      <c r="C867" s="16">
        <v>34</v>
      </c>
      <c r="D867" s="16" t="e">
        <f t="shared" si="214"/>
        <v>#REF!</v>
      </c>
      <c r="E867" s="192" t="e">
        <f t="shared" si="217"/>
        <v>#REF!</v>
      </c>
      <c r="F867" s="97"/>
      <c r="J867" s="103"/>
      <c r="O867" s="14" t="s">
        <v>31</v>
      </c>
      <c r="P867" s="88" t="e">
        <f t="shared" si="215"/>
        <v>#REF!</v>
      </c>
      <c r="Q867" s="88" t="e">
        <f t="shared" si="215"/>
        <v>#REF!</v>
      </c>
      <c r="R867" s="88" t="e">
        <f t="shared" si="215"/>
        <v>#REF!</v>
      </c>
      <c r="S867" s="88" t="e">
        <f t="shared" si="215"/>
        <v>#REF!</v>
      </c>
      <c r="T867" s="88" t="e">
        <f t="shared" si="215"/>
        <v>#REF!</v>
      </c>
      <c r="U867" s="189">
        <f>N865</f>
        <v>0</v>
      </c>
      <c r="V867" s="2">
        <v>40</v>
      </c>
      <c r="W867" s="2">
        <v>15.8</v>
      </c>
      <c r="X867" s="2">
        <v>16.7</v>
      </c>
      <c r="Y867" s="2">
        <v>17.600000000000001</v>
      </c>
      <c r="Z867" s="2">
        <v>18.100000000000001</v>
      </c>
      <c r="AA867" s="2">
        <v>18.600000000000001</v>
      </c>
      <c r="AB867" s="2">
        <v>17.3</v>
      </c>
      <c r="AC867" t="str">
        <f t="shared" si="211"/>
        <v/>
      </c>
      <c r="AE867" s="191">
        <f>N873</f>
        <v>0</v>
      </c>
      <c r="AF867" s="188">
        <v>40</v>
      </c>
      <c r="AG867" s="188">
        <v>21.6</v>
      </c>
      <c r="AH867" s="188"/>
      <c r="AI867" s="188"/>
      <c r="AJ867" s="188"/>
      <c r="AK867" s="188">
        <v>25.3</v>
      </c>
      <c r="AL867" s="188"/>
      <c r="AM867" s="24" t="str">
        <f t="shared" si="212"/>
        <v/>
      </c>
      <c r="AN867" t="str">
        <f t="shared" si="216"/>
        <v/>
      </c>
    </row>
    <row r="868" spans="1:40" hidden="1">
      <c r="A868" s="44" t="s">
        <v>32</v>
      </c>
      <c r="B868" s="16" t="e">
        <f t="shared" si="213"/>
        <v>#REF!</v>
      </c>
      <c r="C868" s="16">
        <v>34</v>
      </c>
      <c r="D868" s="16" t="e">
        <f t="shared" si="214"/>
        <v>#REF!</v>
      </c>
      <c r="E868" s="192" t="e">
        <f t="shared" si="217"/>
        <v>#REF!</v>
      </c>
      <c r="F868" s="97"/>
      <c r="J868" s="103"/>
      <c r="O868" s="44" t="s">
        <v>32</v>
      </c>
      <c r="P868" s="88" t="e">
        <f t="shared" si="215"/>
        <v>#REF!</v>
      </c>
      <c r="Q868" s="88" t="e">
        <f t="shared" si="215"/>
        <v>#REF!</v>
      </c>
      <c r="R868" s="88" t="e">
        <f t="shared" si="215"/>
        <v>#REF!</v>
      </c>
      <c r="S868" s="88" t="e">
        <f t="shared" si="215"/>
        <v>#REF!</v>
      </c>
      <c r="T868" s="88" t="e">
        <f t="shared" si="215"/>
        <v>#REF!</v>
      </c>
      <c r="U868" s="2"/>
      <c r="V868" s="2">
        <v>50</v>
      </c>
      <c r="W868" s="2">
        <v>14.1</v>
      </c>
      <c r="X868" s="2">
        <v>14.9</v>
      </c>
      <c r="Y868" s="2">
        <v>15.7</v>
      </c>
      <c r="Z868" s="2">
        <v>16.100000000000001</v>
      </c>
      <c r="AA868" s="2">
        <v>16.600000000000001</v>
      </c>
      <c r="AB868" s="2">
        <v>15.4</v>
      </c>
      <c r="AC868" t="str">
        <f t="shared" si="211"/>
        <v/>
      </c>
      <c r="AE868" s="188"/>
      <c r="AF868" s="188">
        <v>50</v>
      </c>
      <c r="AG868" s="188">
        <v>19.100000000000001</v>
      </c>
      <c r="AH868" s="188"/>
      <c r="AI868" s="188"/>
      <c r="AJ868" s="188"/>
      <c r="AK868" s="188">
        <v>22.3</v>
      </c>
      <c r="AL868" s="188"/>
      <c r="AM868" s="24" t="str">
        <f t="shared" si="212"/>
        <v/>
      </c>
      <c r="AN868" t="str">
        <f t="shared" si="216"/>
        <v/>
      </c>
    </row>
    <row r="869" spans="1:40" hidden="1">
      <c r="A869" s="14" t="s">
        <v>33</v>
      </c>
      <c r="B869" s="16" t="e">
        <f t="shared" si="213"/>
        <v>#REF!</v>
      </c>
      <c r="C869" s="16">
        <v>50</v>
      </c>
      <c r="D869" s="16" t="e">
        <f t="shared" si="214"/>
        <v>#REF!</v>
      </c>
      <c r="E869" s="192" t="e">
        <f t="shared" si="217"/>
        <v>#REF!</v>
      </c>
      <c r="F869" s="97"/>
      <c r="J869" s="103"/>
      <c r="O869" s="14" t="s">
        <v>33</v>
      </c>
      <c r="P869" s="193" t="e">
        <f t="shared" si="215"/>
        <v>#REF!</v>
      </c>
      <c r="Q869" s="193" t="e">
        <f t="shared" si="215"/>
        <v>#REF!</v>
      </c>
      <c r="R869" s="193" t="e">
        <f t="shared" si="215"/>
        <v>#REF!</v>
      </c>
      <c r="S869" s="193" t="e">
        <f t="shared" si="215"/>
        <v>#REF!</v>
      </c>
      <c r="T869" s="193" t="e">
        <f t="shared" si="215"/>
        <v>#REF!</v>
      </c>
      <c r="U869" s="2"/>
      <c r="V869" s="2">
        <v>60</v>
      </c>
      <c r="W869" s="2">
        <v>12.7</v>
      </c>
      <c r="X869" s="2">
        <v>13.4</v>
      </c>
      <c r="Y869" s="2">
        <v>14.1</v>
      </c>
      <c r="Z869" s="2">
        <v>14.5</v>
      </c>
      <c r="AA869" s="2">
        <v>14.9</v>
      </c>
      <c r="AB869" s="2">
        <v>13.9</v>
      </c>
      <c r="AC869" t="str">
        <f t="shared" si="211"/>
        <v/>
      </c>
      <c r="AE869" s="188"/>
      <c r="AF869" s="188">
        <v>60</v>
      </c>
      <c r="AG869" s="188">
        <v>17.100000000000001</v>
      </c>
      <c r="AH869" s="188"/>
      <c r="AI869" s="188"/>
      <c r="AJ869" s="188"/>
      <c r="AK869" s="188">
        <v>20</v>
      </c>
      <c r="AL869" s="188"/>
      <c r="AM869" s="24" t="str">
        <f t="shared" si="212"/>
        <v/>
      </c>
      <c r="AN869" t="str">
        <f t="shared" si="216"/>
        <v/>
      </c>
    </row>
    <row r="870" spans="1:40" hidden="1">
      <c r="A870" s="44" t="s">
        <v>34</v>
      </c>
      <c r="B870" s="16" t="e">
        <f t="shared" si="213"/>
        <v>#REF!</v>
      </c>
      <c r="C870" s="16">
        <v>50</v>
      </c>
      <c r="D870" s="16" t="e">
        <f t="shared" si="214"/>
        <v>#REF!</v>
      </c>
      <c r="E870" s="192" t="e">
        <f t="shared" si="217"/>
        <v>#REF!</v>
      </c>
      <c r="F870" s="97"/>
      <c r="J870" s="103"/>
      <c r="O870" s="44" t="s">
        <v>34</v>
      </c>
      <c r="P870" s="193" t="e">
        <f t="shared" si="215"/>
        <v>#REF!</v>
      </c>
      <c r="Q870" s="193" t="e">
        <f t="shared" si="215"/>
        <v>#REF!</v>
      </c>
      <c r="R870" s="193" t="e">
        <f t="shared" si="215"/>
        <v>#REF!</v>
      </c>
      <c r="S870" s="193" t="e">
        <f t="shared" si="215"/>
        <v>#REF!</v>
      </c>
      <c r="T870" s="193" t="e">
        <f t="shared" si="215"/>
        <v>#REF!</v>
      </c>
      <c r="U870" s="2"/>
      <c r="V870" s="2">
        <v>70</v>
      </c>
      <c r="W870" s="2">
        <v>11.6</v>
      </c>
      <c r="X870" s="2">
        <v>12.2</v>
      </c>
      <c r="Y870" s="2">
        <v>12.8</v>
      </c>
      <c r="Z870" s="2">
        <v>13.2</v>
      </c>
      <c r="AA870" s="2">
        <v>13.6</v>
      </c>
      <c r="AB870" s="2">
        <v>12.6</v>
      </c>
      <c r="AC870" t="str">
        <f t="shared" si="211"/>
        <v/>
      </c>
      <c r="AE870" s="188"/>
      <c r="AF870" s="188">
        <v>70</v>
      </c>
      <c r="AG870" s="188">
        <v>15.5</v>
      </c>
      <c r="AH870" s="188"/>
      <c r="AI870" s="188"/>
      <c r="AJ870" s="188"/>
      <c r="AK870" s="188">
        <v>18.100000000000001</v>
      </c>
      <c r="AL870" s="188"/>
      <c r="AM870" s="24" t="str">
        <f t="shared" si="212"/>
        <v/>
      </c>
      <c r="AN870" t="str">
        <f t="shared" si="216"/>
        <v/>
      </c>
    </row>
    <row r="871" spans="1:40" hidden="1">
      <c r="A871" s="44" t="s">
        <v>35</v>
      </c>
      <c r="B871" s="16" t="e">
        <f t="shared" si="213"/>
        <v>#REF!</v>
      </c>
      <c r="C871" s="16">
        <v>50</v>
      </c>
      <c r="D871" s="16" t="e">
        <f t="shared" si="214"/>
        <v>#REF!</v>
      </c>
      <c r="E871" s="192" t="e">
        <f t="shared" si="217"/>
        <v>#REF!</v>
      </c>
      <c r="F871" s="97"/>
      <c r="J871" s="103"/>
      <c r="O871" s="44" t="s">
        <v>35</v>
      </c>
      <c r="P871" s="193" t="e">
        <f t="shared" si="215"/>
        <v>#REF!</v>
      </c>
      <c r="Q871" s="193" t="e">
        <f t="shared" si="215"/>
        <v>#REF!</v>
      </c>
      <c r="R871" s="193" t="e">
        <f t="shared" si="215"/>
        <v>#REF!</v>
      </c>
      <c r="S871" s="193" t="e">
        <f t="shared" si="215"/>
        <v>#REF!</v>
      </c>
      <c r="T871" s="193" t="e">
        <f t="shared" si="215"/>
        <v>#REF!</v>
      </c>
      <c r="AE871" s="24"/>
      <c r="AF871" s="24"/>
      <c r="AG871" s="24"/>
      <c r="AH871" s="24"/>
      <c r="AI871" s="24"/>
      <c r="AJ871" s="24"/>
      <c r="AK871" s="24"/>
      <c r="AL871" s="24"/>
      <c r="AM871" s="24"/>
    </row>
    <row r="872" spans="1:40" hidden="1">
      <c r="A872" s="14" t="s">
        <v>36</v>
      </c>
      <c r="B872" s="16" t="e">
        <f t="shared" si="213"/>
        <v>#REF!</v>
      </c>
      <c r="C872" s="16">
        <v>50</v>
      </c>
      <c r="D872" s="16" t="e">
        <f t="shared" si="214"/>
        <v>#REF!</v>
      </c>
      <c r="E872" s="192" t="e">
        <f t="shared" si="217"/>
        <v>#REF!</v>
      </c>
      <c r="F872" s="97"/>
      <c r="J872" s="103"/>
      <c r="O872" s="14" t="s">
        <v>36</v>
      </c>
      <c r="P872" s="193" t="e">
        <f t="shared" si="215"/>
        <v>#REF!</v>
      </c>
      <c r="Q872" s="193" t="e">
        <f t="shared" si="215"/>
        <v>#REF!</v>
      </c>
      <c r="R872" s="193" t="e">
        <f t="shared" si="215"/>
        <v>#REF!</v>
      </c>
      <c r="S872" s="193" t="e">
        <f t="shared" si="215"/>
        <v>#REF!</v>
      </c>
      <c r="T872" s="193" t="e">
        <f t="shared" si="215"/>
        <v>#REF!</v>
      </c>
      <c r="AE872" s="24"/>
      <c r="AF872" s="24"/>
      <c r="AG872" s="24"/>
      <c r="AH872" s="24"/>
      <c r="AI872" s="24"/>
      <c r="AJ872" s="24"/>
      <c r="AK872" s="24"/>
      <c r="AL872" s="24"/>
      <c r="AM872" s="24"/>
    </row>
    <row r="873" spans="1:40" ht="30">
      <c r="A873" s="424" t="s">
        <v>377</v>
      </c>
      <c r="B873" s="16">
        <f t="shared" si="213"/>
        <v>35.739934753720405</v>
      </c>
      <c r="C873" s="16">
        <v>34</v>
      </c>
      <c r="D873" s="16">
        <f t="shared" si="214"/>
        <v>57.3158714071267</v>
      </c>
      <c r="E873" s="192">
        <f t="shared" si="217"/>
        <v>35.739934753720405</v>
      </c>
      <c r="F873" s="97"/>
      <c r="J873" s="103"/>
      <c r="O873" s="424" t="s">
        <v>377</v>
      </c>
      <c r="P873" s="193">
        <f t="shared" si="215"/>
        <v>16.495354501717109</v>
      </c>
      <c r="Q873" s="193">
        <f t="shared" si="215"/>
        <v>19.244580252003296</v>
      </c>
      <c r="R873" s="193">
        <f t="shared" si="215"/>
        <v>21.993806002289478</v>
      </c>
      <c r="S873" s="193">
        <f t="shared" si="215"/>
        <v>24.743031752575664</v>
      </c>
      <c r="T873" s="193">
        <f t="shared" si="215"/>
        <v>27.49225750286185</v>
      </c>
      <c r="U873" s="2"/>
      <c r="V873" s="2" t="s">
        <v>238</v>
      </c>
      <c r="W873" s="2">
        <v>350</v>
      </c>
      <c r="X873" s="2">
        <v>380</v>
      </c>
      <c r="Y873" s="2">
        <v>410</v>
      </c>
      <c r="Z873" s="2">
        <v>430</v>
      </c>
      <c r="AA873" s="2">
        <v>450</v>
      </c>
      <c r="AB873" s="2">
        <v>400</v>
      </c>
      <c r="AC873" s="2"/>
      <c r="AE873" s="188"/>
      <c r="AF873" s="188" t="s">
        <v>239</v>
      </c>
      <c r="AG873" s="188">
        <v>350</v>
      </c>
      <c r="AH873" s="188">
        <v>380</v>
      </c>
      <c r="AI873" s="188">
        <v>410</v>
      </c>
      <c r="AJ873" s="188">
        <v>430</v>
      </c>
      <c r="AK873" s="188">
        <v>450</v>
      </c>
      <c r="AL873" s="188">
        <v>400</v>
      </c>
      <c r="AM873" s="188"/>
    </row>
    <row r="874" spans="1:40" ht="30">
      <c r="A874" s="342" t="s">
        <v>379</v>
      </c>
      <c r="B874" s="16">
        <f t="shared" si="213"/>
        <v>41.24539040614669</v>
      </c>
      <c r="C874" s="16">
        <v>34</v>
      </c>
      <c r="D874" s="16">
        <f t="shared" si="214"/>
        <v>57.3158714071267</v>
      </c>
      <c r="E874" s="192">
        <f t="shared" si="217"/>
        <v>41.24539040614669</v>
      </c>
      <c r="F874" s="97"/>
      <c r="J874" s="103"/>
      <c r="O874" s="342" t="s">
        <v>379</v>
      </c>
      <c r="P874" s="193">
        <f t="shared" si="215"/>
        <v>19.036334033606163</v>
      </c>
      <c r="Q874" s="193">
        <f t="shared" si="215"/>
        <v>22.209056372540523</v>
      </c>
      <c r="R874" s="193">
        <f t="shared" si="215"/>
        <v>25.381778711474887</v>
      </c>
      <c r="S874" s="193">
        <f t="shared" si="215"/>
        <v>28.554501050409243</v>
      </c>
      <c r="T874" s="193">
        <f t="shared" si="215"/>
        <v>31.727223389343607</v>
      </c>
      <c r="U874" s="105"/>
      <c r="V874" s="189">
        <v>10</v>
      </c>
      <c r="W874" s="105">
        <v>27.5</v>
      </c>
      <c r="X874" s="188">
        <v>29.1</v>
      </c>
      <c r="Y874" s="188">
        <v>30.7</v>
      </c>
      <c r="Z874" s="188">
        <v>31.7</v>
      </c>
      <c r="AA874" s="188">
        <v>32.6</v>
      </c>
      <c r="AB874" s="188">
        <v>30.1</v>
      </c>
      <c r="AC874" t="str">
        <f>IF(MAX(W874:AB874)/1.3&gt;U$876,"Verbinder","")</f>
        <v/>
      </c>
      <c r="AE874" s="105"/>
      <c r="AF874" s="191">
        <v>10</v>
      </c>
      <c r="AG874" s="105">
        <v>44.4</v>
      </c>
      <c r="AH874" s="188"/>
      <c r="AI874" s="188"/>
      <c r="AJ874" s="188"/>
      <c r="AK874" s="188">
        <v>52.5</v>
      </c>
      <c r="AL874" s="188"/>
      <c r="AM874" s="24" t="str">
        <f>IF(MAX(AG874:AL874)/1.3&gt;AE$876,"Verbinder","")</f>
        <v>Verbinder</v>
      </c>
      <c r="AN874" t="str">
        <f t="shared" si="216"/>
        <v/>
      </c>
    </row>
    <row r="875" spans="1:40" ht="30">
      <c r="A875" s="342" t="s">
        <v>380</v>
      </c>
      <c r="B875" s="16">
        <f t="shared" si="213"/>
        <v>57.183895605952657</v>
      </c>
      <c r="C875" s="16">
        <v>34</v>
      </c>
      <c r="D875" s="16">
        <f t="shared" si="214"/>
        <v>91.919031934834024</v>
      </c>
      <c r="E875" s="192">
        <f t="shared" si="217"/>
        <v>57.183895605952657</v>
      </c>
      <c r="F875" s="97"/>
      <c r="J875" s="103"/>
      <c r="O875" s="342" t="s">
        <v>380</v>
      </c>
      <c r="P875" s="193">
        <f t="shared" si="215"/>
        <v>26.392567202747376</v>
      </c>
      <c r="Q875" s="193">
        <f t="shared" si="215"/>
        <v>30.79132840320527</v>
      </c>
      <c r="R875" s="193">
        <f t="shared" si="215"/>
        <v>34</v>
      </c>
      <c r="S875" s="193">
        <f t="shared" si="215"/>
        <v>34</v>
      </c>
      <c r="T875" s="193">
        <f t="shared" si="215"/>
        <v>34</v>
      </c>
      <c r="U875" s="2"/>
      <c r="V875" s="2">
        <v>20</v>
      </c>
      <c r="W875" s="2">
        <v>24.1</v>
      </c>
      <c r="X875" s="188">
        <v>25.5</v>
      </c>
      <c r="Y875" s="188">
        <v>26.8</v>
      </c>
      <c r="Z875" s="188">
        <v>27.7</v>
      </c>
      <c r="AA875" s="188">
        <v>28.5</v>
      </c>
      <c r="AB875" s="188">
        <v>26.4</v>
      </c>
      <c r="AC875" t="str">
        <f>IF(MAX(W875:AB875)/1.3&gt;U$876,"Verbinder","")</f>
        <v/>
      </c>
      <c r="AE875" s="188"/>
      <c r="AF875" s="188">
        <v>20</v>
      </c>
      <c r="AG875" s="188">
        <v>38.200000000000003</v>
      </c>
      <c r="AH875" s="188"/>
      <c r="AI875" s="188"/>
      <c r="AJ875" s="188"/>
      <c r="AK875" s="188">
        <v>45</v>
      </c>
      <c r="AL875" s="188"/>
      <c r="AM875" s="24" t="str">
        <f>IF(MAX(AG875:AL875)/1.3&gt;AE$876,"Verbinder","")</f>
        <v>Verbinder</v>
      </c>
      <c r="AN875" t="str">
        <f t="shared" si="216"/>
        <v/>
      </c>
    </row>
    <row r="876" spans="1:40" ht="30">
      <c r="A876" s="342" t="s">
        <v>381</v>
      </c>
      <c r="B876" s="16">
        <f t="shared" si="213"/>
        <v>65.99262464983471</v>
      </c>
      <c r="C876" s="16">
        <v>34</v>
      </c>
      <c r="D876" s="16">
        <f t="shared" si="214"/>
        <v>91.919031934834024</v>
      </c>
      <c r="E876" s="192">
        <f t="shared" si="217"/>
        <v>65.99262464983471</v>
      </c>
      <c r="F876" s="97"/>
      <c r="J876" s="103"/>
      <c r="O876" s="342" t="s">
        <v>381</v>
      </c>
      <c r="P876" s="193">
        <f t="shared" si="215"/>
        <v>30.458134453769862</v>
      </c>
      <c r="Q876" s="193">
        <f t="shared" si="215"/>
        <v>34</v>
      </c>
      <c r="R876" s="193">
        <f t="shared" si="215"/>
        <v>34</v>
      </c>
      <c r="S876" s="193">
        <f t="shared" si="215"/>
        <v>34</v>
      </c>
      <c r="T876" s="193">
        <f t="shared" si="215"/>
        <v>34</v>
      </c>
      <c r="U876" s="2">
        <v>34</v>
      </c>
      <c r="V876" s="2">
        <v>30</v>
      </c>
      <c r="W876" s="2">
        <v>21.3</v>
      </c>
      <c r="X876" s="2">
        <v>22.5</v>
      </c>
      <c r="Y876" s="2">
        <v>23.7</v>
      </c>
      <c r="Z876" s="2">
        <v>24.4</v>
      </c>
      <c r="AA876" s="2">
        <v>25.2</v>
      </c>
      <c r="AB876" s="2">
        <v>23.3</v>
      </c>
      <c r="AC876" t="str">
        <f>IF(MAX(W876:AB876)/1.3&gt;U$876,"Verbinder","")</f>
        <v/>
      </c>
      <c r="AE876" s="188">
        <v>34</v>
      </c>
      <c r="AF876" s="188">
        <v>30</v>
      </c>
      <c r="AG876" s="188">
        <v>33.299999999999997</v>
      </c>
      <c r="AH876" s="188"/>
      <c r="AI876" s="188"/>
      <c r="AJ876" s="188"/>
      <c r="AK876" s="188">
        <v>39.9</v>
      </c>
      <c r="AL876" s="188"/>
      <c r="AM876" s="24" t="str">
        <f>IF(MAX(AG876:AL876)/1.3&gt;AE$876,"Verbinder","")</f>
        <v/>
      </c>
      <c r="AN876" t="str">
        <f t="shared" si="216"/>
        <v/>
      </c>
    </row>
    <row r="877" spans="1:40" ht="30">
      <c r="A877" s="342" t="s">
        <v>383</v>
      </c>
      <c r="B877" s="16">
        <f t="shared" si="213"/>
        <v>80.90511198157418</v>
      </c>
      <c r="C877" s="16">
        <v>50</v>
      </c>
      <c r="D877" s="16">
        <f t="shared" si="214"/>
        <v>130.66325116354344</v>
      </c>
      <c r="E877" s="192">
        <f t="shared" si="217"/>
        <v>80.90511198157418</v>
      </c>
      <c r="F877" s="97"/>
      <c r="J877" s="103"/>
      <c r="O877" s="342" t="s">
        <v>383</v>
      </c>
      <c r="P877" s="193">
        <f t="shared" si="215"/>
        <v>37.340820914572696</v>
      </c>
      <c r="Q877" s="193">
        <f t="shared" si="215"/>
        <v>43.564291067001477</v>
      </c>
      <c r="R877" s="193">
        <f t="shared" si="215"/>
        <v>49.787761219430266</v>
      </c>
      <c r="S877" s="193">
        <f t="shared" si="215"/>
        <v>50</v>
      </c>
      <c r="T877" s="193">
        <f t="shared" si="215"/>
        <v>50</v>
      </c>
      <c r="U877" s="189">
        <f>N866</f>
        <v>0</v>
      </c>
      <c r="V877" s="2">
        <v>40</v>
      </c>
      <c r="W877" s="2">
        <v>19.100000000000001</v>
      </c>
      <c r="X877" s="2">
        <v>20.100000000000001</v>
      </c>
      <c r="Y877" s="2">
        <v>21.2</v>
      </c>
      <c r="Z877" s="2">
        <v>21.8</v>
      </c>
      <c r="AA877" s="2">
        <v>22.4</v>
      </c>
      <c r="AB877" s="2">
        <v>20.8</v>
      </c>
      <c r="AC877" t="str">
        <f>IF(MAX(W877:AB877)/1.3&gt;U$876,"Verbinder","")</f>
        <v/>
      </c>
      <c r="AE877" s="191">
        <f>N874</f>
        <v>0</v>
      </c>
      <c r="AF877" s="188">
        <v>40</v>
      </c>
      <c r="AG877" s="188">
        <v>29.3</v>
      </c>
      <c r="AH877" s="188"/>
      <c r="AI877" s="188"/>
      <c r="AJ877" s="188"/>
      <c r="AK877" s="188">
        <v>34.4</v>
      </c>
      <c r="AL877" s="188"/>
      <c r="AM877" s="24" t="str">
        <f>IF(MAX(AG877:AL877)/1.3&gt;AE$876,"Verbinder","")</f>
        <v/>
      </c>
      <c r="AN877" t="str">
        <f t="shared" si="216"/>
        <v/>
      </c>
    </row>
    <row r="878" spans="1:40" ht="30">
      <c r="A878" s="342" t="s">
        <v>382</v>
      </c>
      <c r="B878" s="16">
        <f t="shared" si="213"/>
        <v>126.41423747120966</v>
      </c>
      <c r="C878" s="16">
        <v>50</v>
      </c>
      <c r="D878" s="16">
        <f t="shared" si="214"/>
        <v>204.27016721470059</v>
      </c>
      <c r="E878" s="192">
        <f t="shared" si="217"/>
        <v>126.41423747120966</v>
      </c>
      <c r="F878" s="97"/>
      <c r="J878" s="103"/>
      <c r="O878" s="342" t="s">
        <v>382</v>
      </c>
      <c r="P878" s="193">
        <f t="shared" si="215"/>
        <v>50</v>
      </c>
      <c r="Q878" s="193">
        <f t="shared" si="215"/>
        <v>50</v>
      </c>
      <c r="R878" s="193">
        <f t="shared" si="215"/>
        <v>50</v>
      </c>
      <c r="S878" s="193">
        <f t="shared" si="215"/>
        <v>50</v>
      </c>
      <c r="T878" s="193">
        <f t="shared" si="215"/>
        <v>50</v>
      </c>
      <c r="U878" s="2"/>
      <c r="V878" s="2">
        <v>50</v>
      </c>
      <c r="W878" s="2">
        <v>17.2</v>
      </c>
      <c r="X878" s="2">
        <v>18.100000000000001</v>
      </c>
      <c r="Y878" s="189">
        <v>19</v>
      </c>
      <c r="Z878" s="2">
        <v>19.600000000000001</v>
      </c>
      <c r="AA878" s="2">
        <v>20.2</v>
      </c>
      <c r="AB878" s="2">
        <v>18.7</v>
      </c>
      <c r="AC878" t="str">
        <f>IF(MAX(W878:AB878)/1.3&gt;U$876,"Verbinder","")</f>
        <v/>
      </c>
      <c r="AE878" s="188"/>
      <c r="AF878" s="188">
        <v>50</v>
      </c>
      <c r="AG878" s="188">
        <v>26.2</v>
      </c>
      <c r="AH878" s="188"/>
      <c r="AI878" s="188"/>
      <c r="AJ878" s="188"/>
      <c r="AK878" s="188">
        <v>30.6</v>
      </c>
      <c r="AL878" s="188"/>
      <c r="AM878" s="24" t="str">
        <f>IF(MAX(AG878:AL878)/1.3&gt;AE$876,"Verbinder","")</f>
        <v/>
      </c>
      <c r="AN878" t="str">
        <f t="shared" si="216"/>
        <v/>
      </c>
    </row>
    <row r="879" spans="1:40">
      <c r="AE879" s="24"/>
      <c r="AF879" s="24"/>
      <c r="AG879" s="24"/>
      <c r="AH879" s="24"/>
      <c r="AI879" s="24"/>
      <c r="AJ879" s="24"/>
      <c r="AK879" s="24"/>
      <c r="AL879" s="24"/>
      <c r="AM879" s="24"/>
    </row>
    <row r="880" spans="1:40">
      <c r="AE880" s="24"/>
      <c r="AF880" s="24"/>
      <c r="AG880" s="24"/>
      <c r="AH880" s="24"/>
      <c r="AI880" s="24"/>
      <c r="AJ880" s="24"/>
      <c r="AK880" s="24"/>
      <c r="AL880" s="24"/>
      <c r="AM880" s="24"/>
    </row>
    <row r="881" spans="1:40">
      <c r="U881" s="189"/>
      <c r="V881" s="2" t="s">
        <v>240</v>
      </c>
      <c r="W881" s="2">
        <v>350</v>
      </c>
      <c r="X881" s="2">
        <v>380</v>
      </c>
      <c r="Y881" s="2">
        <v>410</v>
      </c>
      <c r="Z881" s="2">
        <v>430</v>
      </c>
      <c r="AA881" s="2">
        <v>450</v>
      </c>
      <c r="AB881" s="2">
        <v>400</v>
      </c>
      <c r="AC881" s="2"/>
      <c r="AE881" s="191"/>
      <c r="AF881" s="188" t="s">
        <v>241</v>
      </c>
      <c r="AG881" s="188">
        <v>350</v>
      </c>
      <c r="AH881" s="188">
        <v>380</v>
      </c>
      <c r="AI881" s="188">
        <v>410</v>
      </c>
      <c r="AJ881" s="188">
        <v>430</v>
      </c>
      <c r="AK881" s="188">
        <v>450</v>
      </c>
      <c r="AL881" s="188">
        <v>400</v>
      </c>
      <c r="AM881" s="188"/>
    </row>
    <row r="882" spans="1:40" ht="18.75">
      <c r="A882" s="56" t="s">
        <v>86</v>
      </c>
      <c r="U882" s="105"/>
      <c r="V882" s="189">
        <v>10</v>
      </c>
      <c r="W882" s="105">
        <v>27.6</v>
      </c>
      <c r="X882" s="191">
        <v>29.2</v>
      </c>
      <c r="Y882" s="188">
        <v>30.7</v>
      </c>
      <c r="Z882" s="188">
        <v>31.7</v>
      </c>
      <c r="AA882" s="188">
        <v>32.700000000000003</v>
      </c>
      <c r="AB882" s="188">
        <v>30.2</v>
      </c>
      <c r="AC882" t="str">
        <f t="shared" ref="AC882:AC896" si="218">IF(MAX(W882:AB882)/1.3&gt;U$884,"Verbinder","")</f>
        <v/>
      </c>
      <c r="AE882" s="105"/>
      <c r="AF882" s="191">
        <v>10</v>
      </c>
      <c r="AG882" s="105">
        <v>55.4</v>
      </c>
      <c r="AH882" s="191"/>
      <c r="AI882" s="188"/>
      <c r="AJ882" s="188"/>
      <c r="AK882" s="188">
        <v>65.599999999999994</v>
      </c>
      <c r="AL882" s="188"/>
      <c r="AM882" s="24" t="str">
        <f t="shared" ref="AM882:AM896" si="219">IF(MAX(AG882:AL882)/1.3&gt;AE$884,"Verbinder","")</f>
        <v>Verbinder</v>
      </c>
      <c r="AN882" t="str">
        <f t="shared" si="216"/>
        <v/>
      </c>
    </row>
    <row r="883" spans="1:40">
      <c r="L883" s="3"/>
      <c r="U883" s="189"/>
      <c r="V883" s="2">
        <v>20</v>
      </c>
      <c r="W883" s="188">
        <v>24.2</v>
      </c>
      <c r="X883" s="188">
        <v>25.6</v>
      </c>
      <c r="Y883" s="188">
        <v>26.9</v>
      </c>
      <c r="Z883" s="188">
        <v>27.8</v>
      </c>
      <c r="AA883" s="191">
        <v>28.6</v>
      </c>
      <c r="AB883" s="188">
        <v>26.5</v>
      </c>
      <c r="AC883" t="str">
        <f t="shared" si="218"/>
        <v/>
      </c>
      <c r="AE883" s="191"/>
      <c r="AF883" s="188">
        <v>20</v>
      </c>
      <c r="AG883" s="188">
        <v>48.3</v>
      </c>
      <c r="AH883" s="188"/>
      <c r="AI883" s="188"/>
      <c r="AJ883" s="188"/>
      <c r="AK883" s="191">
        <v>56.9</v>
      </c>
      <c r="AL883" s="188"/>
      <c r="AM883" s="24" t="str">
        <f t="shared" si="219"/>
        <v>Verbinder</v>
      </c>
      <c r="AN883" t="str">
        <f t="shared" si="216"/>
        <v/>
      </c>
    </row>
    <row r="884" spans="1:40" ht="18">
      <c r="A884" s="4" t="s">
        <v>2</v>
      </c>
      <c r="B884" s="5" t="s">
        <v>43</v>
      </c>
      <c r="C884" s="5" t="s">
        <v>87</v>
      </c>
      <c r="D884" s="5" t="s">
        <v>88</v>
      </c>
      <c r="E884" s="5" t="s">
        <v>89</v>
      </c>
      <c r="F884" s="5" t="s">
        <v>90</v>
      </c>
      <c r="I884" s="105" t="s">
        <v>91</v>
      </c>
      <c r="L884" s="108"/>
      <c r="U884" s="2">
        <v>34</v>
      </c>
      <c r="V884" s="2">
        <v>30</v>
      </c>
      <c r="W884" s="188">
        <v>21.5</v>
      </c>
      <c r="X884" s="188">
        <v>22.7</v>
      </c>
      <c r="Y884" s="188">
        <v>23.8</v>
      </c>
      <c r="Z884" s="188">
        <v>24.6</v>
      </c>
      <c r="AA884" s="191">
        <v>25.3</v>
      </c>
      <c r="AB884" s="188">
        <v>23.5</v>
      </c>
      <c r="AC884" t="str">
        <f t="shared" si="218"/>
        <v/>
      </c>
      <c r="AE884" s="188">
        <v>34</v>
      </c>
      <c r="AF884" s="188">
        <v>30</v>
      </c>
      <c r="AG884" s="188">
        <v>42.5</v>
      </c>
      <c r="AH884" s="188"/>
      <c r="AI884" s="188"/>
      <c r="AJ884" s="188"/>
      <c r="AK884" s="191">
        <v>49.9</v>
      </c>
      <c r="AL884" s="188"/>
      <c r="AM884" s="24" t="str">
        <f t="shared" si="219"/>
        <v>Verbinder</v>
      </c>
      <c r="AN884" t="str">
        <f t="shared" si="216"/>
        <v/>
      </c>
    </row>
    <row r="885" spans="1:40">
      <c r="A885" s="8"/>
      <c r="B885" s="9" t="s">
        <v>19</v>
      </c>
      <c r="C885" s="9" t="s">
        <v>18</v>
      </c>
      <c r="D885" s="9" t="s">
        <v>18</v>
      </c>
      <c r="E885" s="9" t="s">
        <v>92</v>
      </c>
      <c r="F885" s="9" t="s">
        <v>17</v>
      </c>
      <c r="I885" s="105" t="s">
        <v>93</v>
      </c>
      <c r="L885" s="108"/>
      <c r="U885" s="189">
        <f>N867</f>
        <v>0</v>
      </c>
      <c r="V885" s="2">
        <v>40</v>
      </c>
      <c r="W885" s="2">
        <v>19.2</v>
      </c>
      <c r="X885" s="2">
        <v>20.3</v>
      </c>
      <c r="Y885" s="2">
        <v>21.3</v>
      </c>
      <c r="Z885" s="189">
        <v>22</v>
      </c>
      <c r="AA885" s="2">
        <v>22.6</v>
      </c>
      <c r="AB885" s="189">
        <v>21</v>
      </c>
      <c r="AC885" t="str">
        <f t="shared" si="218"/>
        <v/>
      </c>
      <c r="AE885" s="191">
        <f>N875</f>
        <v>0</v>
      </c>
      <c r="AF885" s="188">
        <v>40</v>
      </c>
      <c r="AG885" s="188">
        <v>37.799999999999997</v>
      </c>
      <c r="AH885" s="188"/>
      <c r="AI885" s="188"/>
      <c r="AJ885" s="188"/>
      <c r="AK885" s="188">
        <v>44.4</v>
      </c>
      <c r="AL885" s="188"/>
      <c r="AM885" s="24" t="str">
        <f t="shared" si="219"/>
        <v>Verbinder</v>
      </c>
      <c r="AN885" t="str">
        <f t="shared" si="216"/>
        <v/>
      </c>
    </row>
    <row r="886" spans="1:40">
      <c r="A886" s="44" t="s">
        <v>242</v>
      </c>
      <c r="B886" s="35">
        <v>1</v>
      </c>
      <c r="C886" s="66">
        <v>12</v>
      </c>
      <c r="D886" s="66">
        <v>49</v>
      </c>
      <c r="E886" s="65" t="e">
        <f>0.082*(1-0.01*C886)*$B$909/(1.35+0.015*C889)</f>
        <v>#N/A</v>
      </c>
      <c r="F886" s="65" t="e">
        <f t="shared" ref="F886:F893" si="220">B886*MIN(0.4*C886*D886*E886/1000,1.15/1000*SQRT(2*I886*E886*C886)+((0.52*SQRT(C886)*D886^0.9*$B$909^0.8)/1000)/4)</f>
        <v>#N/A</v>
      </c>
      <c r="G886" s="90" t="s">
        <v>243</v>
      </c>
      <c r="H886" s="90"/>
      <c r="I886" s="194">
        <f t="shared" ref="I886:I892" si="221">0.15*600*C886^2.6</f>
        <v>57559.067465202104</v>
      </c>
      <c r="L886" s="108"/>
      <c r="U886" s="2"/>
      <c r="V886" s="2">
        <v>50</v>
      </c>
      <c r="W886" s="2">
        <v>17.3</v>
      </c>
      <c r="X886" s="2">
        <v>18.3</v>
      </c>
      <c r="Y886" s="2">
        <v>19.2</v>
      </c>
      <c r="Z886" s="2">
        <v>19.8</v>
      </c>
      <c r="AA886" s="2">
        <v>20.399999999999999</v>
      </c>
      <c r="AB886" s="2">
        <v>18.899999999999999</v>
      </c>
      <c r="AC886" t="str">
        <f t="shared" si="218"/>
        <v/>
      </c>
      <c r="AE886" s="188"/>
      <c r="AF886" s="188">
        <v>50</v>
      </c>
      <c r="AG886" s="188">
        <v>34</v>
      </c>
      <c r="AH886" s="188"/>
      <c r="AI886" s="188"/>
      <c r="AJ886" s="188"/>
      <c r="AK886" s="188">
        <v>39.799999999999997</v>
      </c>
      <c r="AL886" s="188"/>
      <c r="AM886" s="24" t="str">
        <f t="shared" si="219"/>
        <v/>
      </c>
      <c r="AN886" t="str">
        <f t="shared" si="216"/>
        <v/>
      </c>
    </row>
    <row r="887" spans="1:40">
      <c r="A887" s="44" t="s">
        <v>244</v>
      </c>
      <c r="B887" s="35">
        <v>1</v>
      </c>
      <c r="C887" s="66">
        <v>12</v>
      </c>
      <c r="D887" s="66">
        <v>45</v>
      </c>
      <c r="E887" s="65" t="e">
        <f>0.082*(1-0.01*C887)*$B$909/(1.35+0.015*C887)</f>
        <v>#N/A</v>
      </c>
      <c r="F887" s="65" t="e">
        <f t="shared" si="220"/>
        <v>#N/A</v>
      </c>
      <c r="G887" s="90" t="s">
        <v>245</v>
      </c>
      <c r="H887" s="90"/>
      <c r="I887" s="194">
        <f t="shared" si="221"/>
        <v>57559.067465202104</v>
      </c>
      <c r="L887" s="108"/>
      <c r="U887" s="2"/>
      <c r="V887" s="2"/>
      <c r="W887" s="2"/>
      <c r="X887" s="2"/>
      <c r="Y887" s="2"/>
      <c r="Z887" s="2"/>
      <c r="AA887" s="2"/>
      <c r="AB887" s="2"/>
      <c r="AE887" s="188"/>
      <c r="AF887" s="188"/>
      <c r="AG887" s="188"/>
      <c r="AH887" s="188"/>
      <c r="AI887" s="188"/>
      <c r="AJ887" s="188"/>
      <c r="AK887" s="188"/>
      <c r="AL887" s="188"/>
      <c r="AM887" s="24"/>
    </row>
    <row r="888" spans="1:40">
      <c r="A888" s="44" t="s">
        <v>246</v>
      </c>
      <c r="B888" s="35">
        <v>1</v>
      </c>
      <c r="C888" s="66">
        <v>12</v>
      </c>
      <c r="D888" s="66">
        <v>49</v>
      </c>
      <c r="E888" s="65" t="e">
        <f>0.082*(1-0.01*C888)*$B$909</f>
        <v>#N/A</v>
      </c>
      <c r="F888" s="65" t="e">
        <f t="shared" si="220"/>
        <v>#N/A</v>
      </c>
      <c r="G888" s="90"/>
      <c r="H888" s="90"/>
      <c r="I888" s="194">
        <f t="shared" si="221"/>
        <v>57559.067465202104</v>
      </c>
      <c r="L888" s="108"/>
      <c r="U888" s="2"/>
      <c r="V888" s="2"/>
      <c r="W888" s="2"/>
      <c r="X888" s="2"/>
      <c r="Y888" s="2"/>
      <c r="Z888" s="2"/>
      <c r="AA888" s="2"/>
      <c r="AB888" s="2"/>
      <c r="AE888" s="188"/>
      <c r="AF888" s="188"/>
      <c r="AG888" s="188"/>
      <c r="AH888" s="188"/>
      <c r="AI888" s="188"/>
      <c r="AJ888" s="188"/>
      <c r="AK888" s="188"/>
      <c r="AL888" s="188"/>
      <c r="AM888" s="24"/>
    </row>
    <row r="889" spans="1:40">
      <c r="A889" s="44" t="s">
        <v>247</v>
      </c>
      <c r="B889" s="35">
        <v>1</v>
      </c>
      <c r="C889" s="66">
        <v>12</v>
      </c>
      <c r="D889" s="66">
        <v>49</v>
      </c>
      <c r="E889" s="65" t="e">
        <f>0.082*(1-0.01*C889)*$B$909</f>
        <v>#N/A</v>
      </c>
      <c r="F889" s="65" t="e">
        <f t="shared" si="220"/>
        <v>#N/A</v>
      </c>
      <c r="G889" s="90"/>
      <c r="H889" s="90"/>
      <c r="I889" s="194">
        <f t="shared" si="221"/>
        <v>57559.067465202104</v>
      </c>
      <c r="L889" s="108"/>
      <c r="U889" s="2"/>
      <c r="V889" s="2"/>
      <c r="W889" s="2"/>
      <c r="X889" s="2"/>
      <c r="Y889" s="2"/>
      <c r="Z889" s="2"/>
      <c r="AA889" s="2"/>
      <c r="AB889" s="2"/>
      <c r="AE889" s="188"/>
      <c r="AF889" s="188"/>
      <c r="AG889" s="188"/>
      <c r="AH889" s="188"/>
      <c r="AI889" s="188"/>
      <c r="AJ889" s="188"/>
      <c r="AK889" s="188"/>
      <c r="AL889" s="188"/>
      <c r="AM889" s="24"/>
    </row>
    <row r="890" spans="1:40">
      <c r="A890" s="44" t="s">
        <v>248</v>
      </c>
      <c r="B890" s="35">
        <v>1</v>
      </c>
      <c r="C890" s="66">
        <v>16</v>
      </c>
      <c r="D890" s="66">
        <v>46</v>
      </c>
      <c r="E890" s="65" t="e">
        <f>0.082*(1-0.01*C890)*$B$909/(1.35+0.015*C890)</f>
        <v>#N/A</v>
      </c>
      <c r="F890" s="65" t="e">
        <f t="shared" si="220"/>
        <v>#N/A</v>
      </c>
      <c r="G890" s="90" t="s">
        <v>243</v>
      </c>
      <c r="H890" s="90"/>
      <c r="I890" s="194">
        <f t="shared" si="221"/>
        <v>121605.84905682993</v>
      </c>
      <c r="L890" s="108"/>
      <c r="U890" s="2"/>
      <c r="V890" s="2">
        <v>60</v>
      </c>
      <c r="W890" s="2">
        <v>15.7</v>
      </c>
      <c r="X890" s="2">
        <v>16.600000000000001</v>
      </c>
      <c r="Y890" s="2">
        <v>17.399999999999999</v>
      </c>
      <c r="Z890" s="189">
        <v>18</v>
      </c>
      <c r="AA890" s="2">
        <v>18.5</v>
      </c>
      <c r="AB890" s="2">
        <v>17.2</v>
      </c>
      <c r="AC890" t="str">
        <f t="shared" si="218"/>
        <v/>
      </c>
      <c r="AE890" s="188"/>
      <c r="AF890" s="188">
        <v>60</v>
      </c>
      <c r="AG890" s="188">
        <v>30.8</v>
      </c>
      <c r="AH890" s="188"/>
      <c r="AI890" s="188"/>
      <c r="AJ890" s="188"/>
      <c r="AK890" s="188">
        <v>36</v>
      </c>
      <c r="AL890" s="188"/>
      <c r="AM890" s="24" t="str">
        <f t="shared" si="219"/>
        <v/>
      </c>
      <c r="AN890" t="str">
        <f t="shared" si="216"/>
        <v/>
      </c>
    </row>
    <row r="891" spans="1:40">
      <c r="A891" s="44" t="s">
        <v>249</v>
      </c>
      <c r="B891" s="35">
        <v>1</v>
      </c>
      <c r="C891" s="66">
        <v>16</v>
      </c>
      <c r="D891" s="66">
        <v>46</v>
      </c>
      <c r="E891" s="65" t="e">
        <f>0.082*(1-0.01*C891)*$B$909/(1.35+0.015*C891)</f>
        <v>#N/A</v>
      </c>
      <c r="F891" s="65" t="e">
        <f t="shared" si="220"/>
        <v>#N/A</v>
      </c>
      <c r="G891" s="90" t="s">
        <v>243</v>
      </c>
      <c r="H891" s="90"/>
      <c r="I891" s="194">
        <f>0.15*600*C891^2.6</f>
        <v>121605.84905682993</v>
      </c>
      <c r="L891" s="108"/>
      <c r="U891" s="2"/>
      <c r="V891" s="2"/>
      <c r="W891" s="2"/>
      <c r="X891" s="2"/>
      <c r="Y891" s="2"/>
      <c r="Z891" s="189"/>
      <c r="AA891" s="2"/>
      <c r="AB891" s="2"/>
      <c r="AE891" s="188"/>
      <c r="AF891" s="188"/>
      <c r="AG891" s="188"/>
      <c r="AH891" s="188"/>
      <c r="AI891" s="188"/>
      <c r="AJ891" s="188"/>
      <c r="AK891" s="188"/>
      <c r="AL891" s="188"/>
      <c r="AM891" s="24"/>
    </row>
    <row r="892" spans="1:40">
      <c r="A892" s="44" t="s">
        <v>250</v>
      </c>
      <c r="B892" s="35">
        <v>1</v>
      </c>
      <c r="C892" s="66">
        <v>16</v>
      </c>
      <c r="D892" s="66">
        <v>45</v>
      </c>
      <c r="E892" s="65" t="e">
        <f>0.082*(1-0.01*C892)*$B$909/(1.35+0.015*C892)</f>
        <v>#N/A</v>
      </c>
      <c r="F892" s="65" t="e">
        <f t="shared" si="220"/>
        <v>#N/A</v>
      </c>
      <c r="G892" s="90" t="s">
        <v>245</v>
      </c>
      <c r="H892" s="90"/>
      <c r="I892" s="194">
        <f t="shared" si="221"/>
        <v>121605.84905682993</v>
      </c>
      <c r="L892" s="108"/>
      <c r="U892" s="2"/>
      <c r="V892" s="2"/>
      <c r="W892" s="2"/>
      <c r="X892" s="2"/>
      <c r="Y892" s="2"/>
      <c r="Z892" s="189"/>
      <c r="AA892" s="2"/>
      <c r="AB892" s="2"/>
      <c r="AE892" s="188"/>
      <c r="AF892" s="188"/>
      <c r="AG892" s="188"/>
      <c r="AH892" s="188"/>
      <c r="AI892" s="188"/>
      <c r="AJ892" s="188"/>
      <c r="AK892" s="188"/>
      <c r="AL892" s="188"/>
      <c r="AM892" s="24"/>
    </row>
    <row r="893" spans="1:40">
      <c r="A893" s="44" t="s">
        <v>251</v>
      </c>
      <c r="B893" s="35">
        <v>1</v>
      </c>
      <c r="C893" s="66">
        <v>10</v>
      </c>
      <c r="D893" s="66">
        <v>60</v>
      </c>
      <c r="E893" s="65" t="e">
        <f>0.082*(1-0.01*C893)*$B$909/(1.35+0.015*C893)</f>
        <v>#N/A</v>
      </c>
      <c r="F893" s="65" t="e">
        <f t="shared" si="220"/>
        <v>#N/A</v>
      </c>
      <c r="G893" s="90" t="s">
        <v>243</v>
      </c>
      <c r="H893" s="90"/>
      <c r="I893" s="194">
        <v>35000</v>
      </c>
      <c r="L893" s="108"/>
      <c r="U893" s="2"/>
      <c r="V893" s="2"/>
      <c r="W893" s="2"/>
      <c r="X893" s="2"/>
      <c r="Y893" s="2"/>
      <c r="Z893" s="189"/>
      <c r="AA893" s="2"/>
      <c r="AB893" s="2"/>
      <c r="AE893" s="188"/>
      <c r="AF893" s="188"/>
      <c r="AG893" s="188"/>
      <c r="AH893" s="188"/>
      <c r="AI893" s="188"/>
      <c r="AJ893" s="188"/>
      <c r="AK893" s="188"/>
      <c r="AL893" s="188"/>
      <c r="AM893" s="24"/>
    </row>
    <row r="894" spans="1:40">
      <c r="A894" s="44" t="s">
        <v>252</v>
      </c>
      <c r="B894" s="35">
        <v>1</v>
      </c>
      <c r="C894" s="66">
        <v>16</v>
      </c>
      <c r="D894" s="66">
        <v>46</v>
      </c>
      <c r="E894" s="65" t="e">
        <f>0.082*(1-0.01*C894)*$B$909</f>
        <v>#N/A</v>
      </c>
      <c r="F894" s="65" t="e">
        <f>B894*MIN(0.4*C894*D894*E894/1000,1.15/1000*SQRT(2*I895*E894*C894)+((0.52*SQRT(C894)*D894^0.9*$B$909^0.8)/1000)/4)</f>
        <v>#N/A</v>
      </c>
      <c r="G894" s="90"/>
      <c r="H894" s="90"/>
      <c r="I894" s="194">
        <f>0.15*600*C895^2.6</f>
        <v>121605.84905682993</v>
      </c>
      <c r="L894" s="108"/>
      <c r="U894" s="2"/>
      <c r="V894" s="2"/>
      <c r="W894" s="2"/>
      <c r="X894" s="2"/>
      <c r="Y894" s="2"/>
      <c r="Z894" s="189"/>
      <c r="AA894" s="2"/>
      <c r="AB894" s="2"/>
      <c r="AE894" s="188"/>
      <c r="AF894" s="188"/>
      <c r="AG894" s="188"/>
      <c r="AH894" s="188"/>
      <c r="AI894" s="188"/>
      <c r="AJ894" s="188"/>
      <c r="AK894" s="188"/>
      <c r="AL894" s="188"/>
      <c r="AM894" s="24"/>
    </row>
    <row r="895" spans="1:40">
      <c r="A895" s="44" t="s">
        <v>253</v>
      </c>
      <c r="B895" s="35">
        <v>1</v>
      </c>
      <c r="C895" s="66">
        <v>16</v>
      </c>
      <c r="D895" s="66">
        <v>46</v>
      </c>
      <c r="E895" s="65" t="e">
        <f>0.082*(1-0.01*C895)*$B$909</f>
        <v>#N/A</v>
      </c>
      <c r="F895" s="65" t="e">
        <f>B895*MIN(0.4*C895*D895*E895/1000,1.15/1000*SQRT(2*I894*E895*C895)+((0.52*SQRT(C895)*D895^0.9*$B$909^0.8)/1000)/4)</f>
        <v>#N/A</v>
      </c>
      <c r="G895" s="90"/>
      <c r="H895" s="90"/>
      <c r="I895" s="194">
        <f>0.15*600*C894^2.6</f>
        <v>121605.84905682993</v>
      </c>
      <c r="L895" s="108"/>
      <c r="U895" s="2"/>
      <c r="V895" s="2"/>
      <c r="W895" s="2"/>
      <c r="X895" s="2"/>
      <c r="Y895" s="2"/>
      <c r="Z895" s="189"/>
      <c r="AA895" s="2"/>
      <c r="AB895" s="2"/>
      <c r="AE895" s="188"/>
      <c r="AF895" s="188"/>
      <c r="AG895" s="188"/>
      <c r="AH895" s="188"/>
      <c r="AI895" s="188"/>
      <c r="AJ895" s="188"/>
      <c r="AK895" s="188"/>
      <c r="AL895" s="188"/>
      <c r="AM895" s="24"/>
    </row>
    <row r="896" spans="1:40">
      <c r="B896" s="90"/>
      <c r="C896" s="90"/>
      <c r="D896" s="90"/>
      <c r="E896" s="90"/>
      <c r="F896" s="90"/>
      <c r="G896" s="90"/>
      <c r="H896" s="90"/>
      <c r="I896" s="90"/>
      <c r="L896" s="3"/>
      <c r="U896" s="2"/>
      <c r="V896" s="2">
        <v>70</v>
      </c>
      <c r="W896" s="2">
        <v>14.4</v>
      </c>
      <c r="X896" s="2">
        <v>15.2</v>
      </c>
      <c r="Y896" s="189">
        <v>16</v>
      </c>
      <c r="Z896" s="2">
        <v>16.399999999999999</v>
      </c>
      <c r="AA896" s="2">
        <v>16.899999999999999</v>
      </c>
      <c r="AB896" s="2">
        <v>15.7</v>
      </c>
      <c r="AC896" t="str">
        <f t="shared" si="218"/>
        <v/>
      </c>
      <c r="AE896" s="188"/>
      <c r="AF896" s="188">
        <v>70</v>
      </c>
      <c r="AG896" s="188">
        <v>28.2</v>
      </c>
      <c r="AH896" s="188"/>
      <c r="AI896" s="188"/>
      <c r="AJ896" s="188"/>
      <c r="AK896" s="188">
        <v>32.9</v>
      </c>
      <c r="AL896" s="188"/>
      <c r="AM896" s="24" t="str">
        <f t="shared" si="219"/>
        <v/>
      </c>
      <c r="AN896" t="str">
        <f t="shared" si="216"/>
        <v/>
      </c>
    </row>
    <row r="897" spans="1:40" ht="18">
      <c r="A897" s="4" t="s">
        <v>2</v>
      </c>
      <c r="B897" s="113" t="s">
        <v>43</v>
      </c>
      <c r="C897" s="113" t="s">
        <v>9</v>
      </c>
      <c r="D897" s="113" t="s">
        <v>111</v>
      </c>
      <c r="E897" s="113" t="s">
        <v>112</v>
      </c>
      <c r="F897" s="113" t="s">
        <v>80</v>
      </c>
      <c r="G897" s="113" t="s">
        <v>113</v>
      </c>
      <c r="H897" s="113" t="s">
        <v>114</v>
      </c>
      <c r="I897" s="90"/>
      <c r="AE897" s="24"/>
      <c r="AF897" s="24"/>
      <c r="AG897" s="24"/>
      <c r="AH897" s="24"/>
      <c r="AI897" s="24"/>
      <c r="AJ897" s="24"/>
      <c r="AK897" s="24"/>
      <c r="AL897" s="24"/>
      <c r="AM897" s="24"/>
    </row>
    <row r="898" spans="1:40">
      <c r="A898" s="8"/>
      <c r="B898" s="47" t="s">
        <v>19</v>
      </c>
      <c r="C898" s="47" t="s">
        <v>18</v>
      </c>
      <c r="D898" s="47" t="s">
        <v>93</v>
      </c>
      <c r="E898" s="47" t="s">
        <v>92</v>
      </c>
      <c r="F898" s="47" t="s">
        <v>18</v>
      </c>
      <c r="G898" s="47" t="s">
        <v>17</v>
      </c>
      <c r="H898" s="47" t="s">
        <v>17</v>
      </c>
      <c r="I898" s="90"/>
      <c r="AE898" s="24"/>
      <c r="AF898" s="24"/>
      <c r="AG898" s="24"/>
      <c r="AH898" s="24"/>
      <c r="AI898" s="24"/>
      <c r="AJ898" s="24"/>
      <c r="AK898" s="24"/>
      <c r="AL898" s="24"/>
      <c r="AM898" s="24"/>
    </row>
    <row r="899" spans="1:40">
      <c r="A899" s="44" t="s">
        <v>254</v>
      </c>
      <c r="B899" s="35">
        <v>2</v>
      </c>
      <c r="C899" s="66">
        <v>6</v>
      </c>
      <c r="D899" s="66">
        <v>6300</v>
      </c>
      <c r="E899" s="65" t="e">
        <f>(0.082)*$B$909*C899^-0.3</f>
        <v>#N/A</v>
      </c>
      <c r="F899" s="66">
        <v>44</v>
      </c>
      <c r="G899" s="195" t="e">
        <f>(0.52*SQRT(C899)*44^0.9*$B$909^0.8)/1200</f>
        <v>#N/A</v>
      </c>
      <c r="H899" s="65" t="e">
        <f t="shared" ref="H899:H906" si="222">B899*MIN((2.3*SQRT(C899*D899*E899))/1000+G899/4,E899*C899*F899/1000,E899*C899*F899/1000*(SQRT(2+4*D899/(C899*E899*F899^2))-1)+G899/4)</f>
        <v>#N/A</v>
      </c>
      <c r="I899" s="90" t="s">
        <v>255</v>
      </c>
      <c r="U899" s="2"/>
      <c r="V899" s="2" t="s">
        <v>256</v>
      </c>
      <c r="W899" s="2">
        <v>350</v>
      </c>
      <c r="X899" s="2">
        <v>380</v>
      </c>
      <c r="Y899" s="2">
        <v>410</v>
      </c>
      <c r="Z899" s="2">
        <v>430</v>
      </c>
      <c r="AA899" s="2">
        <v>450</v>
      </c>
      <c r="AB899" s="2">
        <v>400</v>
      </c>
      <c r="AC899" s="2"/>
      <c r="AE899" s="188"/>
      <c r="AF899" s="188" t="s">
        <v>257</v>
      </c>
      <c r="AG899" s="188">
        <v>350</v>
      </c>
      <c r="AH899" s="188">
        <v>380</v>
      </c>
      <c r="AI899" s="188">
        <v>410</v>
      </c>
      <c r="AJ899" s="188">
        <v>430</v>
      </c>
      <c r="AK899" s="188">
        <v>450</v>
      </c>
      <c r="AL899" s="188">
        <v>400</v>
      </c>
      <c r="AM899" s="188"/>
    </row>
    <row r="900" spans="1:40">
      <c r="A900" s="44" t="s">
        <v>246</v>
      </c>
      <c r="B900" s="35">
        <v>2</v>
      </c>
      <c r="C900" s="66">
        <v>6</v>
      </c>
      <c r="D900" s="66">
        <v>6300</v>
      </c>
      <c r="E900" s="65" t="e">
        <f>(0.033+0)*$B$909*C900^-0.3</f>
        <v>#N/A</v>
      </c>
      <c r="F900" s="66">
        <v>44</v>
      </c>
      <c r="G900" s="195" t="e">
        <f>(0.52*SQRT(C900)*44^0.9*$B$909^0.8)/1200</f>
        <v>#N/A</v>
      </c>
      <c r="H900" s="65" t="e">
        <f t="shared" si="222"/>
        <v>#N/A</v>
      </c>
      <c r="I900" s="90"/>
      <c r="U900" s="2"/>
      <c r="V900" s="2"/>
      <c r="W900" s="2"/>
      <c r="X900" s="2"/>
      <c r="Y900" s="2"/>
      <c r="Z900" s="2"/>
      <c r="AA900" s="2"/>
      <c r="AB900" s="2"/>
      <c r="AC900" s="2"/>
      <c r="AE900" s="188"/>
      <c r="AF900" s="188"/>
      <c r="AG900" s="188"/>
      <c r="AH900" s="188"/>
      <c r="AI900" s="188"/>
      <c r="AJ900" s="188"/>
      <c r="AK900" s="188"/>
      <c r="AL900" s="188"/>
      <c r="AM900" s="188"/>
    </row>
    <row r="901" spans="1:40">
      <c r="A901" s="44" t="s">
        <v>247</v>
      </c>
      <c r="B901" s="35">
        <v>2</v>
      </c>
      <c r="C901" s="66">
        <v>6</v>
      </c>
      <c r="D901" s="66">
        <v>6300</v>
      </c>
      <c r="E901" s="65" t="e">
        <f>(0.082)*$B$909*C901^-0.3</f>
        <v>#N/A</v>
      </c>
      <c r="F901" s="66">
        <v>44</v>
      </c>
      <c r="G901" s="195" t="e">
        <f>(0.52*SQRT(C901)*44^0.9*$B$909^0.8)/1000</f>
        <v>#N/A</v>
      </c>
      <c r="H901" s="65" t="e">
        <f t="shared" si="222"/>
        <v>#N/A</v>
      </c>
      <c r="I901" s="90"/>
      <c r="U901" s="2"/>
      <c r="V901" s="2"/>
      <c r="W901" s="2"/>
      <c r="X901" s="2"/>
      <c r="Y901" s="2"/>
      <c r="Z901" s="2"/>
      <c r="AA901" s="2"/>
      <c r="AB901" s="2"/>
      <c r="AC901" s="2"/>
      <c r="AE901" s="188"/>
      <c r="AF901" s="188"/>
      <c r="AG901" s="188"/>
      <c r="AH901" s="188"/>
      <c r="AI901" s="188"/>
      <c r="AJ901" s="188"/>
      <c r="AK901" s="188"/>
      <c r="AL901" s="188"/>
      <c r="AM901" s="188"/>
    </row>
    <row r="902" spans="1:40">
      <c r="A902" s="44" t="s">
        <v>248</v>
      </c>
      <c r="B902" s="35">
        <v>2</v>
      </c>
      <c r="C902" s="66">
        <v>10</v>
      </c>
      <c r="D902" s="66">
        <v>23900</v>
      </c>
      <c r="E902" s="65" t="e">
        <f>(0.082+0)*$B$909*C902^-0.3</f>
        <v>#N/A</v>
      </c>
      <c r="F902" s="66">
        <v>54</v>
      </c>
      <c r="G902" s="65" t="e">
        <f>(0.52*SQRT(C902)*50^0.9*$B$909^0.8)/1200</f>
        <v>#N/A</v>
      </c>
      <c r="H902" s="65" t="e">
        <f t="shared" si="222"/>
        <v>#N/A</v>
      </c>
      <c r="I902" s="90" t="s">
        <v>243</v>
      </c>
      <c r="U902" s="105"/>
      <c r="V902" s="189">
        <v>10</v>
      </c>
      <c r="W902" s="105">
        <v>28.2</v>
      </c>
      <c r="X902" s="188">
        <v>29.8</v>
      </c>
      <c r="Y902" s="188">
        <v>31.4</v>
      </c>
      <c r="Z902" s="188">
        <v>32.5</v>
      </c>
      <c r="AA902" s="188">
        <v>33.5</v>
      </c>
      <c r="AB902" s="188">
        <v>30.9</v>
      </c>
      <c r="AC902" t="str">
        <f>IF(MAX(W902:AB902)/1.3&gt;U$909,"Verbinder","")</f>
        <v/>
      </c>
      <c r="AE902" s="105"/>
      <c r="AF902" s="191">
        <v>10</v>
      </c>
      <c r="AG902" s="105">
        <v>66.5</v>
      </c>
      <c r="AH902" s="188"/>
      <c r="AI902" s="188"/>
      <c r="AJ902" s="188"/>
      <c r="AK902" s="188">
        <v>78.7</v>
      </c>
      <c r="AL902" s="188"/>
      <c r="AM902" s="24" t="str">
        <f>IF(MAX(AG902:AL902)/1.3&gt;AE$909,"Verbinder","")</f>
        <v>Verbinder</v>
      </c>
      <c r="AN902" t="str">
        <f t="shared" si="216"/>
        <v/>
      </c>
    </row>
    <row r="903" spans="1:40">
      <c r="A903" s="44" t="s">
        <v>249</v>
      </c>
      <c r="B903" s="35">
        <v>2</v>
      </c>
      <c r="C903" s="66">
        <v>6</v>
      </c>
      <c r="D903" s="66">
        <v>6300</v>
      </c>
      <c r="E903" s="65" t="e">
        <f>(0.082+0)*$B$909*C903^-0.3</f>
        <v>#N/A</v>
      </c>
      <c r="F903" s="66">
        <v>44</v>
      </c>
      <c r="G903" s="65" t="e">
        <f>(0.52*SQRT(C903)*50^0.9*$B$909^0.8)/1200</f>
        <v>#N/A</v>
      </c>
      <c r="H903" s="65" t="e">
        <f>B903*MIN((2.3*SQRT(C903*D903*E903))/1000+G903/4,E903*C903*F903/1000,E903*C903*F903/1000*(SQRT(2+4*D903/(C903*E903*F903^2))-1)+G903/4)</f>
        <v>#N/A</v>
      </c>
      <c r="I903" s="90" t="s">
        <v>243</v>
      </c>
      <c r="U903" s="105"/>
      <c r="V903" s="189"/>
      <c r="W903" s="105"/>
      <c r="X903" s="188"/>
      <c r="Y903" s="188"/>
      <c r="Z903" s="188"/>
      <c r="AA903" s="188"/>
      <c r="AB903" s="188"/>
      <c r="AE903" s="105"/>
      <c r="AF903" s="191"/>
      <c r="AG903" s="105"/>
      <c r="AH903" s="188"/>
      <c r="AI903" s="188"/>
      <c r="AJ903" s="188"/>
      <c r="AK903" s="188"/>
      <c r="AL903" s="188"/>
      <c r="AM903" s="24"/>
    </row>
    <row r="904" spans="1:40">
      <c r="A904" s="44" t="s">
        <v>250</v>
      </c>
      <c r="B904" s="35">
        <v>2</v>
      </c>
      <c r="C904" s="66">
        <v>10</v>
      </c>
      <c r="D904" s="66">
        <v>23900</v>
      </c>
      <c r="E904" s="65" t="e">
        <f>(0.082+0)*$B$909*C904^-0.3</f>
        <v>#N/A</v>
      </c>
      <c r="F904" s="66">
        <v>45</v>
      </c>
      <c r="G904" s="65" t="e">
        <f>(0.52*SQRT(C904)*50^0.9*$B$909^0.8)/1200</f>
        <v>#N/A</v>
      </c>
      <c r="H904" s="65" t="e">
        <f t="shared" si="222"/>
        <v>#N/A</v>
      </c>
      <c r="I904" s="90" t="s">
        <v>245</v>
      </c>
      <c r="U904" s="105"/>
      <c r="V904" s="189"/>
      <c r="W904" s="105"/>
      <c r="X904" s="188"/>
      <c r="Y904" s="188"/>
      <c r="Z904" s="188"/>
      <c r="AA904" s="188"/>
      <c r="AB904" s="188"/>
      <c r="AE904" s="105"/>
      <c r="AF904" s="191"/>
      <c r="AG904" s="105"/>
      <c r="AH904" s="188"/>
      <c r="AI904" s="188"/>
      <c r="AJ904" s="188"/>
      <c r="AK904" s="188"/>
      <c r="AL904" s="188"/>
      <c r="AM904" s="24"/>
    </row>
    <row r="905" spans="1:40">
      <c r="A905" s="44" t="s">
        <v>252</v>
      </c>
      <c r="B905" s="35">
        <v>2</v>
      </c>
      <c r="C905" s="66">
        <v>10</v>
      </c>
      <c r="D905" s="66">
        <v>23900</v>
      </c>
      <c r="E905" s="65" t="e">
        <f>(0.082+0)*$B$909*C905^-0.3</f>
        <v>#N/A</v>
      </c>
      <c r="F905" s="66">
        <v>54</v>
      </c>
      <c r="G905" s="65" t="e">
        <f>(0.52*SQRT(C905)*50^0.9*$B$909^0.8)/1000</f>
        <v>#N/A</v>
      </c>
      <c r="H905" s="65" t="e">
        <f t="shared" si="222"/>
        <v>#N/A</v>
      </c>
      <c r="I905" s="90"/>
      <c r="U905" s="105"/>
      <c r="V905" s="189"/>
      <c r="W905" s="105"/>
      <c r="X905" s="188"/>
      <c r="Y905" s="188"/>
      <c r="Z905" s="188"/>
      <c r="AA905" s="188"/>
      <c r="AB905" s="188"/>
      <c r="AE905" s="105"/>
      <c r="AF905" s="191"/>
      <c r="AG905" s="105"/>
      <c r="AH905" s="188"/>
      <c r="AI905" s="188"/>
      <c r="AJ905" s="188"/>
      <c r="AK905" s="188"/>
      <c r="AL905" s="188"/>
      <c r="AM905" s="24"/>
    </row>
    <row r="906" spans="1:40">
      <c r="A906" s="44" t="s">
        <v>253</v>
      </c>
      <c r="B906" s="35">
        <v>2</v>
      </c>
      <c r="C906" s="66">
        <v>10</v>
      </c>
      <c r="D906" s="66">
        <v>23900</v>
      </c>
      <c r="E906" s="65" t="e">
        <f>(0.033+0)*$B$909*C906^-0.3</f>
        <v>#N/A</v>
      </c>
      <c r="F906" s="66">
        <v>54</v>
      </c>
      <c r="G906" s="65" t="e">
        <f>(0.52*SQRT(C906)*50^0.9*$B$909^0.8)/1200</f>
        <v>#N/A</v>
      </c>
      <c r="H906" s="65" t="e">
        <f t="shared" si="222"/>
        <v>#N/A</v>
      </c>
      <c r="I906" s="90"/>
      <c r="U906" s="105"/>
      <c r="V906" s="189"/>
      <c r="W906" s="105"/>
      <c r="X906" s="188"/>
      <c r="Y906" s="188"/>
      <c r="Z906" s="188"/>
      <c r="AA906" s="188"/>
      <c r="AB906" s="188"/>
      <c r="AE906" s="105"/>
      <c r="AF906" s="191"/>
      <c r="AG906" s="105"/>
      <c r="AH906" s="188"/>
      <c r="AI906" s="188"/>
      <c r="AJ906" s="188"/>
      <c r="AK906" s="188"/>
      <c r="AL906" s="188"/>
      <c r="AM906" s="24"/>
    </row>
    <row r="907" spans="1:40">
      <c r="A907" s="3"/>
      <c r="B907" s="121"/>
      <c r="C907" s="122"/>
      <c r="D907" s="122"/>
      <c r="E907" s="123"/>
      <c r="F907" s="122"/>
      <c r="G907" s="123"/>
      <c r="H907" s="123"/>
      <c r="I907" s="90"/>
      <c r="U907" s="105"/>
      <c r="V907" s="189"/>
      <c r="W907" s="105"/>
      <c r="X907" s="188"/>
      <c r="Y907" s="188"/>
      <c r="Z907" s="188"/>
      <c r="AA907" s="188"/>
      <c r="AB907" s="188"/>
      <c r="AE907" s="105"/>
      <c r="AF907" s="191"/>
      <c r="AG907" s="105"/>
      <c r="AH907" s="188"/>
      <c r="AI907" s="188"/>
      <c r="AJ907" s="188"/>
      <c r="AK907" s="188"/>
      <c r="AL907" s="188"/>
      <c r="AM907" s="24"/>
    </row>
    <row r="908" spans="1:40">
      <c r="A908" s="21" t="s">
        <v>37</v>
      </c>
      <c r="B908" s="22" t="s">
        <v>28</v>
      </c>
      <c r="U908" s="2"/>
      <c r="V908" s="2">
        <v>20</v>
      </c>
      <c r="W908" s="188">
        <v>25.3</v>
      </c>
      <c r="X908" s="188">
        <v>26.7</v>
      </c>
      <c r="Y908" s="188">
        <v>28.1</v>
      </c>
      <c r="Z908" s="191">
        <v>29</v>
      </c>
      <c r="AA908" s="188">
        <v>29.9</v>
      </c>
      <c r="AB908" s="188">
        <v>27.7</v>
      </c>
      <c r="AC908" t="str">
        <f t="shared" ref="AC908:AC913" si="223">IF(MAX(W908:AB908)/1.3&gt;U$909,"Verbinder","")</f>
        <v/>
      </c>
      <c r="AE908" s="188"/>
      <c r="AF908" s="188">
        <v>20</v>
      </c>
      <c r="AG908" s="188">
        <v>58.7</v>
      </c>
      <c r="AH908" s="188"/>
      <c r="AI908" s="188"/>
      <c r="AJ908" s="188"/>
      <c r="AK908" s="188">
        <v>69.2</v>
      </c>
      <c r="AL908" s="188"/>
      <c r="AM908" s="24" t="str">
        <f t="shared" ref="AM908:AM913" si="224">IF(MAX(AG908:AL908)/1.3&gt;AE$909,"Verbinder","")</f>
        <v>Verbinder</v>
      </c>
      <c r="AN908" t="str">
        <f t="shared" si="216"/>
        <v/>
      </c>
    </row>
    <row r="909" spans="1:40" ht="18">
      <c r="A909" s="23" t="s">
        <v>39</v>
      </c>
      <c r="B909" s="24" t="e">
        <f>VLOOKUP(B908,$V$7:$W$16,2,FALSE)</f>
        <v>#N/A</v>
      </c>
      <c r="C909" t="s">
        <v>40</v>
      </c>
      <c r="F909" s="24"/>
      <c r="G909" s="24"/>
      <c r="H909" s="24"/>
      <c r="I909" s="24"/>
      <c r="J909" s="24"/>
      <c r="K909" s="24"/>
      <c r="U909" s="2">
        <v>34</v>
      </c>
      <c r="V909" s="2">
        <v>30</v>
      </c>
      <c r="W909" s="188">
        <v>22.8</v>
      </c>
      <c r="X909" s="188">
        <v>24.1</v>
      </c>
      <c r="Y909" s="188">
        <v>25.3</v>
      </c>
      <c r="Z909" s="188">
        <v>26.1</v>
      </c>
      <c r="AA909" s="188">
        <v>26.9</v>
      </c>
      <c r="AB909" s="188">
        <v>24.9</v>
      </c>
      <c r="AC909" t="str">
        <f t="shared" si="223"/>
        <v/>
      </c>
      <c r="AE909" s="188">
        <v>34</v>
      </c>
      <c r="AF909" s="188">
        <v>30</v>
      </c>
      <c r="AG909" s="188">
        <v>52.2</v>
      </c>
      <c r="AH909" s="188"/>
      <c r="AI909" s="188"/>
      <c r="AJ909" s="188"/>
      <c r="AK909" s="188">
        <v>61.4</v>
      </c>
      <c r="AL909" s="188"/>
      <c r="AM909" s="24" t="str">
        <f t="shared" si="224"/>
        <v>Verbinder</v>
      </c>
      <c r="AN909" t="str">
        <f t="shared" si="216"/>
        <v/>
      </c>
    </row>
    <row r="910" spans="1:40">
      <c r="A910" s="23"/>
      <c r="E910" s="24"/>
      <c r="F910" s="24"/>
      <c r="H910" s="24"/>
      <c r="I910" s="24"/>
      <c r="J910" s="24"/>
      <c r="K910" s="24"/>
      <c r="U910" s="189">
        <f>N868</f>
        <v>0</v>
      </c>
      <c r="V910" s="2">
        <v>40</v>
      </c>
      <c r="W910" s="188">
        <v>20.7</v>
      </c>
      <c r="X910" s="188">
        <v>21.8</v>
      </c>
      <c r="Y910" s="191">
        <v>23</v>
      </c>
      <c r="Z910" s="188">
        <v>23.7</v>
      </c>
      <c r="AA910" s="188">
        <v>24.4</v>
      </c>
      <c r="AB910" s="188">
        <v>22.6</v>
      </c>
      <c r="AC910" t="str">
        <f t="shared" si="223"/>
        <v/>
      </c>
      <c r="AE910" s="191">
        <f>N876</f>
        <v>0</v>
      </c>
      <c r="AF910" s="188">
        <v>40</v>
      </c>
      <c r="AG910" s="188">
        <v>46.9</v>
      </c>
      <c r="AH910" s="188"/>
      <c r="AI910" s="188"/>
      <c r="AJ910" s="188"/>
      <c r="AK910" s="188">
        <v>55</v>
      </c>
      <c r="AL910" s="188"/>
      <c r="AM910" s="24" t="str">
        <f t="shared" si="224"/>
        <v>Verbinder</v>
      </c>
      <c r="AN910" t="str">
        <f t="shared" si="216"/>
        <v/>
      </c>
    </row>
    <row r="911" spans="1:40" ht="15.75" thickBot="1">
      <c r="A911" s="23"/>
      <c r="B911" s="77"/>
      <c r="E911" t="s">
        <v>72</v>
      </c>
      <c r="H911" s="24"/>
      <c r="I911" s="24"/>
      <c r="J911" s="24"/>
      <c r="K911" s="24"/>
      <c r="U911" s="2"/>
      <c r="V911" s="2">
        <v>50</v>
      </c>
      <c r="W911" s="188">
        <v>18.899999999999999</v>
      </c>
      <c r="X911" s="188">
        <v>19.899999999999999</v>
      </c>
      <c r="Y911" s="191">
        <v>21</v>
      </c>
      <c r="Z911" s="188">
        <v>21.6</v>
      </c>
      <c r="AA911" s="188">
        <v>22.2</v>
      </c>
      <c r="AB911" s="188">
        <v>20.6</v>
      </c>
      <c r="AC911" t="str">
        <f t="shared" si="223"/>
        <v/>
      </c>
      <c r="AE911" s="188"/>
      <c r="AF911" s="188">
        <v>50</v>
      </c>
      <c r="AG911" s="188">
        <v>42.4</v>
      </c>
      <c r="AH911" s="188"/>
      <c r="AI911" s="188"/>
      <c r="AJ911" s="188"/>
      <c r="AK911" s="188">
        <v>49.7</v>
      </c>
      <c r="AL911" s="188"/>
      <c r="AM911" s="24" t="str">
        <f t="shared" si="224"/>
        <v>Verbinder</v>
      </c>
      <c r="AN911" t="str">
        <f t="shared" si="216"/>
        <v/>
      </c>
    </row>
    <row r="912" spans="1:40" ht="18">
      <c r="A912" s="4" t="s">
        <v>2</v>
      </c>
      <c r="B912" s="78" t="s">
        <v>121</v>
      </c>
      <c r="C912" s="78" t="s">
        <v>164</v>
      </c>
      <c r="D912" s="78" t="s">
        <v>258</v>
      </c>
      <c r="E912" s="79" t="s">
        <v>165</v>
      </c>
      <c r="F912" s="79" t="s">
        <v>259</v>
      </c>
      <c r="G912" s="763" t="s">
        <v>260</v>
      </c>
      <c r="H912" s="196" t="s">
        <v>94</v>
      </c>
      <c r="I912" s="197"/>
      <c r="J912" s="197"/>
      <c r="K912" s="197"/>
      <c r="L912" s="198"/>
      <c r="M912" s="199" t="s">
        <v>261</v>
      </c>
      <c r="N912" s="197"/>
      <c r="O912" s="197"/>
      <c r="P912" s="198"/>
      <c r="Q912" s="200" t="s">
        <v>229</v>
      </c>
      <c r="R912" s="201"/>
      <c r="S912" s="201"/>
      <c r="T912" s="202"/>
      <c r="U912" s="2"/>
      <c r="V912" s="2">
        <v>60</v>
      </c>
      <c r="W912" s="188">
        <v>17.399999999999999</v>
      </c>
      <c r="X912" s="188">
        <v>18.3</v>
      </c>
      <c r="Y912" s="188">
        <v>19.2</v>
      </c>
      <c r="Z912" s="188">
        <v>19.8</v>
      </c>
      <c r="AA912" s="188">
        <v>20.399999999999999</v>
      </c>
      <c r="AB912" s="188">
        <v>18.899999999999999</v>
      </c>
      <c r="AC912" t="str">
        <f t="shared" si="223"/>
        <v/>
      </c>
      <c r="AE912" s="188"/>
      <c r="AF912" s="188">
        <v>60</v>
      </c>
      <c r="AG912" s="188">
        <v>38.700000000000003</v>
      </c>
      <c r="AH912" s="188"/>
      <c r="AI912" s="188"/>
      <c r="AJ912" s="188"/>
      <c r="AK912" s="188">
        <v>45.3</v>
      </c>
      <c r="AL912" s="188"/>
      <c r="AM912" s="24" t="str">
        <f t="shared" si="224"/>
        <v>Verbinder</v>
      </c>
      <c r="AN912" t="str">
        <f t="shared" si="216"/>
        <v/>
      </c>
    </row>
    <row r="913" spans="1:40">
      <c r="A913" s="8"/>
      <c r="B913" s="81" t="s">
        <v>17</v>
      </c>
      <c r="C913" s="82" t="s">
        <v>17</v>
      </c>
      <c r="D913" s="82" t="s">
        <v>17</v>
      </c>
      <c r="E913" s="83" t="s">
        <v>17</v>
      </c>
      <c r="F913" s="83" t="s">
        <v>262</v>
      </c>
      <c r="G913" s="763"/>
      <c r="H913" s="28"/>
      <c r="I913" s="27">
        <v>0.6</v>
      </c>
      <c r="J913" s="27">
        <v>0.7</v>
      </c>
      <c r="K913" s="27">
        <v>0.8</v>
      </c>
      <c r="L913" s="27">
        <v>0.9</v>
      </c>
      <c r="M913" s="110">
        <v>0.6</v>
      </c>
      <c r="N913" s="27">
        <v>0.7</v>
      </c>
      <c r="O913" s="27">
        <v>0.8</v>
      </c>
      <c r="P913" s="29">
        <v>0.9</v>
      </c>
      <c r="Q913" s="203">
        <v>0.6</v>
      </c>
      <c r="R913" s="178">
        <v>0.7</v>
      </c>
      <c r="S913" s="178">
        <v>0.8</v>
      </c>
      <c r="T913" s="178">
        <v>0.9</v>
      </c>
      <c r="U913" s="2"/>
      <c r="V913" s="2">
        <v>70</v>
      </c>
      <c r="W913" s="189">
        <v>16</v>
      </c>
      <c r="X913" s="2">
        <v>16.899999999999999</v>
      </c>
      <c r="Y913" s="2">
        <v>17.8</v>
      </c>
      <c r="Z913" s="2">
        <v>18.3</v>
      </c>
      <c r="AA913" s="2">
        <v>18.8</v>
      </c>
      <c r="AB913" s="2">
        <v>17.5</v>
      </c>
      <c r="AC913" t="str">
        <f t="shared" si="223"/>
        <v/>
      </c>
      <c r="AE913" s="188"/>
      <c r="AF913" s="188">
        <v>70</v>
      </c>
      <c r="AG913" s="188">
        <v>35.5</v>
      </c>
      <c r="AH913" s="188"/>
      <c r="AI913" s="188"/>
      <c r="AJ913" s="188"/>
      <c r="AK913" s="188">
        <v>41.5</v>
      </c>
      <c r="AL913" s="188"/>
      <c r="AM913" s="24" t="str">
        <f t="shared" si="224"/>
        <v/>
      </c>
      <c r="AN913" t="str">
        <f t="shared" si="216"/>
        <v/>
      </c>
    </row>
    <row r="914" spans="1:40">
      <c r="A914" s="44" t="s">
        <v>242</v>
      </c>
      <c r="B914" s="16" t="e">
        <f t="shared" ref="B914:B923" si="225">F886</f>
        <v>#N/A</v>
      </c>
      <c r="C914" s="16">
        <v>17</v>
      </c>
      <c r="D914" s="16" t="e">
        <f>H899</f>
        <v>#N/A</v>
      </c>
      <c r="E914" s="204" t="e">
        <f t="shared" ref="E914:E923" si="226">MIN(B914,C914,D914)</f>
        <v>#N/A</v>
      </c>
      <c r="F914" s="205" t="e">
        <f t="shared" ref="F914:F923" si="227">E914*0.9/1.3</f>
        <v>#N/A</v>
      </c>
      <c r="H914" s="28">
        <v>350</v>
      </c>
      <c r="I914" s="30">
        <v>1.7919189140271494</v>
      </c>
      <c r="J914" s="30">
        <v>2.0905720663650076</v>
      </c>
      <c r="K914" s="30">
        <v>2.3892252187028662</v>
      </c>
      <c r="L914" s="30">
        <v>2.6878783710407244</v>
      </c>
      <c r="M914" s="206">
        <v>2.0602017997097244</v>
      </c>
      <c r="N914" s="207">
        <v>2.4035687663280116</v>
      </c>
      <c r="O914" s="207">
        <v>2.7469357329462993</v>
      </c>
      <c r="P914" s="208">
        <v>3.0903026995645866</v>
      </c>
      <c r="Q914" s="209" t="e">
        <f>MIN(Q$913*$B914/1.3,$C914/1,Q$913*$D914/1.3)</f>
        <v>#N/A</v>
      </c>
      <c r="R914" s="88" t="e">
        <f>MIN(R$913*$B914/1.3,$C914/1,R$913*$D914/1.3)</f>
        <v>#N/A</v>
      </c>
      <c r="S914" s="88" t="e">
        <f>MIN(S$913*$B914/1.3,$C914/1,S$913*$D914/1.3)</f>
        <v>#N/A</v>
      </c>
      <c r="T914" s="88" t="e">
        <f>MIN(T$913*$B914/1.3,$C914/1,T$913*$D914/1.3)</f>
        <v>#N/A</v>
      </c>
      <c r="AE914" s="24"/>
      <c r="AF914" s="24"/>
      <c r="AG914" s="24"/>
      <c r="AH914" s="24"/>
      <c r="AI914" s="24"/>
      <c r="AJ914" s="24"/>
      <c r="AK914" s="24"/>
      <c r="AL914" s="24"/>
      <c r="AM914" s="24"/>
    </row>
    <row r="915" spans="1:40">
      <c r="A915" s="44" t="s">
        <v>244</v>
      </c>
      <c r="B915" s="16" t="e">
        <f t="shared" si="225"/>
        <v>#N/A</v>
      </c>
      <c r="C915" s="16">
        <v>17</v>
      </c>
      <c r="D915" s="16" t="e">
        <f t="shared" ref="D915:D920" si="228">H899</f>
        <v>#N/A</v>
      </c>
      <c r="E915" s="204" t="e">
        <f t="shared" si="226"/>
        <v>#N/A</v>
      </c>
      <c r="F915" s="205" t="e">
        <f t="shared" si="227"/>
        <v>#N/A</v>
      </c>
      <c r="G915" s="38" t="e">
        <f>F915/F914</f>
        <v>#N/A</v>
      </c>
      <c r="H915" s="28">
        <v>380</v>
      </c>
      <c r="I915" s="30">
        <v>1.9455119638009055</v>
      </c>
      <c r="J915" s="30">
        <v>2.2697639577677231</v>
      </c>
      <c r="K915" s="30">
        <v>2.5940159517345407</v>
      </c>
      <c r="L915" s="30">
        <v>2.9182679457013583</v>
      </c>
      <c r="M915" s="206">
        <v>2.2367905253991291</v>
      </c>
      <c r="N915" s="207">
        <v>2.6095889462989836</v>
      </c>
      <c r="O915" s="207">
        <v>2.982387367198839</v>
      </c>
      <c r="P915" s="208">
        <v>3.3551857880986939</v>
      </c>
      <c r="Q915" s="209" t="e">
        <f>MIN(Q$913*$B918/1.3,$C918/1,Q$913*$D918/1.3)</f>
        <v>#N/A</v>
      </c>
      <c r="R915" s="88" t="e">
        <f>MIN(R$913*$B918/1.3,$C918/1,R$913*$D918/1.3)</f>
        <v>#N/A</v>
      </c>
      <c r="S915" s="88" t="e">
        <f>MIN(S$913*$B918/1.3,$C918/1,S$913*$D918/1.3)</f>
        <v>#N/A</v>
      </c>
      <c r="T915" s="88" t="e">
        <f>MIN(T$913*$B918/1.3,$C918/1,T$913*$D918/1.3)</f>
        <v>#N/A</v>
      </c>
      <c r="AE915" s="24"/>
      <c r="AF915" s="24"/>
      <c r="AG915" s="24"/>
      <c r="AH915" s="24"/>
      <c r="AI915" s="24"/>
      <c r="AJ915" s="24"/>
      <c r="AK915" s="24"/>
      <c r="AL915" s="24"/>
      <c r="AM915" s="24"/>
    </row>
    <row r="916" spans="1:40">
      <c r="A916" s="44" t="s">
        <v>246</v>
      </c>
      <c r="B916" s="16" t="e">
        <f t="shared" si="225"/>
        <v>#N/A</v>
      </c>
      <c r="C916" s="16">
        <v>17</v>
      </c>
      <c r="D916" s="16" t="e">
        <f t="shared" si="228"/>
        <v>#N/A</v>
      </c>
      <c r="E916" s="96" t="e">
        <f t="shared" si="226"/>
        <v>#N/A</v>
      </c>
      <c r="F916" s="205" t="e">
        <f t="shared" si="227"/>
        <v>#N/A</v>
      </c>
      <c r="H916" s="28">
        <v>410</v>
      </c>
      <c r="I916" s="30">
        <v>2.0991050135746607</v>
      </c>
      <c r="J916" s="30">
        <v>2.4489558491704377</v>
      </c>
      <c r="K916" s="30">
        <v>2.7988066847662147</v>
      </c>
      <c r="L916" s="30">
        <v>3.1486575203619913</v>
      </c>
      <c r="M916" s="206">
        <v>2.4133792510885339</v>
      </c>
      <c r="N916" s="207">
        <v>2.8156091262699561</v>
      </c>
      <c r="O916" s="207">
        <v>3.2178390014513791</v>
      </c>
      <c r="P916" s="208">
        <v>3.6200688766328009</v>
      </c>
      <c r="U916" s="191">
        <f>U928</f>
        <v>430</v>
      </c>
      <c r="V916" s="2" t="s">
        <v>263</v>
      </c>
      <c r="W916" s="2">
        <v>350</v>
      </c>
      <c r="X916" s="2">
        <v>380</v>
      </c>
      <c r="Y916" s="2">
        <v>410</v>
      </c>
      <c r="Z916" s="2">
        <v>430</v>
      </c>
      <c r="AA916" s="2">
        <v>450</v>
      </c>
      <c r="AB916" s="2">
        <v>400</v>
      </c>
      <c r="AC916" s="2"/>
      <c r="AE916" s="188"/>
      <c r="AF916" s="188" t="s">
        <v>264</v>
      </c>
      <c r="AG916" s="188">
        <v>350</v>
      </c>
      <c r="AH916" s="188">
        <v>380</v>
      </c>
      <c r="AI916" s="188">
        <v>410</v>
      </c>
      <c r="AJ916" s="188">
        <v>430</v>
      </c>
      <c r="AK916" s="188">
        <v>450</v>
      </c>
      <c r="AL916" s="188">
        <v>400</v>
      </c>
      <c r="AM916" s="188"/>
    </row>
    <row r="917" spans="1:40" ht="15.75" thickBot="1">
      <c r="A917" s="210" t="s">
        <v>247</v>
      </c>
      <c r="B917" s="211" t="e">
        <f t="shared" si="225"/>
        <v>#N/A</v>
      </c>
      <c r="C917" s="211">
        <v>17</v>
      </c>
      <c r="D917" s="211" t="e">
        <f t="shared" si="228"/>
        <v>#N/A</v>
      </c>
      <c r="E917" s="212" t="e">
        <f t="shared" si="226"/>
        <v>#N/A</v>
      </c>
      <c r="F917" s="213" t="e">
        <f t="shared" si="227"/>
        <v>#N/A</v>
      </c>
      <c r="H917" s="28">
        <v>430</v>
      </c>
      <c r="I917" s="30">
        <v>2.2015003800904984</v>
      </c>
      <c r="J917" s="30">
        <v>2.5684171101055813</v>
      </c>
      <c r="K917" s="30">
        <v>2.9353338401206646</v>
      </c>
      <c r="L917" s="30">
        <v>3.3022505701357474</v>
      </c>
      <c r="M917" s="206">
        <v>2.5311050682148037</v>
      </c>
      <c r="N917" s="207">
        <v>2.9529559129172713</v>
      </c>
      <c r="O917" s="207">
        <v>3.3748067576197389</v>
      </c>
      <c r="P917" s="208">
        <v>3.7966576023222061</v>
      </c>
      <c r="U917" s="105">
        <f>U929</f>
        <v>100</v>
      </c>
      <c r="V917" s="189">
        <v>10</v>
      </c>
      <c r="W917" s="105"/>
      <c r="X917" s="188"/>
      <c r="Y917" s="188"/>
      <c r="Z917" s="188"/>
      <c r="AA917" s="188"/>
      <c r="AB917" s="188"/>
      <c r="AC917" t="str">
        <f t="shared" ref="AC917:AC926" si="229">IF(MAX(W917:AB917)/1.3&gt;U$919,"Verbinder","")</f>
        <v/>
      </c>
      <c r="AE917" s="105"/>
      <c r="AF917" s="191">
        <v>10</v>
      </c>
      <c r="AG917" s="105">
        <v>86.6</v>
      </c>
      <c r="AH917" s="188"/>
      <c r="AI917" s="188"/>
      <c r="AJ917" s="188"/>
      <c r="AK917" s="188">
        <v>101.9</v>
      </c>
      <c r="AL917" s="188"/>
      <c r="AM917" s="24" t="str">
        <f t="shared" ref="AM917:AM926" si="230">IF(MAX(AG917:AL917)/1.3&gt;AE$919,"Verbinder","")</f>
        <v>Verbinder</v>
      </c>
      <c r="AN917" t="str">
        <f t="shared" ref="AN917:AN926" si="231">IF(OR(AG917&lt;W917,AK917&lt;AA917),"ACHTUNG","")</f>
        <v/>
      </c>
    </row>
    <row r="918" spans="1:40">
      <c r="A918" s="8" t="s">
        <v>248</v>
      </c>
      <c r="B918" s="214" t="e">
        <f t="shared" si="225"/>
        <v>#N/A</v>
      </c>
      <c r="C918" s="214">
        <v>17</v>
      </c>
      <c r="D918" s="214" t="e">
        <f t="shared" si="228"/>
        <v>#N/A</v>
      </c>
      <c r="E918" s="215" t="e">
        <f t="shared" si="226"/>
        <v>#N/A</v>
      </c>
      <c r="F918" s="216" t="e">
        <f t="shared" si="227"/>
        <v>#N/A</v>
      </c>
      <c r="H918" s="28">
        <v>450</v>
      </c>
      <c r="I918" s="30">
        <v>2.3038957466063352</v>
      </c>
      <c r="J918" s="30">
        <v>2.6878783710407244</v>
      </c>
      <c r="K918" s="30">
        <v>3.0718609954751135</v>
      </c>
      <c r="L918" s="30">
        <v>3.4558436199095031</v>
      </c>
      <c r="M918" s="206">
        <v>2.648830885341074</v>
      </c>
      <c r="N918" s="207">
        <v>3.0903026995645861</v>
      </c>
      <c r="O918" s="207">
        <v>3.5317745137880991</v>
      </c>
      <c r="P918" s="208">
        <v>3.9732463280116108</v>
      </c>
      <c r="U918" s="2"/>
      <c r="V918" s="2">
        <v>20</v>
      </c>
      <c r="W918" s="188"/>
      <c r="X918" s="188"/>
      <c r="Y918" s="188"/>
      <c r="Z918" s="188"/>
      <c r="AA918" s="188"/>
      <c r="AB918" s="188"/>
      <c r="AC918" t="str">
        <f t="shared" si="229"/>
        <v/>
      </c>
      <c r="AE918" s="188"/>
      <c r="AF918" s="188">
        <v>20</v>
      </c>
      <c r="AG918" s="188">
        <v>74.900000000000006</v>
      </c>
      <c r="AH918" s="188"/>
      <c r="AI918" s="188"/>
      <c r="AJ918" s="188"/>
      <c r="AK918" s="188">
        <v>87.9</v>
      </c>
      <c r="AL918" s="188"/>
      <c r="AM918" s="24" t="str">
        <f t="shared" si="230"/>
        <v>Verbinder</v>
      </c>
      <c r="AN918" t="str">
        <f t="shared" si="231"/>
        <v/>
      </c>
    </row>
    <row r="919" spans="1:40">
      <c r="A919" s="8" t="s">
        <v>248</v>
      </c>
      <c r="B919" s="214" t="e">
        <f t="shared" si="225"/>
        <v>#N/A</v>
      </c>
      <c r="C919" s="214">
        <v>18</v>
      </c>
      <c r="D919" s="214" t="e">
        <f t="shared" si="228"/>
        <v>#N/A</v>
      </c>
      <c r="E919" s="217" t="e">
        <f t="shared" si="226"/>
        <v>#N/A</v>
      </c>
      <c r="F919" s="216" t="e">
        <f t="shared" si="227"/>
        <v>#N/A</v>
      </c>
      <c r="G919" s="38" t="e">
        <f>F920/F918</f>
        <v>#N/A</v>
      </c>
      <c r="H919" s="28">
        <v>400</v>
      </c>
      <c r="I919" s="30">
        <v>2.0479073303167423</v>
      </c>
      <c r="J919" s="30">
        <v>2.3892252187028657</v>
      </c>
      <c r="K919" s="30">
        <v>2.7305431070889901</v>
      </c>
      <c r="L919" s="30">
        <v>3.0718609954751135</v>
      </c>
      <c r="M919" s="206">
        <v>2.354516342525399</v>
      </c>
      <c r="N919" s="207">
        <v>2.7469357329462989</v>
      </c>
      <c r="O919" s="207">
        <v>3.1393551233671988</v>
      </c>
      <c r="P919" s="208">
        <v>3.5317745137880991</v>
      </c>
      <c r="U919" s="2">
        <v>50</v>
      </c>
      <c r="V919" s="2">
        <v>30</v>
      </c>
      <c r="W919" s="188"/>
      <c r="X919" s="188"/>
      <c r="Y919" s="188"/>
      <c r="Z919" s="188"/>
      <c r="AA919" s="188"/>
      <c r="AB919" s="188"/>
      <c r="AC919" t="str">
        <f t="shared" si="229"/>
        <v/>
      </c>
      <c r="AE919" s="188">
        <v>50</v>
      </c>
      <c r="AF919" s="188">
        <v>30</v>
      </c>
      <c r="AG919" s="188">
        <v>65.7</v>
      </c>
      <c r="AH919" s="188"/>
      <c r="AI919" s="188"/>
      <c r="AJ919" s="188"/>
      <c r="AK919" s="188">
        <v>76.900000000000006</v>
      </c>
      <c r="AL919" s="188"/>
      <c r="AM919" s="24" t="str">
        <f t="shared" si="230"/>
        <v>Verbinder</v>
      </c>
      <c r="AN919" t="str">
        <f t="shared" si="231"/>
        <v/>
      </c>
    </row>
    <row r="920" spans="1:40">
      <c r="A920" s="8" t="s">
        <v>250</v>
      </c>
      <c r="B920" s="214" t="e">
        <f t="shared" si="225"/>
        <v>#N/A</v>
      </c>
      <c r="C920" s="214">
        <v>17</v>
      </c>
      <c r="D920" s="214" t="e">
        <f t="shared" si="228"/>
        <v>#N/A</v>
      </c>
      <c r="E920" s="217" t="e">
        <f t="shared" si="226"/>
        <v>#N/A</v>
      </c>
      <c r="F920" s="216" t="e">
        <f t="shared" si="227"/>
        <v>#N/A</v>
      </c>
      <c r="G920" s="38" t="e">
        <f>E921/E918</f>
        <v>#N/A</v>
      </c>
      <c r="H920" s="218" t="s">
        <v>107</v>
      </c>
      <c r="I920" s="219"/>
      <c r="J920" s="219"/>
      <c r="K920" s="219"/>
      <c r="L920" s="220"/>
      <c r="M920" s="218" t="s">
        <v>265</v>
      </c>
      <c r="N920" s="219"/>
      <c r="O920" s="219"/>
      <c r="P920" s="220"/>
      <c r="U920" s="189">
        <f>N869</f>
        <v>0</v>
      </c>
      <c r="V920" s="2">
        <v>40</v>
      </c>
      <c r="W920" s="188">
        <v>29.7</v>
      </c>
      <c r="X920" s="188">
        <v>31.3</v>
      </c>
      <c r="Y920" s="188">
        <v>32.799999999999997</v>
      </c>
      <c r="Z920" s="188">
        <v>33.799999999999997</v>
      </c>
      <c r="AA920" s="188">
        <v>34.799999999999997</v>
      </c>
      <c r="AB920" s="188">
        <v>32.299999999999997</v>
      </c>
      <c r="AC920" t="str">
        <f t="shared" si="229"/>
        <v/>
      </c>
      <c r="AE920" s="191">
        <f>N877</f>
        <v>0</v>
      </c>
      <c r="AF920" s="188">
        <v>40</v>
      </c>
      <c r="AG920" s="188">
        <v>58.3</v>
      </c>
      <c r="AH920" s="188"/>
      <c r="AI920" s="188"/>
      <c r="AJ920" s="188"/>
      <c r="AK920" s="188">
        <v>68.2</v>
      </c>
      <c r="AL920" s="188"/>
      <c r="AM920" s="24" t="str">
        <f t="shared" si="230"/>
        <v>Verbinder</v>
      </c>
      <c r="AN920" t="str">
        <f t="shared" si="231"/>
        <v/>
      </c>
    </row>
    <row r="921" spans="1:40">
      <c r="A921" s="8" t="s">
        <v>251</v>
      </c>
      <c r="B921" s="214" t="e">
        <f t="shared" si="225"/>
        <v>#N/A</v>
      </c>
      <c r="C921" s="214">
        <v>17</v>
      </c>
      <c r="D921" s="214" t="e">
        <f>H902</f>
        <v>#N/A</v>
      </c>
      <c r="E921" s="217" t="e">
        <f t="shared" si="226"/>
        <v>#N/A</v>
      </c>
      <c r="F921" s="216" t="e">
        <f t="shared" si="227"/>
        <v>#N/A</v>
      </c>
      <c r="H921" s="26">
        <v>350</v>
      </c>
      <c r="I921" s="30">
        <v>1.6442900535804326</v>
      </c>
      <c r="J921" s="30">
        <v>1.918338395843838</v>
      </c>
      <c r="K921" s="30">
        <v>2.1923867381072437</v>
      </c>
      <c r="L921" s="30">
        <v>2.466435080370649</v>
      </c>
      <c r="M921" s="206">
        <v>2.0602017997097244</v>
      </c>
      <c r="N921" s="207">
        <v>2.4035687663280116</v>
      </c>
      <c r="O921" s="207">
        <v>2.7469357329462993</v>
      </c>
      <c r="P921" s="208">
        <v>3.0903026995645866</v>
      </c>
      <c r="U921" s="2"/>
      <c r="V921" s="2">
        <v>50</v>
      </c>
      <c r="W921" s="188">
        <v>26.8</v>
      </c>
      <c r="X921" s="188">
        <v>28.2</v>
      </c>
      <c r="Y921" s="188">
        <v>29.5</v>
      </c>
      <c r="Z921" s="188">
        <v>30.4</v>
      </c>
      <c r="AA921" s="188">
        <v>31.3</v>
      </c>
      <c r="AB921" s="188">
        <v>29.1</v>
      </c>
      <c r="AC921" t="str">
        <f t="shared" si="229"/>
        <v/>
      </c>
      <c r="AE921" s="188"/>
      <c r="AF921" s="188">
        <v>50</v>
      </c>
      <c r="AG921" s="188">
        <v>52.3</v>
      </c>
      <c r="AH921" s="188"/>
      <c r="AI921" s="188"/>
      <c r="AJ921" s="188"/>
      <c r="AK921" s="188">
        <v>61.1</v>
      </c>
      <c r="AL921" s="188"/>
      <c r="AM921" s="24" t="str">
        <f t="shared" si="230"/>
        <v/>
      </c>
      <c r="AN921" t="str">
        <f t="shared" si="231"/>
        <v/>
      </c>
    </row>
    <row r="922" spans="1:40">
      <c r="A922" s="44" t="s">
        <v>252</v>
      </c>
      <c r="B922" s="16" t="e">
        <f t="shared" si="225"/>
        <v>#N/A</v>
      </c>
      <c r="C922" s="16">
        <v>17</v>
      </c>
      <c r="D922" s="16" t="e">
        <f>H905</f>
        <v>#N/A</v>
      </c>
      <c r="E922" s="204" t="e">
        <f t="shared" si="226"/>
        <v>#N/A</v>
      </c>
      <c r="F922" s="205" t="e">
        <f t="shared" si="227"/>
        <v>#N/A</v>
      </c>
      <c r="H922" s="26">
        <v>380</v>
      </c>
      <c r="I922" s="30">
        <v>1.7750161885589089</v>
      </c>
      <c r="J922" s="30">
        <v>2.0708522199853934</v>
      </c>
      <c r="K922" s="30">
        <v>2.3666882514118788</v>
      </c>
      <c r="L922" s="30">
        <v>2.6625242828383633</v>
      </c>
      <c r="M922" s="206">
        <v>2.2367905253991291</v>
      </c>
      <c r="N922" s="207">
        <v>2.6095889462989836</v>
      </c>
      <c r="O922" s="207">
        <v>2.982387367198839</v>
      </c>
      <c r="P922" s="208">
        <v>3.3551857880986939</v>
      </c>
      <c r="U922" s="2"/>
      <c r="V922" s="2">
        <v>60</v>
      </c>
      <c r="W922" s="188">
        <v>24.3</v>
      </c>
      <c r="X922" s="188">
        <v>25.6</v>
      </c>
      <c r="Y922" s="188">
        <v>26.8</v>
      </c>
      <c r="Z922" s="188">
        <v>27.6</v>
      </c>
      <c r="AA922" s="188">
        <v>28.4</v>
      </c>
      <c r="AB922" s="188">
        <v>26.4</v>
      </c>
      <c r="AC922" t="str">
        <f t="shared" si="229"/>
        <v/>
      </c>
      <c r="AE922" s="188"/>
      <c r="AF922" s="188">
        <v>60</v>
      </c>
      <c r="AG922" s="188">
        <v>47.4</v>
      </c>
      <c r="AH922" s="188"/>
      <c r="AI922" s="188"/>
      <c r="AJ922" s="188"/>
      <c r="AK922" s="188">
        <v>55.3</v>
      </c>
      <c r="AL922" s="188"/>
      <c r="AM922" s="24" t="str">
        <f t="shared" si="230"/>
        <v/>
      </c>
      <c r="AN922" t="str">
        <f t="shared" si="231"/>
        <v/>
      </c>
    </row>
    <row r="923" spans="1:40">
      <c r="A923" s="44" t="s">
        <v>253</v>
      </c>
      <c r="B923" s="16" t="e">
        <f t="shared" si="225"/>
        <v>#N/A</v>
      </c>
      <c r="C923" s="16">
        <v>17</v>
      </c>
      <c r="D923" s="16" t="e">
        <f>H906</f>
        <v>#N/A</v>
      </c>
      <c r="E923" s="204" t="e">
        <f t="shared" si="226"/>
        <v>#N/A</v>
      </c>
      <c r="F923" s="205" t="e">
        <f t="shared" si="227"/>
        <v>#N/A</v>
      </c>
      <c r="H923" s="26">
        <v>410</v>
      </c>
      <c r="I923" s="30">
        <v>1.8874296643708826</v>
      </c>
      <c r="J923" s="30">
        <v>2.2020012750993629</v>
      </c>
      <c r="K923" s="30">
        <v>2.5165728858278436</v>
      </c>
      <c r="L923" s="30">
        <v>2.8311444965563237</v>
      </c>
      <c r="M923" s="206">
        <v>2.4133792510885339</v>
      </c>
      <c r="N923" s="207">
        <v>2.8156091262699561</v>
      </c>
      <c r="O923" s="207">
        <v>3.2178390014513791</v>
      </c>
      <c r="P923" s="208">
        <v>3.6200688766328009</v>
      </c>
      <c r="U923" s="2"/>
      <c r="V923" s="2">
        <v>70</v>
      </c>
      <c r="W923" s="188">
        <v>22.2</v>
      </c>
      <c r="X923" s="188">
        <v>23.4</v>
      </c>
      <c r="Y923" s="188">
        <v>24.5</v>
      </c>
      <c r="Z923" s="188">
        <v>25.2</v>
      </c>
      <c r="AA923" s="188">
        <v>25.9</v>
      </c>
      <c r="AB923" s="188">
        <v>24.1</v>
      </c>
      <c r="AC923" t="str">
        <f t="shared" si="229"/>
        <v/>
      </c>
      <c r="AE923" s="188"/>
      <c r="AF923" s="188">
        <v>70</v>
      </c>
      <c r="AG923" s="188">
        <v>43.1</v>
      </c>
      <c r="AH923" s="188"/>
      <c r="AI923" s="188"/>
      <c r="AJ923" s="188"/>
      <c r="AK923" s="188">
        <v>50.5</v>
      </c>
      <c r="AL923" s="188"/>
      <c r="AM923" s="24" t="str">
        <f t="shared" si="230"/>
        <v/>
      </c>
      <c r="AN923" t="str">
        <f t="shared" si="231"/>
        <v/>
      </c>
    </row>
    <row r="924" spans="1:40">
      <c r="A924" s="221" t="s">
        <v>266</v>
      </c>
      <c r="B924" s="168" t="e">
        <f>F890</f>
        <v>#N/A</v>
      </c>
      <c r="C924" s="16">
        <v>8</v>
      </c>
      <c r="D924" s="16" t="e">
        <f>H902</f>
        <v>#N/A</v>
      </c>
      <c r="E924" s="44"/>
      <c r="F924" s="44"/>
      <c r="H924" s="26">
        <v>430</v>
      </c>
      <c r="I924" s="30">
        <v>1.9619026096722081</v>
      </c>
      <c r="J924" s="30">
        <v>2.2888863779509094</v>
      </c>
      <c r="K924" s="30">
        <v>2.6158701462296108</v>
      </c>
      <c r="L924" s="30">
        <v>2.9428539145083121</v>
      </c>
      <c r="M924" s="206">
        <v>2.5311050682148037</v>
      </c>
      <c r="N924" s="207">
        <v>2.9529559129172713</v>
      </c>
      <c r="O924" s="207">
        <v>3.3748067576197389</v>
      </c>
      <c r="P924" s="208">
        <v>3.7966576023222061</v>
      </c>
      <c r="V924" s="2">
        <v>80</v>
      </c>
      <c r="W924" s="188">
        <v>20.3</v>
      </c>
      <c r="X924" s="188">
        <v>21.5</v>
      </c>
      <c r="Y924" s="188">
        <v>22.5</v>
      </c>
      <c r="Z924" s="188">
        <v>23.2</v>
      </c>
      <c r="AA924" s="188">
        <v>23.9</v>
      </c>
      <c r="AB924" s="188">
        <v>22.2</v>
      </c>
      <c r="AC924" t="str">
        <f t="shared" si="229"/>
        <v/>
      </c>
      <c r="AE924" s="24"/>
      <c r="AF924" s="2">
        <v>80</v>
      </c>
      <c r="AG924" s="188">
        <v>39.4</v>
      </c>
      <c r="AH924" s="24"/>
      <c r="AI924" s="24"/>
      <c r="AJ924" s="24"/>
      <c r="AK924" s="188">
        <v>46.4</v>
      </c>
      <c r="AL924" s="24"/>
      <c r="AM924" s="24" t="str">
        <f t="shared" si="230"/>
        <v/>
      </c>
      <c r="AN924" t="str">
        <f t="shared" si="231"/>
        <v/>
      </c>
    </row>
    <row r="925" spans="1:40">
      <c r="H925" s="26">
        <v>450</v>
      </c>
      <c r="I925" s="30">
        <v>2.0360266190490766</v>
      </c>
      <c r="J925" s="30">
        <v>2.3753643888905889</v>
      </c>
      <c r="K925" s="30">
        <v>2.7147021587321021</v>
      </c>
      <c r="L925" s="30">
        <v>3.0540399285736148</v>
      </c>
      <c r="M925" s="206">
        <v>2.648830885341074</v>
      </c>
      <c r="N925" s="207">
        <v>3.0903026995645861</v>
      </c>
      <c r="O925" s="207">
        <v>3.5317745137880991</v>
      </c>
      <c r="P925" s="208">
        <v>3.9732463280116108</v>
      </c>
      <c r="V925" s="2">
        <v>90</v>
      </c>
      <c r="W925" s="188">
        <v>18.8</v>
      </c>
      <c r="X925" s="188">
        <v>19.8</v>
      </c>
      <c r="Y925" s="188">
        <v>20.9</v>
      </c>
      <c r="Z925" s="188">
        <v>21.5</v>
      </c>
      <c r="AA925" s="188">
        <v>22.1</v>
      </c>
      <c r="AB925" s="188">
        <v>20.5</v>
      </c>
      <c r="AC925" t="str">
        <f t="shared" si="229"/>
        <v/>
      </c>
      <c r="AE925" s="24"/>
      <c r="AF925" s="2">
        <v>90</v>
      </c>
      <c r="AG925" s="188">
        <v>36.4</v>
      </c>
      <c r="AH925" s="24"/>
      <c r="AI925" s="24"/>
      <c r="AJ925" s="24"/>
      <c r="AK925" s="188">
        <v>42.9</v>
      </c>
      <c r="AL925" s="24"/>
      <c r="AM925" s="24" t="str">
        <f t="shared" si="230"/>
        <v/>
      </c>
      <c r="AN925" t="str">
        <f t="shared" si="231"/>
        <v/>
      </c>
    </row>
    <row r="926" spans="1:40">
      <c r="H926" s="26">
        <v>400</v>
      </c>
      <c r="I926" s="30">
        <v>1.8500554390179289</v>
      </c>
      <c r="J926" s="30">
        <v>2.1583980121875839</v>
      </c>
      <c r="K926" s="30">
        <v>2.4667405853572393</v>
      </c>
      <c r="L926" s="30">
        <v>2.7750831585268938</v>
      </c>
      <c r="M926" s="206">
        <v>2.354516342525399</v>
      </c>
      <c r="N926" s="207">
        <v>2.7469357329462989</v>
      </c>
      <c r="O926" s="207">
        <v>3.1393551233671988</v>
      </c>
      <c r="P926" s="208">
        <v>3.5317745137880991</v>
      </c>
      <c r="V926" s="2">
        <v>100</v>
      </c>
      <c r="W926" s="188">
        <v>17.399999999999999</v>
      </c>
      <c r="X926" s="188">
        <v>18.399999999999999</v>
      </c>
      <c r="Y926" s="188">
        <v>19.399999999999999</v>
      </c>
      <c r="Z926" s="191">
        <v>20</v>
      </c>
      <c r="AA926" s="188">
        <v>20.6</v>
      </c>
      <c r="AB926" s="191">
        <v>19</v>
      </c>
      <c r="AC926" t="str">
        <f t="shared" si="229"/>
        <v/>
      </c>
      <c r="AF926" s="2">
        <v>100</v>
      </c>
      <c r="AG926" s="188">
        <v>33.700000000000003</v>
      </c>
      <c r="AK926" s="188">
        <v>39.9</v>
      </c>
      <c r="AM926" s="24" t="str">
        <f t="shared" si="230"/>
        <v/>
      </c>
      <c r="AN926" t="str">
        <f t="shared" si="231"/>
        <v/>
      </c>
    </row>
    <row r="927" spans="1:40">
      <c r="H927" s="218" t="s">
        <v>117</v>
      </c>
      <c r="I927" s="219"/>
      <c r="J927" s="219"/>
      <c r="K927" s="219"/>
      <c r="L927" s="220"/>
      <c r="M927" s="218" t="s">
        <v>267</v>
      </c>
      <c r="N927" s="219"/>
      <c r="O927" s="219"/>
      <c r="P927" s="220"/>
    </row>
    <row r="928" spans="1:40">
      <c r="H928" s="26">
        <v>350</v>
      </c>
      <c r="I928" s="30">
        <v>2.6509364716215797</v>
      </c>
      <c r="J928" s="30">
        <v>3.0927592168918432</v>
      </c>
      <c r="K928" s="30">
        <v>3.5345819621621062</v>
      </c>
      <c r="L928" s="30">
        <v>3.9764047074323701</v>
      </c>
      <c r="M928" s="206">
        <v>3.2757208615384621</v>
      </c>
      <c r="N928" s="207">
        <v>3.8216743384615386</v>
      </c>
      <c r="O928" s="207">
        <v>4.3676278153846164</v>
      </c>
      <c r="P928" s="208">
        <v>4.9135812923076925</v>
      </c>
      <c r="U928" s="191">
        <f>U940</f>
        <v>430</v>
      </c>
      <c r="V928" s="2" t="s">
        <v>268</v>
      </c>
      <c r="W928" s="188">
        <v>350</v>
      </c>
      <c r="X928" s="188">
        <v>380</v>
      </c>
      <c r="Y928" s="188">
        <v>410</v>
      </c>
      <c r="Z928" s="188">
        <v>430</v>
      </c>
      <c r="AA928" s="188">
        <v>450</v>
      </c>
      <c r="AB928" s="188">
        <v>400</v>
      </c>
      <c r="AC928" s="188"/>
      <c r="AE928" s="188"/>
      <c r="AF928" s="188" t="s">
        <v>269</v>
      </c>
      <c r="AG928" s="188">
        <v>350</v>
      </c>
      <c r="AH928" s="188">
        <v>380</v>
      </c>
      <c r="AI928" s="188">
        <v>410</v>
      </c>
      <c r="AJ928" s="188">
        <v>430</v>
      </c>
      <c r="AK928" s="188">
        <v>450</v>
      </c>
      <c r="AL928" s="188">
        <v>400</v>
      </c>
      <c r="AM928" s="188"/>
    </row>
    <row r="929" spans="8:40">
      <c r="H929" s="26">
        <v>380</v>
      </c>
      <c r="I929" s="30">
        <v>2.7872182718405405</v>
      </c>
      <c r="J929" s="30">
        <v>3.2517546504806307</v>
      </c>
      <c r="K929" s="30">
        <v>3.716291029120721</v>
      </c>
      <c r="L929" s="30">
        <v>4.1808274077608116</v>
      </c>
      <c r="M929" s="206">
        <v>3.5564969353846152</v>
      </c>
      <c r="N929" s="207">
        <v>4.1492464246153844</v>
      </c>
      <c r="O929" s="207">
        <v>4.7419959138461545</v>
      </c>
      <c r="P929" s="208">
        <v>5.3347454030769228</v>
      </c>
      <c r="U929" s="105">
        <f>U941</f>
        <v>100</v>
      </c>
      <c r="V929" s="189">
        <v>10</v>
      </c>
      <c r="W929" s="105"/>
      <c r="X929" s="188"/>
      <c r="Y929" s="188"/>
      <c r="Z929" s="188"/>
      <c r="AA929" s="188"/>
      <c r="AB929" s="188"/>
      <c r="AC929" s="24" t="str">
        <f t="shared" ref="AC929:AC938" si="232">IF(MAX(W929:AB929)/1.3&gt;U$931,"Verbinder","")</f>
        <v/>
      </c>
      <c r="AE929" s="105"/>
      <c r="AF929" s="191">
        <v>10</v>
      </c>
      <c r="AG929" s="105">
        <v>103.7</v>
      </c>
      <c r="AH929" s="188"/>
      <c r="AI929" s="188"/>
      <c r="AJ929" s="188"/>
      <c r="AK929" s="188">
        <v>122</v>
      </c>
      <c r="AL929" s="188"/>
      <c r="AM929" s="24" t="str">
        <f t="shared" ref="AM929:AM938" si="233">IF(MAX(AG929:AL929)/1.3&gt;AE$931,"Verbinder","")</f>
        <v>Verbinder</v>
      </c>
      <c r="AN929" t="str">
        <f t="shared" ref="AN929:AN938" si="234">IF(OR(AG929&lt;W929,AK929&lt;AA929),"ACHTUNG","")</f>
        <v/>
      </c>
    </row>
    <row r="930" spans="8:40">
      <c r="H930" s="26">
        <v>410</v>
      </c>
      <c r="I930" s="30">
        <v>2.9197259223199348</v>
      </c>
      <c r="J930" s="30">
        <v>3.4063469093732572</v>
      </c>
      <c r="K930" s="30">
        <v>3.8929678964265797</v>
      </c>
      <c r="L930" s="30">
        <v>4.3795888834799026</v>
      </c>
      <c r="M930" s="206">
        <v>3.8372730092307696</v>
      </c>
      <c r="N930" s="207">
        <v>4.4768185107692311</v>
      </c>
      <c r="O930" s="207">
        <v>5.1163640123076934</v>
      </c>
      <c r="P930" s="208">
        <v>5.7559095138461549</v>
      </c>
      <c r="U930" s="2"/>
      <c r="V930" s="2">
        <v>20</v>
      </c>
      <c r="W930" s="188"/>
      <c r="X930" s="188"/>
      <c r="Y930" s="188"/>
      <c r="Z930" s="188"/>
      <c r="AA930" s="188"/>
      <c r="AB930" s="188"/>
      <c r="AC930" s="24" t="str">
        <f t="shared" si="232"/>
        <v/>
      </c>
      <c r="AE930" s="188"/>
      <c r="AF930" s="188">
        <v>20</v>
      </c>
      <c r="AG930" s="188">
        <v>90.5</v>
      </c>
      <c r="AH930" s="188"/>
      <c r="AI930" s="188"/>
      <c r="AJ930" s="188"/>
      <c r="AK930" s="188">
        <v>106.2</v>
      </c>
      <c r="AL930" s="188"/>
      <c r="AM930" s="24" t="str">
        <f t="shared" si="233"/>
        <v>Verbinder</v>
      </c>
      <c r="AN930" t="str">
        <f t="shared" si="234"/>
        <v/>
      </c>
    </row>
    <row r="931" spans="8:40">
      <c r="H931" s="26">
        <v>430</v>
      </c>
      <c r="I931" s="30">
        <v>3.0061611618716877</v>
      </c>
      <c r="J931" s="30">
        <v>3.5071880221836356</v>
      </c>
      <c r="K931" s="30">
        <v>4.0082148824955839</v>
      </c>
      <c r="L931" s="30">
        <v>4.5092417428075313</v>
      </c>
      <c r="M931" s="206">
        <v>4.0244570584615387</v>
      </c>
      <c r="N931" s="207">
        <v>4.6951999015384613</v>
      </c>
      <c r="O931" s="207">
        <v>5.3659427446153849</v>
      </c>
      <c r="P931" s="208">
        <v>6.0366855876923076</v>
      </c>
      <c r="U931" s="2">
        <v>50</v>
      </c>
      <c r="V931" s="2">
        <v>30</v>
      </c>
      <c r="W931" s="188"/>
      <c r="X931" s="188"/>
      <c r="Y931" s="188"/>
      <c r="Z931" s="188"/>
      <c r="AA931" s="188"/>
      <c r="AB931" s="188"/>
      <c r="AC931" s="24" t="str">
        <f t="shared" si="232"/>
        <v/>
      </c>
      <c r="AE931" s="188">
        <v>50</v>
      </c>
      <c r="AF931" s="188">
        <v>30</v>
      </c>
      <c r="AG931" s="188">
        <v>79.900000000000006</v>
      </c>
      <c r="AH931" s="188"/>
      <c r="AI931" s="188"/>
      <c r="AJ931" s="188"/>
      <c r="AK931" s="188">
        <v>93.6</v>
      </c>
      <c r="AL931" s="188"/>
      <c r="AM931" s="24" t="str">
        <f t="shared" si="233"/>
        <v>Verbinder</v>
      </c>
      <c r="AN931" t="str">
        <f t="shared" si="234"/>
        <v/>
      </c>
    </row>
    <row r="932" spans="8:40">
      <c r="H932" s="26">
        <v>450</v>
      </c>
      <c r="I932" s="30">
        <v>3.0911902468548127</v>
      </c>
      <c r="J932" s="30">
        <v>3.6063886213306149</v>
      </c>
      <c r="K932" s="30">
        <v>4.1215869958064166</v>
      </c>
      <c r="L932" s="30">
        <v>4.6367853702822188</v>
      </c>
      <c r="M932" s="206">
        <v>4.2116411076923068</v>
      </c>
      <c r="N932" s="207">
        <v>4.9135812923076925</v>
      </c>
      <c r="O932" s="207">
        <v>5.6155214769230772</v>
      </c>
      <c r="P932" s="208">
        <v>6.317461661538462</v>
      </c>
      <c r="U932" s="189">
        <f>N870</f>
        <v>0</v>
      </c>
      <c r="V932" s="2">
        <v>40</v>
      </c>
      <c r="W932" s="188">
        <v>31.7</v>
      </c>
      <c r="X932" s="188">
        <v>33.4</v>
      </c>
      <c r="Y932" s="191">
        <v>35</v>
      </c>
      <c r="Z932" s="188">
        <v>36.1</v>
      </c>
      <c r="AA932" s="188">
        <v>37.1</v>
      </c>
      <c r="AB932" s="188">
        <v>34.5</v>
      </c>
      <c r="AC932" s="24" t="str">
        <f t="shared" si="232"/>
        <v/>
      </c>
      <c r="AE932" s="191">
        <f>N878</f>
        <v>0</v>
      </c>
      <c r="AF932" s="188">
        <v>40</v>
      </c>
      <c r="AG932" s="188">
        <v>71.3</v>
      </c>
      <c r="AH932" s="188"/>
      <c r="AI932" s="188"/>
      <c r="AJ932" s="188"/>
      <c r="AK932" s="188">
        <v>83.5</v>
      </c>
      <c r="AL932" s="188"/>
      <c r="AM932" s="24" t="str">
        <f t="shared" si="233"/>
        <v>Verbinder</v>
      </c>
      <c r="AN932" t="str">
        <f t="shared" si="234"/>
        <v/>
      </c>
    </row>
    <row r="933" spans="8:40">
      <c r="H933" s="26">
        <v>400</v>
      </c>
      <c r="I933" s="30">
        <v>2.8759507506593263</v>
      </c>
      <c r="J933" s="30">
        <v>3.3552758757692138</v>
      </c>
      <c r="K933" s="30">
        <v>3.8346010008791018</v>
      </c>
      <c r="L933" s="30">
        <v>4.3139261259889894</v>
      </c>
      <c r="M933" s="206">
        <v>3.7436809846153851</v>
      </c>
      <c r="N933" s="207">
        <v>4.3676278153846155</v>
      </c>
      <c r="O933" s="207">
        <v>4.9915746461538477</v>
      </c>
      <c r="P933" s="208">
        <v>5.6155214769230772</v>
      </c>
      <c r="U933" s="2"/>
      <c r="V933" s="2">
        <v>50</v>
      </c>
      <c r="W933" s="188">
        <v>28.8</v>
      </c>
      <c r="X933" s="188">
        <v>30.3</v>
      </c>
      <c r="Y933" s="188">
        <v>31.8</v>
      </c>
      <c r="Z933" s="188">
        <v>32.799999999999997</v>
      </c>
      <c r="AA933" s="188">
        <v>33.700000000000003</v>
      </c>
      <c r="AB933" s="188">
        <v>31.3</v>
      </c>
      <c r="AC933" s="24" t="str">
        <f t="shared" si="232"/>
        <v/>
      </c>
      <c r="AE933" s="188"/>
      <c r="AF933" s="188">
        <v>50</v>
      </c>
      <c r="AG933" s="188">
        <v>64.3</v>
      </c>
      <c r="AH933" s="188"/>
      <c r="AI933" s="188"/>
      <c r="AJ933" s="188"/>
      <c r="AK933" s="188">
        <v>75.2</v>
      </c>
      <c r="AL933" s="188"/>
      <c r="AM933" s="24" t="str">
        <f t="shared" si="233"/>
        <v>Verbinder</v>
      </c>
      <c r="AN933" t="str">
        <f t="shared" si="234"/>
        <v/>
      </c>
    </row>
    <row r="934" spans="8:40">
      <c r="H934" s="218" t="s">
        <v>124</v>
      </c>
      <c r="I934" s="219"/>
      <c r="J934" s="219"/>
      <c r="K934" s="219"/>
      <c r="L934" s="220"/>
      <c r="M934" s="218" t="s">
        <v>270</v>
      </c>
      <c r="N934" s="219"/>
      <c r="O934" s="219"/>
      <c r="P934" s="220"/>
      <c r="U934" s="2"/>
      <c r="V934" s="2">
        <v>60</v>
      </c>
      <c r="W934" s="188">
        <v>26.4</v>
      </c>
      <c r="X934" s="188">
        <v>27.8</v>
      </c>
      <c r="Y934" s="188">
        <v>29.1</v>
      </c>
      <c r="Z934" s="191">
        <v>30</v>
      </c>
      <c r="AA934" s="188">
        <v>30.9</v>
      </c>
      <c r="AB934" s="188">
        <v>28.7</v>
      </c>
      <c r="AC934" s="24" t="str">
        <f t="shared" si="232"/>
        <v/>
      </c>
      <c r="AE934" s="188"/>
      <c r="AF934" s="188">
        <v>60</v>
      </c>
      <c r="AG934" s="188">
        <v>58.5</v>
      </c>
      <c r="AH934" s="188"/>
      <c r="AI934" s="188"/>
      <c r="AJ934" s="188"/>
      <c r="AK934" s="188">
        <v>68.3</v>
      </c>
      <c r="AL934" s="188"/>
      <c r="AM934" s="24" t="str">
        <f t="shared" si="233"/>
        <v>Verbinder</v>
      </c>
      <c r="AN934" t="str">
        <f t="shared" si="234"/>
        <v/>
      </c>
    </row>
    <row r="935" spans="8:40">
      <c r="H935" s="26">
        <v>350</v>
      </c>
      <c r="I935" s="30">
        <v>1.6442900535804326</v>
      </c>
      <c r="J935" s="30">
        <v>1.918338395843838</v>
      </c>
      <c r="K935" s="30">
        <v>2.1923867381072437</v>
      </c>
      <c r="L935" s="30">
        <v>2.466435080370649</v>
      </c>
      <c r="M935" s="206">
        <v>2.8854505625845817</v>
      </c>
      <c r="N935" s="207">
        <v>3.3663589896820119</v>
      </c>
      <c r="O935" s="207">
        <v>3.8472674167794425</v>
      </c>
      <c r="P935" s="208">
        <v>4.3281758438768732</v>
      </c>
      <c r="U935" s="2"/>
      <c r="V935" s="2">
        <v>70</v>
      </c>
      <c r="W935" s="188">
        <v>24.3</v>
      </c>
      <c r="X935" s="188">
        <v>25.6</v>
      </c>
      <c r="Y935" s="188">
        <v>26.8</v>
      </c>
      <c r="Z935" s="188">
        <v>27.6</v>
      </c>
      <c r="AA935" s="188">
        <v>28.4</v>
      </c>
      <c r="AB935" s="188">
        <v>26.4</v>
      </c>
      <c r="AC935" s="24" t="str">
        <f t="shared" si="232"/>
        <v/>
      </c>
      <c r="AE935" s="188"/>
      <c r="AF935" s="188">
        <v>70</v>
      </c>
      <c r="AG935" s="188">
        <v>53.5</v>
      </c>
      <c r="AH935" s="188"/>
      <c r="AI935" s="188"/>
      <c r="AJ935" s="188"/>
      <c r="AK935" s="188">
        <v>62.6</v>
      </c>
      <c r="AL935" s="188"/>
      <c r="AM935" s="24" t="str">
        <f t="shared" si="233"/>
        <v/>
      </c>
      <c r="AN935" t="str">
        <f t="shared" si="234"/>
        <v/>
      </c>
    </row>
    <row r="936" spans="8:40">
      <c r="H936" s="26">
        <v>380</v>
      </c>
      <c r="I936" s="30">
        <v>1.7750161885589089</v>
      </c>
      <c r="J936" s="30">
        <v>2.0708522199853934</v>
      </c>
      <c r="K936" s="30">
        <v>2.3666882514118788</v>
      </c>
      <c r="L936" s="30">
        <v>2.6625242828383633</v>
      </c>
      <c r="M936" s="206">
        <v>3.0804824008755833</v>
      </c>
      <c r="N936" s="207">
        <v>3.5938961343548472</v>
      </c>
      <c r="O936" s="207">
        <v>4.107309867834112</v>
      </c>
      <c r="P936" s="208">
        <v>4.6207236013133759</v>
      </c>
      <c r="V936" s="2">
        <v>80</v>
      </c>
      <c r="W936" s="222">
        <v>22.5</v>
      </c>
      <c r="X936" s="222">
        <v>23.7</v>
      </c>
      <c r="Y936" s="222">
        <v>24.9</v>
      </c>
      <c r="Z936" s="222">
        <v>25.6</v>
      </c>
      <c r="AA936" s="222">
        <v>26.3</v>
      </c>
      <c r="AB936" s="222">
        <v>24.5</v>
      </c>
      <c r="AC936" s="24" t="str">
        <f t="shared" si="232"/>
        <v/>
      </c>
      <c r="AE936" s="24"/>
      <c r="AF936" s="2">
        <v>80</v>
      </c>
      <c r="AG936" s="188">
        <v>49.1</v>
      </c>
      <c r="AH936" s="24"/>
      <c r="AI936" s="24"/>
      <c r="AJ936" s="24"/>
      <c r="AK936" s="188">
        <v>57.7</v>
      </c>
      <c r="AL936" s="24"/>
      <c r="AM936" s="24" t="str">
        <f t="shared" si="233"/>
        <v/>
      </c>
      <c r="AN936" t="str">
        <f t="shared" si="234"/>
        <v/>
      </c>
    </row>
    <row r="937" spans="8:40">
      <c r="H937" s="26">
        <v>410</v>
      </c>
      <c r="I937" s="30">
        <v>1.8874296643708826</v>
      </c>
      <c r="J937" s="30">
        <v>2.2020012750993629</v>
      </c>
      <c r="K937" s="30">
        <v>2.5165728858278436</v>
      </c>
      <c r="L937" s="30">
        <v>2.8311444965563237</v>
      </c>
      <c r="M937" s="206">
        <v>3.2627465799966253</v>
      </c>
      <c r="N937" s="207">
        <v>3.8065376766627299</v>
      </c>
      <c r="O937" s="207">
        <v>4.3503287733288341</v>
      </c>
      <c r="P937" s="208">
        <v>4.8941198699949382</v>
      </c>
      <c r="V937" s="2">
        <v>90</v>
      </c>
      <c r="W937" s="222">
        <v>20.9</v>
      </c>
      <c r="X937" s="222">
        <v>22.1</v>
      </c>
      <c r="Y937" s="222">
        <v>23.1</v>
      </c>
      <c r="Z937" s="222">
        <v>23.8</v>
      </c>
      <c r="AA937" s="222">
        <v>24.5</v>
      </c>
      <c r="AB937" s="222">
        <v>22.8</v>
      </c>
      <c r="AC937" s="24" t="str">
        <f t="shared" si="232"/>
        <v/>
      </c>
      <c r="AE937" s="24"/>
      <c r="AF937" s="2">
        <v>90</v>
      </c>
      <c r="AG937" s="188">
        <v>45.4</v>
      </c>
      <c r="AH937" s="24"/>
      <c r="AI937" s="24"/>
      <c r="AJ937" s="24"/>
      <c r="AK937" s="188">
        <v>53.5</v>
      </c>
      <c r="AL937" s="24"/>
      <c r="AM937" s="24" t="str">
        <f t="shared" si="233"/>
        <v/>
      </c>
      <c r="AN937" t="str">
        <f t="shared" si="234"/>
        <v/>
      </c>
    </row>
    <row r="938" spans="8:40">
      <c r="H938" s="26">
        <v>430</v>
      </c>
      <c r="I938" s="30">
        <v>1.9619026096722081</v>
      </c>
      <c r="J938" s="30">
        <v>2.2888863779509094</v>
      </c>
      <c r="K938" s="30">
        <v>2.6158701462296108</v>
      </c>
      <c r="L938" s="30">
        <v>2.9428539145083121</v>
      </c>
      <c r="M938" s="206">
        <v>3.3834690174867621</v>
      </c>
      <c r="N938" s="207">
        <v>3.9473805204012224</v>
      </c>
      <c r="O938" s="207">
        <v>4.5112920233156837</v>
      </c>
      <c r="P938" s="208">
        <v>5.075203526230144</v>
      </c>
      <c r="V938" s="2">
        <v>100</v>
      </c>
      <c r="W938" s="222">
        <v>19.5</v>
      </c>
      <c r="X938" s="222">
        <v>20.6</v>
      </c>
      <c r="Y938" s="222">
        <v>21.7</v>
      </c>
      <c r="Z938" s="222">
        <v>22.3</v>
      </c>
      <c r="AA938" s="222">
        <v>22.9</v>
      </c>
      <c r="AB938" s="222">
        <v>21.3</v>
      </c>
      <c r="AC938" s="24" t="str">
        <f t="shared" si="232"/>
        <v/>
      </c>
      <c r="AF938" s="2">
        <v>100</v>
      </c>
      <c r="AG938" s="188">
        <v>42.1</v>
      </c>
      <c r="AK938" s="188">
        <v>49.8</v>
      </c>
      <c r="AM938" s="24" t="str">
        <f t="shared" si="233"/>
        <v/>
      </c>
      <c r="AN938" t="str">
        <f t="shared" si="234"/>
        <v/>
      </c>
    </row>
    <row r="939" spans="8:40">
      <c r="H939" s="26">
        <v>450</v>
      </c>
      <c r="I939" s="30">
        <v>2.0360266190490766</v>
      </c>
      <c r="J939" s="30">
        <v>2.3753643888905889</v>
      </c>
      <c r="K939" s="30">
        <v>2.7147021587321021</v>
      </c>
      <c r="L939" s="30">
        <v>3.0540399285736148</v>
      </c>
      <c r="M939" s="206">
        <v>3.503612257665722</v>
      </c>
      <c r="N939" s="207">
        <v>4.087547633943343</v>
      </c>
      <c r="O939" s="207">
        <v>4.671483010220963</v>
      </c>
      <c r="P939" s="208">
        <v>5.2554183864985831</v>
      </c>
    </row>
    <row r="940" spans="8:40" ht="15.75" thickBot="1">
      <c r="H940" s="57">
        <v>400</v>
      </c>
      <c r="I940" s="58">
        <v>1.8500554390179289</v>
      </c>
      <c r="J940" s="58">
        <v>2.1583980121875839</v>
      </c>
      <c r="K940" s="58">
        <v>2.4667405853572393</v>
      </c>
      <c r="L940" s="58">
        <v>2.7750831585268938</v>
      </c>
      <c r="M940" s="223">
        <v>3.2021551085410902</v>
      </c>
      <c r="N940" s="224">
        <v>3.7358476266312719</v>
      </c>
      <c r="O940" s="224">
        <v>4.2695401447214545</v>
      </c>
      <c r="P940" s="225">
        <v>4.8032326628116362</v>
      </c>
      <c r="U940" s="191">
        <f>U952</f>
        <v>430</v>
      </c>
      <c r="V940" s="2" t="s">
        <v>271</v>
      </c>
      <c r="W940" s="188">
        <v>350</v>
      </c>
      <c r="X940" s="188">
        <v>380</v>
      </c>
      <c r="Y940" s="188">
        <v>410</v>
      </c>
      <c r="Z940" s="188">
        <v>430</v>
      </c>
      <c r="AA940" s="188">
        <v>450</v>
      </c>
      <c r="AB940" s="188">
        <v>400</v>
      </c>
      <c r="AC940" s="188"/>
      <c r="AE940" s="191"/>
      <c r="AF940" s="188" t="s">
        <v>272</v>
      </c>
      <c r="AG940" s="188">
        <v>350</v>
      </c>
      <c r="AH940" s="188">
        <v>380</v>
      </c>
      <c r="AI940" s="188">
        <v>410</v>
      </c>
      <c r="AJ940" s="188">
        <v>430</v>
      </c>
      <c r="AK940" s="188">
        <v>450</v>
      </c>
      <c r="AL940" s="188">
        <v>400</v>
      </c>
      <c r="AM940" s="188"/>
    </row>
    <row r="941" spans="8:40">
      <c r="U941" s="105">
        <f>U953</f>
        <v>100</v>
      </c>
      <c r="V941" s="189">
        <v>10</v>
      </c>
      <c r="W941" s="105"/>
      <c r="X941" s="191"/>
      <c r="Y941" s="188"/>
      <c r="Z941" s="188"/>
      <c r="AA941" s="188"/>
      <c r="AB941" s="188"/>
      <c r="AC941" s="24" t="str">
        <f t="shared" ref="AC941:AC950" si="235">IF(MAX(W941:AB941)/1.3&gt;U$943,"Verbinder","")</f>
        <v/>
      </c>
      <c r="AE941" s="105"/>
      <c r="AF941" s="191">
        <v>10</v>
      </c>
      <c r="AG941" s="105">
        <v>121.2</v>
      </c>
      <c r="AH941" s="191"/>
      <c r="AI941" s="188"/>
      <c r="AJ941" s="188"/>
      <c r="AK941" s="188">
        <v>143</v>
      </c>
      <c r="AL941" s="188"/>
      <c r="AM941" s="24" t="str">
        <f t="shared" ref="AM941:AM950" si="236">IF(MAX(AG941:AL941)/1.3&gt;AE$943,"Verbinder","")</f>
        <v>Verbinder</v>
      </c>
      <c r="AN941" t="str">
        <f t="shared" ref="AN941:AN949" si="237">IF(OR(AG941&lt;W941,AK941&lt;AA941),"ACHTUNG","")</f>
        <v/>
      </c>
    </row>
    <row r="942" spans="8:40">
      <c r="U942" s="189"/>
      <c r="V942" s="2">
        <v>20</v>
      </c>
      <c r="W942" s="188"/>
      <c r="X942" s="188"/>
      <c r="Y942" s="188"/>
      <c r="Z942" s="188"/>
      <c r="AA942" s="191"/>
      <c r="AB942" s="188"/>
      <c r="AC942" s="24" t="str">
        <f t="shared" si="235"/>
        <v/>
      </c>
      <c r="AE942" s="191"/>
      <c r="AF942" s="188">
        <v>20</v>
      </c>
      <c r="AG942" s="188">
        <v>106.8</v>
      </c>
      <c r="AH942" s="188"/>
      <c r="AI942" s="188"/>
      <c r="AJ942" s="188"/>
      <c r="AK942" s="191">
        <v>125</v>
      </c>
      <c r="AL942" s="188"/>
      <c r="AM942" s="24" t="str">
        <f t="shared" si="236"/>
        <v>Verbinder</v>
      </c>
      <c r="AN942" t="str">
        <f t="shared" si="237"/>
        <v/>
      </c>
    </row>
    <row r="943" spans="8:40">
      <c r="U943" s="2">
        <v>50</v>
      </c>
      <c r="V943" s="2">
        <v>30</v>
      </c>
      <c r="W943" s="188"/>
      <c r="X943" s="188"/>
      <c r="Y943" s="188"/>
      <c r="Z943" s="188"/>
      <c r="AA943" s="191"/>
      <c r="AB943" s="188"/>
      <c r="AC943" s="24" t="str">
        <f t="shared" si="235"/>
        <v/>
      </c>
      <c r="AE943" s="188">
        <v>50</v>
      </c>
      <c r="AF943" s="188">
        <v>30</v>
      </c>
      <c r="AG943" s="188">
        <v>95.1</v>
      </c>
      <c r="AH943" s="188"/>
      <c r="AI943" s="188"/>
      <c r="AJ943" s="188"/>
      <c r="AK943" s="191">
        <v>112</v>
      </c>
      <c r="AL943" s="188"/>
      <c r="AM943" s="24" t="str">
        <f t="shared" si="236"/>
        <v>Verbinder</v>
      </c>
      <c r="AN943" t="str">
        <f t="shared" si="237"/>
        <v/>
      </c>
    </row>
    <row r="944" spans="8:40">
      <c r="U944" s="189">
        <f>N871</f>
        <v>0</v>
      </c>
      <c r="V944" s="2">
        <v>40</v>
      </c>
      <c r="W944" s="188">
        <v>34.1</v>
      </c>
      <c r="X944" s="188">
        <v>35.9</v>
      </c>
      <c r="Y944" s="188">
        <v>37.700000000000003</v>
      </c>
      <c r="Z944" s="188">
        <v>38.799999999999997</v>
      </c>
      <c r="AA944" s="188">
        <v>39.9</v>
      </c>
      <c r="AB944" s="188">
        <v>37.1</v>
      </c>
      <c r="AC944" s="24" t="str">
        <f t="shared" si="235"/>
        <v/>
      </c>
      <c r="AE944" s="191" t="e">
        <f>#REF!</f>
        <v>#REF!</v>
      </c>
      <c r="AF944" s="188">
        <v>40</v>
      </c>
      <c r="AG944" s="188">
        <v>85.5</v>
      </c>
      <c r="AH944" s="188"/>
      <c r="AI944" s="188"/>
      <c r="AJ944" s="188"/>
      <c r="AK944" s="188">
        <v>100</v>
      </c>
      <c r="AL944" s="188"/>
      <c r="AM944" s="24" t="str">
        <f t="shared" si="236"/>
        <v>Verbinder</v>
      </c>
      <c r="AN944" t="str">
        <f t="shared" si="237"/>
        <v/>
      </c>
    </row>
    <row r="945" spans="16:40">
      <c r="U945" s="2"/>
      <c r="V945" s="2">
        <v>50</v>
      </c>
      <c r="W945" s="188">
        <v>31.3</v>
      </c>
      <c r="X945" s="188">
        <v>32.9</v>
      </c>
      <c r="Y945" s="188">
        <v>34.5</v>
      </c>
      <c r="Z945" s="188">
        <v>35.6</v>
      </c>
      <c r="AA945" s="188">
        <v>36.6</v>
      </c>
      <c r="AB945" s="191">
        <v>34</v>
      </c>
      <c r="AC945" s="24" t="str">
        <f t="shared" si="235"/>
        <v/>
      </c>
      <c r="AE945" s="188"/>
      <c r="AF945" s="188">
        <v>50</v>
      </c>
      <c r="AG945" s="188">
        <v>77.5</v>
      </c>
      <c r="AH945" s="188"/>
      <c r="AI945" s="188"/>
      <c r="AJ945" s="188"/>
      <c r="AK945" s="188">
        <v>90.7</v>
      </c>
      <c r="AL945" s="188"/>
      <c r="AM945" s="24" t="str">
        <f t="shared" si="236"/>
        <v>Verbinder</v>
      </c>
      <c r="AN945" t="str">
        <f t="shared" si="237"/>
        <v/>
      </c>
    </row>
    <row r="946" spans="16:40">
      <c r="U946" s="2"/>
      <c r="V946" s="2">
        <v>60</v>
      </c>
      <c r="W946" s="188">
        <v>28.9</v>
      </c>
      <c r="X946" s="188">
        <v>30.4</v>
      </c>
      <c r="Y946" s="188">
        <v>31.8</v>
      </c>
      <c r="Z946" s="188">
        <v>32.799999999999997</v>
      </c>
      <c r="AA946" s="188">
        <v>33.700000000000003</v>
      </c>
      <c r="AB946" s="188">
        <v>31.4</v>
      </c>
      <c r="AC946" s="24" t="str">
        <f t="shared" si="235"/>
        <v/>
      </c>
      <c r="AE946" s="188"/>
      <c r="AF946" s="188">
        <v>60</v>
      </c>
      <c r="AG946" s="188">
        <v>70.599999999999994</v>
      </c>
      <c r="AH946" s="188"/>
      <c r="AI946" s="188"/>
      <c r="AJ946" s="188"/>
      <c r="AK946" s="188">
        <v>82.8</v>
      </c>
      <c r="AL946" s="188"/>
      <c r="AM946" s="24" t="str">
        <f t="shared" si="236"/>
        <v>Verbinder</v>
      </c>
      <c r="AN946" t="str">
        <f t="shared" si="237"/>
        <v/>
      </c>
    </row>
    <row r="947" spans="16:40">
      <c r="U947" s="2"/>
      <c r="V947" s="2">
        <v>70</v>
      </c>
      <c r="W947" s="188">
        <v>26.8</v>
      </c>
      <c r="X947" s="188">
        <v>28.2</v>
      </c>
      <c r="Y947" s="188">
        <v>29.5</v>
      </c>
      <c r="Z947" s="188">
        <v>30.4</v>
      </c>
      <c r="AA947" s="188">
        <v>31.3</v>
      </c>
      <c r="AB947" s="188">
        <v>29.1</v>
      </c>
      <c r="AC947" s="24" t="str">
        <f t="shared" si="235"/>
        <v/>
      </c>
      <c r="AE947" s="188"/>
      <c r="AF947" s="188">
        <v>70</v>
      </c>
      <c r="AG947" s="188">
        <v>65.2</v>
      </c>
      <c r="AH947" s="188"/>
      <c r="AI947" s="188"/>
      <c r="AJ947" s="188"/>
      <c r="AK947" s="188">
        <v>76.099999999999994</v>
      </c>
      <c r="AL947" s="188"/>
      <c r="AM947" s="24" t="str">
        <f t="shared" si="236"/>
        <v>Verbinder</v>
      </c>
      <c r="AN947" t="str">
        <f t="shared" si="237"/>
        <v/>
      </c>
    </row>
    <row r="948" spans="16:40">
      <c r="V948" s="2">
        <v>80</v>
      </c>
      <c r="W948" s="188">
        <v>24.9</v>
      </c>
      <c r="X948" s="188">
        <v>26.3</v>
      </c>
      <c r="Y948" s="188">
        <v>27.5</v>
      </c>
      <c r="Z948" s="188">
        <v>28.3</v>
      </c>
      <c r="AA948" s="188">
        <v>29.1</v>
      </c>
      <c r="AB948" s="188">
        <v>27.1</v>
      </c>
      <c r="AC948" s="24" t="str">
        <f t="shared" si="235"/>
        <v/>
      </c>
      <c r="AE948" s="24"/>
      <c r="AF948" s="2">
        <v>80</v>
      </c>
      <c r="AG948" s="188">
        <v>60.1</v>
      </c>
      <c r="AH948" s="24"/>
      <c r="AI948" s="24"/>
      <c r="AJ948" s="24"/>
      <c r="AK948" s="188">
        <v>70.400000000000006</v>
      </c>
      <c r="AL948" s="24"/>
      <c r="AM948" s="24" t="str">
        <f t="shared" si="236"/>
        <v>Verbinder</v>
      </c>
      <c r="AN948" t="str">
        <f t="shared" si="237"/>
        <v/>
      </c>
    </row>
    <row r="949" spans="16:40">
      <c r="V949" s="2">
        <v>90</v>
      </c>
      <c r="W949" s="188">
        <v>23.3</v>
      </c>
      <c r="X949" s="188">
        <v>24.6</v>
      </c>
      <c r="Y949" s="188">
        <v>25.7</v>
      </c>
      <c r="Z949" s="188">
        <v>26.5</v>
      </c>
      <c r="AA949" s="188">
        <v>27.2</v>
      </c>
      <c r="AB949" s="188">
        <v>25.3</v>
      </c>
      <c r="AC949" s="24" t="str">
        <f t="shared" si="235"/>
        <v/>
      </c>
      <c r="AE949" s="24"/>
      <c r="AF949" s="2">
        <v>90</v>
      </c>
      <c r="AG949" s="188">
        <v>55.7</v>
      </c>
      <c r="AH949" s="24"/>
      <c r="AI949" s="24"/>
      <c r="AJ949" s="24"/>
      <c r="AK949" s="188">
        <v>65.400000000000006</v>
      </c>
      <c r="AL949" s="24"/>
      <c r="AM949" s="24" t="str">
        <f t="shared" si="236"/>
        <v>Verbinder</v>
      </c>
      <c r="AN949" t="str">
        <f t="shared" si="237"/>
        <v/>
      </c>
    </row>
    <row r="950" spans="16:40">
      <c r="V950" s="2">
        <v>100</v>
      </c>
      <c r="W950" s="188">
        <v>21.8</v>
      </c>
      <c r="X950" s="191">
        <v>23</v>
      </c>
      <c r="Y950" s="188">
        <v>24.2</v>
      </c>
      <c r="Z950" s="188">
        <v>24.9</v>
      </c>
      <c r="AA950" s="188">
        <v>25.6</v>
      </c>
      <c r="AB950" s="188">
        <v>23.8</v>
      </c>
      <c r="AC950" s="24" t="str">
        <f t="shared" si="235"/>
        <v/>
      </c>
      <c r="AF950" s="2">
        <v>100</v>
      </c>
      <c r="AG950" s="188">
        <v>51.8</v>
      </c>
      <c r="AK950" s="188">
        <v>61.1</v>
      </c>
      <c r="AM950" s="24" t="str">
        <f t="shared" si="236"/>
        <v/>
      </c>
      <c r="AN950" t="str">
        <f>IF(OR(AG950&lt;W950,AK950&lt;AA950),"ACHTUNG","")</f>
        <v/>
      </c>
    </row>
    <row r="952" spans="16:40">
      <c r="P952"/>
      <c r="Q952"/>
      <c r="R952"/>
      <c r="S952"/>
      <c r="U952" s="226">
        <v>430</v>
      </c>
      <c r="V952" s="2" t="s">
        <v>273</v>
      </c>
      <c r="W952" s="188">
        <v>350</v>
      </c>
      <c r="X952" s="188">
        <v>380</v>
      </c>
      <c r="Y952" s="188">
        <v>410</v>
      </c>
      <c r="Z952" s="188">
        <v>430</v>
      </c>
      <c r="AA952" s="188">
        <v>450</v>
      </c>
      <c r="AB952" s="188">
        <v>400</v>
      </c>
      <c r="AC952" s="188"/>
      <c r="AE952" s="188"/>
      <c r="AF952" s="188" t="s">
        <v>274</v>
      </c>
      <c r="AG952" s="188">
        <v>350</v>
      </c>
      <c r="AH952" s="188">
        <v>380</v>
      </c>
      <c r="AI952" s="188">
        <v>410</v>
      </c>
      <c r="AJ952" s="188">
        <v>430</v>
      </c>
      <c r="AK952" s="188">
        <v>450</v>
      </c>
      <c r="AL952" s="188">
        <v>400</v>
      </c>
      <c r="AM952" s="188"/>
    </row>
    <row r="953" spans="16:40">
      <c r="P953"/>
      <c r="Q953"/>
      <c r="R953"/>
      <c r="S953"/>
      <c r="U953" s="227">
        <v>100</v>
      </c>
      <c r="V953" s="189">
        <v>10</v>
      </c>
      <c r="W953" s="105"/>
      <c r="X953" s="188"/>
      <c r="Y953" s="188"/>
      <c r="Z953" s="188"/>
      <c r="AA953" s="188"/>
      <c r="AB953" s="188"/>
      <c r="AC953" s="24" t="str">
        <f t="shared" ref="AC953:AC962" si="238">IF(MAX(W953:AB953)/1.3&gt;U$955,"Verbinder","")</f>
        <v/>
      </c>
      <c r="AE953" s="105"/>
      <c r="AF953" s="191">
        <v>10</v>
      </c>
      <c r="AG953" s="105">
        <v>139</v>
      </c>
      <c r="AH953" s="188"/>
      <c r="AI953" s="188"/>
      <c r="AJ953" s="188"/>
      <c r="AK953" s="188">
        <v>164</v>
      </c>
      <c r="AL953" s="188"/>
      <c r="AM953" s="24" t="str">
        <f t="shared" ref="AM953:AM962" si="239">IF(MAX(AG953:AL953)/1.3&gt;AE$955,"Verbinder","")</f>
        <v>Verbinder</v>
      </c>
      <c r="AN953" t="str">
        <f t="shared" ref="AN953:AN961" si="240">IF(OR(AG953&lt;W953,AK953&lt;AA953),"ACHTUNG","")</f>
        <v/>
      </c>
    </row>
    <row r="954" spans="16:40">
      <c r="P954"/>
      <c r="Q954"/>
      <c r="R954"/>
      <c r="S954"/>
      <c r="U954" s="2"/>
      <c r="V954" s="2">
        <v>20</v>
      </c>
      <c r="W954" s="188"/>
      <c r="X954" s="188"/>
      <c r="Y954" s="188"/>
      <c r="Z954" s="188"/>
      <c r="AA954" s="188"/>
      <c r="AB954" s="188"/>
      <c r="AC954" s="24" t="str">
        <f t="shared" si="238"/>
        <v/>
      </c>
      <c r="AE954" s="188"/>
      <c r="AF954" s="188">
        <v>20</v>
      </c>
      <c r="AG954" s="188">
        <v>124</v>
      </c>
      <c r="AH954" s="188"/>
      <c r="AI954" s="188"/>
      <c r="AJ954" s="188"/>
      <c r="AK954" s="188">
        <v>145</v>
      </c>
      <c r="AL954" s="188"/>
      <c r="AM954" s="24" t="str">
        <f t="shared" si="239"/>
        <v>Verbinder</v>
      </c>
      <c r="AN954" t="str">
        <f t="shared" si="240"/>
        <v/>
      </c>
    </row>
    <row r="955" spans="16:40">
      <c r="P955"/>
      <c r="Q955"/>
      <c r="R955"/>
      <c r="S955"/>
      <c r="U955" s="2">
        <v>50</v>
      </c>
      <c r="V955" s="2">
        <v>30</v>
      </c>
      <c r="W955" s="188"/>
      <c r="X955" s="188"/>
      <c r="Y955" s="188"/>
      <c r="Z955" s="188"/>
      <c r="AA955" s="188"/>
      <c r="AB955" s="188"/>
      <c r="AC955" s="24" t="str">
        <f t="shared" si="238"/>
        <v/>
      </c>
      <c r="AE955" s="188">
        <v>50</v>
      </c>
      <c r="AF955" s="188">
        <v>30</v>
      </c>
      <c r="AG955" s="188">
        <v>111</v>
      </c>
      <c r="AH955" s="188"/>
      <c r="AI955" s="188"/>
      <c r="AJ955" s="188"/>
      <c r="AK955" s="188">
        <v>130</v>
      </c>
      <c r="AL955" s="188"/>
      <c r="AM955" s="24" t="str">
        <f t="shared" si="239"/>
        <v>Verbinder</v>
      </c>
      <c r="AN955" t="str">
        <f>IF(OR(AG955&lt;W955,AK955&lt;AA955),"ACHTUNG","")</f>
        <v/>
      </c>
    </row>
    <row r="956" spans="16:40">
      <c r="P956"/>
      <c r="Q956"/>
      <c r="R956"/>
      <c r="S956"/>
      <c r="U956" s="189">
        <f>N872</f>
        <v>0</v>
      </c>
      <c r="V956" s="2">
        <v>40</v>
      </c>
      <c r="W956" s="188">
        <v>36.1</v>
      </c>
      <c r="X956" s="188">
        <v>38.1</v>
      </c>
      <c r="Y956" s="188">
        <v>39.9</v>
      </c>
      <c r="Z956" s="188">
        <v>41.1</v>
      </c>
      <c r="AA956" s="188">
        <v>42.3</v>
      </c>
      <c r="AB956" s="188">
        <v>39.299999999999997</v>
      </c>
      <c r="AC956" s="24" t="str">
        <f t="shared" si="238"/>
        <v/>
      </c>
      <c r="AE956" s="191" t="e">
        <f>#REF!</f>
        <v>#REF!</v>
      </c>
      <c r="AF956" s="188">
        <v>40</v>
      </c>
      <c r="AG956" s="188">
        <v>100</v>
      </c>
      <c r="AH956" s="188"/>
      <c r="AI956" s="188"/>
      <c r="AJ956" s="188"/>
      <c r="AK956" s="188">
        <v>118</v>
      </c>
      <c r="AL956" s="188"/>
      <c r="AM956" s="24" t="str">
        <f t="shared" si="239"/>
        <v>Verbinder</v>
      </c>
      <c r="AN956" t="str">
        <f t="shared" si="240"/>
        <v/>
      </c>
    </row>
    <row r="957" spans="16:40">
      <c r="P957"/>
      <c r="Q957"/>
      <c r="R957"/>
      <c r="S957"/>
      <c r="U957" s="2"/>
      <c r="V957" s="2">
        <v>50</v>
      </c>
      <c r="W957" s="188">
        <v>33.5</v>
      </c>
      <c r="X957" s="188">
        <v>35.200000000000003</v>
      </c>
      <c r="Y957" s="191">
        <v>37</v>
      </c>
      <c r="Z957" s="188">
        <v>38.1</v>
      </c>
      <c r="AA957" s="188">
        <v>39.200000000000003</v>
      </c>
      <c r="AB957" s="188">
        <v>36.4</v>
      </c>
      <c r="AC957" s="24" t="str">
        <f t="shared" si="238"/>
        <v/>
      </c>
      <c r="AE957" s="188"/>
      <c r="AF957" s="188">
        <v>50</v>
      </c>
      <c r="AG957" s="188">
        <v>91.5</v>
      </c>
      <c r="AH957" s="188"/>
      <c r="AI957" s="188"/>
      <c r="AJ957" s="188"/>
      <c r="AK957" s="188">
        <v>107</v>
      </c>
      <c r="AL957" s="188"/>
      <c r="AM957" s="24" t="str">
        <f t="shared" si="239"/>
        <v>Verbinder</v>
      </c>
      <c r="AN957" t="str">
        <f t="shared" si="240"/>
        <v/>
      </c>
    </row>
    <row r="958" spans="16:40">
      <c r="P958"/>
      <c r="Q958"/>
      <c r="R958"/>
      <c r="S958"/>
      <c r="U958" s="2"/>
      <c r="V958" s="2">
        <v>60</v>
      </c>
      <c r="W958" s="188">
        <v>31.1</v>
      </c>
      <c r="X958" s="188">
        <v>32.799999999999997</v>
      </c>
      <c r="Y958" s="188">
        <v>34.4</v>
      </c>
      <c r="Z958" s="188">
        <v>35.4</v>
      </c>
      <c r="AA958" s="188">
        <v>36.4</v>
      </c>
      <c r="AB958" s="188">
        <v>33.799999999999997</v>
      </c>
      <c r="AC958" s="24" t="str">
        <f t="shared" si="238"/>
        <v/>
      </c>
      <c r="AE958" s="188"/>
      <c r="AF958" s="188">
        <v>60</v>
      </c>
      <c r="AG958" s="188">
        <v>84</v>
      </c>
      <c r="AH958" s="188"/>
      <c r="AI958" s="188"/>
      <c r="AJ958" s="188"/>
      <c r="AK958" s="188">
        <v>98.1</v>
      </c>
      <c r="AL958" s="188"/>
      <c r="AM958" s="24" t="str">
        <f t="shared" si="239"/>
        <v>Verbinder</v>
      </c>
      <c r="AN958" t="str">
        <f t="shared" si="240"/>
        <v/>
      </c>
    </row>
    <row r="959" spans="16:40">
      <c r="P959"/>
      <c r="Q959"/>
      <c r="R959"/>
      <c r="S959"/>
      <c r="U959" s="2"/>
      <c r="V959" s="2">
        <v>70</v>
      </c>
      <c r="W959" s="188">
        <v>29.1</v>
      </c>
      <c r="X959" s="188">
        <v>30.6</v>
      </c>
      <c r="Y959" s="188">
        <v>32.1</v>
      </c>
      <c r="Z959" s="188">
        <v>33.1</v>
      </c>
      <c r="AA959" s="191">
        <v>34</v>
      </c>
      <c r="AB959" s="188">
        <v>31.6</v>
      </c>
      <c r="AC959" s="24" t="str">
        <f t="shared" si="238"/>
        <v/>
      </c>
      <c r="AE959" s="188"/>
      <c r="AF959" s="188">
        <v>70</v>
      </c>
      <c r="AG959" s="188">
        <v>77.599999999999994</v>
      </c>
      <c r="AH959" s="188"/>
      <c r="AI959" s="188"/>
      <c r="AJ959" s="188"/>
      <c r="AK959" s="188">
        <v>90.6</v>
      </c>
      <c r="AL959" s="188"/>
      <c r="AM959" s="24" t="str">
        <f t="shared" si="239"/>
        <v>Verbinder</v>
      </c>
      <c r="AN959" t="str">
        <f t="shared" si="240"/>
        <v/>
      </c>
    </row>
    <row r="960" spans="16:40">
      <c r="P960"/>
      <c r="Q960"/>
      <c r="R960"/>
      <c r="S960"/>
      <c r="V960" s="2">
        <v>80</v>
      </c>
      <c r="W960" s="188">
        <v>27.3</v>
      </c>
      <c r="X960" s="188">
        <v>28.7</v>
      </c>
      <c r="Y960" s="188">
        <v>30.1</v>
      </c>
      <c r="Z960" s="191">
        <v>31</v>
      </c>
      <c r="AA960" s="188">
        <v>31.9</v>
      </c>
      <c r="AB960" s="188">
        <v>29.7</v>
      </c>
      <c r="AC960" s="24" t="str">
        <f t="shared" si="238"/>
        <v/>
      </c>
      <c r="AF960" s="2">
        <v>80</v>
      </c>
      <c r="AG960" s="188">
        <v>72</v>
      </c>
      <c r="AK960" s="188">
        <v>84</v>
      </c>
      <c r="AM960" s="24" t="str">
        <f t="shared" si="239"/>
        <v>Verbinder</v>
      </c>
      <c r="AN960" t="str">
        <f t="shared" si="240"/>
        <v/>
      </c>
    </row>
    <row r="961" spans="16:40">
      <c r="P961"/>
      <c r="Q961"/>
      <c r="R961"/>
      <c r="S961"/>
      <c r="V961" s="2">
        <v>90</v>
      </c>
      <c r="W961" s="188">
        <v>25.7</v>
      </c>
      <c r="X961" s="191">
        <v>27</v>
      </c>
      <c r="Y961" s="188">
        <v>28.3</v>
      </c>
      <c r="Z961" s="188">
        <v>29.2</v>
      </c>
      <c r="AA961" s="191">
        <v>30</v>
      </c>
      <c r="AB961" s="188">
        <v>27.9</v>
      </c>
      <c r="AC961" s="24" t="str">
        <f t="shared" si="238"/>
        <v/>
      </c>
      <c r="AF961" s="2">
        <v>90</v>
      </c>
      <c r="AG961" s="188">
        <v>66.900000000000006</v>
      </c>
      <c r="AK961" s="188">
        <v>78.3</v>
      </c>
      <c r="AM961" s="24" t="str">
        <f t="shared" si="239"/>
        <v>Verbinder</v>
      </c>
      <c r="AN961" t="str">
        <f t="shared" si="240"/>
        <v/>
      </c>
    </row>
    <row r="962" spans="16:40">
      <c r="P962"/>
      <c r="Q962"/>
      <c r="R962"/>
      <c r="S962"/>
      <c r="V962" s="2">
        <v>100</v>
      </c>
      <c r="W962" s="188">
        <v>24.3</v>
      </c>
      <c r="X962" s="188">
        <v>25.5</v>
      </c>
      <c r="Y962" s="188">
        <v>26.7</v>
      </c>
      <c r="Z962" s="188">
        <v>27.5</v>
      </c>
      <c r="AA962" s="188">
        <v>28.3</v>
      </c>
      <c r="AB962" s="188">
        <v>26.3</v>
      </c>
      <c r="AC962" s="24" t="str">
        <f t="shared" si="238"/>
        <v/>
      </c>
      <c r="AF962" s="2">
        <v>100</v>
      </c>
      <c r="AG962" s="188">
        <v>62.4</v>
      </c>
      <c r="AK962" s="188">
        <v>73.400000000000006</v>
      </c>
      <c r="AM962" s="24" t="str">
        <f t="shared" si="239"/>
        <v>Verbinder</v>
      </c>
      <c r="AN962" t="str">
        <f>IF(OR(AG962&lt;W962,AK962&lt;AA962),"ACHTUNG","")</f>
        <v/>
      </c>
    </row>
    <row r="963" spans="16:40">
      <c r="P963"/>
      <c r="Q963"/>
      <c r="R963"/>
      <c r="S963"/>
      <c r="W963" s="24"/>
      <c r="X963" s="24"/>
      <c r="Y963" s="24"/>
      <c r="Z963" s="24"/>
      <c r="AA963" s="24"/>
      <c r="AB963" s="24"/>
      <c r="AC963" s="24"/>
    </row>
    <row r="964" spans="16:40">
      <c r="P964"/>
      <c r="Q964"/>
      <c r="R964"/>
      <c r="S964"/>
      <c r="W964" s="24"/>
      <c r="X964" s="24"/>
      <c r="Y964" s="24"/>
      <c r="Z964" s="24"/>
      <c r="AA964" s="24"/>
      <c r="AB964" s="24"/>
      <c r="AC964" s="24"/>
    </row>
    <row r="965" spans="16:40">
      <c r="P965"/>
      <c r="Q965"/>
      <c r="R965"/>
      <c r="S965"/>
      <c r="W965" s="24"/>
      <c r="X965" s="24"/>
      <c r="Y965" s="24"/>
      <c r="Z965" s="24"/>
      <c r="AA965" s="24"/>
      <c r="AB965" s="24"/>
      <c r="AC965" s="24"/>
    </row>
    <row r="966" spans="16:40">
      <c r="P966"/>
      <c r="Q966"/>
      <c r="R966"/>
      <c r="S966"/>
      <c r="W966" s="24"/>
      <c r="X966" s="24"/>
      <c r="Y966" s="24"/>
      <c r="Z966" s="24"/>
      <c r="AA966" s="24"/>
      <c r="AB966" s="24"/>
      <c r="AC966" s="24"/>
    </row>
    <row r="967" spans="16:40">
      <c r="P967"/>
      <c r="Q967"/>
      <c r="R967"/>
      <c r="S967"/>
      <c r="W967" s="24"/>
      <c r="X967" s="24"/>
      <c r="Y967" s="24"/>
      <c r="Z967" s="24"/>
      <c r="AA967" s="24"/>
      <c r="AB967" s="24"/>
      <c r="AC967" s="24"/>
    </row>
    <row r="968" spans="16:40">
      <c r="P968"/>
      <c r="Q968"/>
      <c r="R968"/>
      <c r="S968"/>
      <c r="W968" s="24"/>
      <c r="X968" s="24"/>
      <c r="Y968" s="24"/>
      <c r="Z968" s="24"/>
      <c r="AA968" s="24"/>
      <c r="AB968" s="24"/>
      <c r="AC968" s="24"/>
    </row>
    <row r="969" spans="16:40">
      <c r="P969"/>
      <c r="Q969"/>
      <c r="R969"/>
      <c r="S969"/>
      <c r="W969" s="24"/>
      <c r="X969" s="24"/>
      <c r="Y969" s="24"/>
      <c r="Z969" s="24"/>
      <c r="AA969" s="24"/>
      <c r="AB969" s="24"/>
      <c r="AC969" s="24"/>
    </row>
    <row r="970" spans="16:40">
      <c r="P970"/>
      <c r="Q970"/>
      <c r="R970"/>
      <c r="S970"/>
      <c r="W970" s="24"/>
      <c r="X970" s="24"/>
      <c r="Y970" s="24"/>
      <c r="Z970" s="24"/>
      <c r="AA970" s="24"/>
      <c r="AB970" s="24"/>
      <c r="AC970" s="24"/>
    </row>
    <row r="971" spans="16:40">
      <c r="P971"/>
      <c r="Q971"/>
      <c r="R971"/>
      <c r="S971"/>
      <c r="W971" s="24"/>
      <c r="X971" s="24"/>
      <c r="Y971" s="24"/>
      <c r="Z971" s="24"/>
      <c r="AA971" s="24"/>
      <c r="AB971" s="24"/>
      <c r="AC971" s="24"/>
    </row>
    <row r="972" spans="16:40">
      <c r="P972"/>
      <c r="Q972"/>
      <c r="R972"/>
      <c r="S972"/>
      <c r="W972" s="24"/>
      <c r="X972" s="24"/>
      <c r="Y972" s="24"/>
      <c r="Z972" s="24"/>
      <c r="AA972" s="24"/>
      <c r="AB972" s="24"/>
      <c r="AC972" s="24"/>
    </row>
    <row r="973" spans="16:40">
      <c r="P973"/>
      <c r="Q973"/>
      <c r="R973"/>
      <c r="S973"/>
      <c r="W973" s="24"/>
      <c r="X973" s="24"/>
      <c r="Y973" s="24"/>
      <c r="Z973" s="24"/>
      <c r="AA973" s="24"/>
      <c r="AB973" s="24"/>
      <c r="AC973" s="24"/>
    </row>
    <row r="974" spans="16:40">
      <c r="P974"/>
      <c r="Q974"/>
      <c r="R974"/>
      <c r="S974"/>
      <c r="W974" s="24"/>
      <c r="X974" s="24"/>
      <c r="Y974" s="24"/>
      <c r="Z974" s="24"/>
      <c r="AA974" s="24"/>
      <c r="AB974" s="24"/>
      <c r="AC974" s="24"/>
    </row>
    <row r="975" spans="16:40">
      <c r="P975"/>
      <c r="Q975"/>
      <c r="R975"/>
      <c r="S975"/>
      <c r="W975" s="24"/>
      <c r="X975" s="24"/>
      <c r="Y975" s="24"/>
      <c r="Z975" s="24"/>
      <c r="AA975" s="24"/>
      <c r="AB975" s="24"/>
      <c r="AC975" s="24"/>
    </row>
    <row r="976" spans="16:40">
      <c r="P976"/>
      <c r="Q976"/>
      <c r="R976"/>
      <c r="S976"/>
      <c r="W976" s="24"/>
      <c r="X976" s="24"/>
      <c r="Y976" s="24"/>
      <c r="Z976" s="24"/>
      <c r="AA976" s="24"/>
      <c r="AB976" s="24"/>
      <c r="AC976" s="24"/>
    </row>
    <row r="977" spans="16:29">
      <c r="P977"/>
      <c r="Q977"/>
      <c r="R977"/>
      <c r="S977"/>
      <c r="W977" s="24"/>
      <c r="X977" s="24"/>
      <c r="Y977" s="24"/>
      <c r="Z977" s="24"/>
      <c r="AA977" s="24"/>
      <c r="AB977" s="24"/>
      <c r="AC977" s="24"/>
    </row>
    <row r="978" spans="16:29">
      <c r="P978"/>
      <c r="Q978"/>
      <c r="R978"/>
      <c r="S978"/>
      <c r="W978" s="24"/>
      <c r="X978" s="24"/>
      <c r="Y978" s="24"/>
      <c r="Z978" s="24"/>
      <c r="AA978" s="24"/>
      <c r="AB978" s="24"/>
      <c r="AC978" s="24"/>
    </row>
    <row r="979" spans="16:29">
      <c r="P979"/>
      <c r="Q979"/>
      <c r="R979"/>
      <c r="S979"/>
      <c r="W979" s="24"/>
      <c r="X979" s="24"/>
      <c r="Y979" s="24"/>
      <c r="Z979" s="24"/>
      <c r="AA979" s="24"/>
      <c r="AB979" s="24"/>
      <c r="AC979" s="24"/>
    </row>
    <row r="980" spans="16:29">
      <c r="P980"/>
      <c r="Q980"/>
      <c r="R980"/>
      <c r="S980"/>
      <c r="W980" s="24"/>
      <c r="X980" s="24"/>
      <c r="Y980" s="24"/>
      <c r="Z980" s="24"/>
      <c r="AA980" s="24"/>
      <c r="AB980" s="24"/>
      <c r="AC980" s="24"/>
    </row>
    <row r="981" spans="16:29">
      <c r="P981"/>
      <c r="Q981"/>
      <c r="R981"/>
      <c r="S981"/>
      <c r="W981" s="24"/>
      <c r="X981" s="24"/>
      <c r="Y981" s="24"/>
      <c r="Z981" s="24"/>
      <c r="AA981" s="24"/>
      <c r="AB981" s="24"/>
      <c r="AC981" s="24"/>
    </row>
    <row r="982" spans="16:29">
      <c r="P982"/>
      <c r="Q982"/>
      <c r="R982"/>
      <c r="S982"/>
      <c r="W982" s="24"/>
      <c r="X982" s="24"/>
      <c r="Y982" s="24"/>
      <c r="Z982" s="24"/>
      <c r="AA982" s="24"/>
      <c r="AB982" s="24"/>
      <c r="AC982" s="24"/>
    </row>
    <row r="983" spans="16:29">
      <c r="P983"/>
      <c r="Q983"/>
      <c r="R983"/>
      <c r="S983"/>
      <c r="W983" s="24"/>
      <c r="X983" s="24"/>
      <c r="Y983" s="24"/>
      <c r="Z983" s="24"/>
      <c r="AA983" s="24"/>
      <c r="AB983" s="24"/>
      <c r="AC983" s="24"/>
    </row>
    <row r="984" spans="16:29">
      <c r="P984"/>
      <c r="Q984"/>
      <c r="R984"/>
      <c r="S984"/>
      <c r="W984" s="24"/>
      <c r="X984" s="24"/>
      <c r="Y984" s="24"/>
      <c r="Z984" s="24"/>
      <c r="AA984" s="24"/>
      <c r="AB984" s="24"/>
      <c r="AC984" s="24"/>
    </row>
    <row r="985" spans="16:29">
      <c r="P985"/>
      <c r="Q985"/>
      <c r="R985"/>
      <c r="S985"/>
      <c r="W985" s="24"/>
      <c r="X985" s="24"/>
      <c r="Y985" s="24"/>
      <c r="Z985" s="24"/>
      <c r="AA985" s="24"/>
      <c r="AB985" s="24"/>
      <c r="AC985" s="24"/>
    </row>
    <row r="986" spans="16:29">
      <c r="P986"/>
      <c r="Q986"/>
      <c r="R986"/>
      <c r="S986"/>
      <c r="W986" s="24"/>
      <c r="X986" s="24"/>
      <c r="Y986" s="24"/>
      <c r="Z986" s="24"/>
      <c r="AA986" s="24"/>
      <c r="AB986" s="24"/>
      <c r="AC986" s="24"/>
    </row>
    <row r="987" spans="16:29">
      <c r="P987"/>
      <c r="Q987"/>
      <c r="R987"/>
      <c r="S987"/>
      <c r="W987" s="24"/>
      <c r="X987" s="24"/>
      <c r="Y987" s="24"/>
      <c r="Z987" s="24"/>
      <c r="AA987" s="24"/>
      <c r="AB987" s="24"/>
      <c r="AC987" s="24"/>
    </row>
    <row r="988" spans="16:29">
      <c r="P988"/>
      <c r="Q988"/>
      <c r="R988"/>
      <c r="S988"/>
      <c r="W988" s="24"/>
      <c r="X988" s="24"/>
      <c r="Y988" s="24"/>
      <c r="Z988" s="24"/>
      <c r="AA988" s="24"/>
      <c r="AB988" s="24"/>
      <c r="AC988" s="24"/>
    </row>
    <row r="989" spans="16:29">
      <c r="P989"/>
      <c r="Q989"/>
      <c r="R989"/>
      <c r="S989"/>
      <c r="W989" s="24"/>
      <c r="X989" s="24"/>
      <c r="Y989" s="24"/>
      <c r="Z989" s="24"/>
      <c r="AA989" s="24"/>
      <c r="AB989" s="24"/>
      <c r="AC989" s="24"/>
    </row>
    <row r="990" spans="16:29">
      <c r="P990"/>
      <c r="Q990"/>
      <c r="R990"/>
      <c r="S990"/>
      <c r="W990" s="24"/>
      <c r="X990" s="24"/>
      <c r="Y990" s="24"/>
      <c r="Z990" s="24"/>
      <c r="AA990" s="24"/>
      <c r="AB990" s="24"/>
      <c r="AC990" s="24"/>
    </row>
    <row r="991" spans="16:29">
      <c r="P991"/>
      <c r="Q991"/>
      <c r="R991"/>
      <c r="S991"/>
      <c r="W991" s="24"/>
      <c r="X991" s="24"/>
      <c r="Y991" s="24"/>
      <c r="Z991" s="24"/>
      <c r="AA991" s="24"/>
      <c r="AB991" s="24"/>
      <c r="AC991" s="24"/>
    </row>
    <row r="992" spans="16:29">
      <c r="P992"/>
      <c r="Q992"/>
      <c r="R992"/>
      <c r="S992"/>
      <c r="W992" s="24"/>
      <c r="X992" s="24"/>
      <c r="Y992" s="24"/>
      <c r="Z992" s="24"/>
      <c r="AA992" s="24"/>
      <c r="AB992" s="24"/>
      <c r="AC992" s="24"/>
    </row>
    <row r="993" spans="16:29">
      <c r="P993"/>
      <c r="Q993"/>
      <c r="R993"/>
      <c r="S993"/>
      <c r="W993" s="24"/>
      <c r="X993" s="24"/>
      <c r="Y993" s="24"/>
      <c r="Z993" s="24"/>
      <c r="AA993" s="24"/>
      <c r="AB993" s="24"/>
      <c r="AC993" s="24"/>
    </row>
    <row r="994" spans="16:29">
      <c r="P994"/>
      <c r="Q994"/>
      <c r="R994"/>
      <c r="S994"/>
      <c r="W994" s="24"/>
      <c r="X994" s="24"/>
      <c r="Y994" s="24"/>
      <c r="Z994" s="24"/>
      <c r="AA994" s="24"/>
      <c r="AB994" s="24"/>
      <c r="AC994" s="24"/>
    </row>
    <row r="995" spans="16:29">
      <c r="P995"/>
      <c r="Q995"/>
      <c r="R995"/>
      <c r="S995"/>
      <c r="W995" s="24"/>
      <c r="X995" s="24"/>
      <c r="Y995" s="24"/>
      <c r="Z995" s="24"/>
      <c r="AA995" s="24"/>
      <c r="AB995" s="24"/>
      <c r="AC995" s="24"/>
    </row>
    <row r="996" spans="16:29">
      <c r="P996"/>
      <c r="Q996"/>
      <c r="R996"/>
      <c r="S996"/>
      <c r="W996" s="24"/>
      <c r="X996" s="24"/>
      <c r="Y996" s="24"/>
      <c r="Z996" s="24"/>
      <c r="AA996" s="24"/>
      <c r="AB996" s="24"/>
      <c r="AC996" s="24"/>
    </row>
    <row r="997" spans="16:29">
      <c r="P997"/>
      <c r="Q997"/>
      <c r="R997"/>
      <c r="S997"/>
      <c r="W997" s="24"/>
      <c r="X997" s="24"/>
      <c r="Y997" s="24"/>
      <c r="Z997" s="24"/>
      <c r="AA997" s="24"/>
      <c r="AB997" s="24"/>
      <c r="AC997" s="24"/>
    </row>
    <row r="998" spans="16:29">
      <c r="P998"/>
      <c r="Q998"/>
      <c r="R998"/>
      <c r="S998"/>
      <c r="W998" s="24"/>
      <c r="X998" s="24"/>
      <c r="Y998" s="24"/>
      <c r="Z998" s="24"/>
      <c r="AA998" s="24"/>
      <c r="AB998" s="24"/>
      <c r="AC998" s="24"/>
    </row>
    <row r="999" spans="16:29">
      <c r="P999"/>
      <c r="Q999"/>
      <c r="R999"/>
      <c r="S999"/>
      <c r="W999" s="24"/>
      <c r="X999" s="24"/>
      <c r="Y999" s="24"/>
      <c r="Z999" s="24"/>
      <c r="AA999" s="24"/>
      <c r="AB999" s="24"/>
      <c r="AC999" s="24"/>
    </row>
    <row r="1000" spans="16:29">
      <c r="P1000"/>
      <c r="Q1000"/>
      <c r="R1000"/>
      <c r="S1000"/>
      <c r="W1000" s="24"/>
      <c r="X1000" s="24"/>
      <c r="Y1000" s="24"/>
      <c r="Z1000" s="24"/>
      <c r="AA1000" s="24"/>
      <c r="AB1000" s="24"/>
      <c r="AC1000" s="24"/>
    </row>
    <row r="1001" spans="16:29">
      <c r="P1001"/>
      <c r="Q1001"/>
      <c r="R1001"/>
      <c r="S1001"/>
      <c r="W1001" s="24"/>
      <c r="X1001" s="24"/>
      <c r="Y1001" s="24"/>
      <c r="Z1001" s="24"/>
      <c r="AA1001" s="24"/>
      <c r="AB1001" s="24"/>
      <c r="AC1001" s="24"/>
    </row>
    <row r="1002" spans="16:29">
      <c r="P1002"/>
      <c r="Q1002"/>
      <c r="R1002"/>
      <c r="S1002"/>
      <c r="W1002" s="24"/>
      <c r="X1002" s="24"/>
      <c r="Y1002" s="24"/>
      <c r="Z1002" s="24"/>
      <c r="AA1002" s="24"/>
      <c r="AB1002" s="24"/>
      <c r="AC1002" s="24"/>
    </row>
    <row r="1003" spans="16:29">
      <c r="P1003"/>
      <c r="Q1003"/>
      <c r="R1003"/>
      <c r="S1003"/>
      <c r="W1003" s="24"/>
      <c r="X1003" s="24"/>
      <c r="Y1003" s="24"/>
      <c r="Z1003" s="24"/>
      <c r="AA1003" s="24"/>
      <c r="AB1003" s="24"/>
      <c r="AC1003" s="24"/>
    </row>
    <row r="1004" spans="16:29">
      <c r="P1004"/>
      <c r="Q1004"/>
      <c r="R1004"/>
      <c r="S1004"/>
      <c r="W1004" s="24"/>
      <c r="X1004" s="24"/>
      <c r="Y1004" s="24"/>
      <c r="Z1004" s="24"/>
      <c r="AA1004" s="24"/>
      <c r="AB1004" s="24"/>
      <c r="AC1004" s="24"/>
    </row>
    <row r="1005" spans="16:29">
      <c r="P1005"/>
      <c r="Q1005"/>
      <c r="R1005"/>
      <c r="S1005"/>
      <c r="W1005" s="24"/>
      <c r="X1005" s="24"/>
      <c r="Y1005" s="24"/>
      <c r="Z1005" s="24"/>
      <c r="AA1005" s="24"/>
      <c r="AB1005" s="24"/>
      <c r="AC1005" s="24"/>
    </row>
    <row r="1006" spans="16:29">
      <c r="P1006"/>
      <c r="Q1006"/>
      <c r="R1006"/>
      <c r="S1006"/>
      <c r="W1006" s="24"/>
      <c r="X1006" s="24"/>
      <c r="Y1006" s="24"/>
      <c r="Z1006" s="24"/>
      <c r="AA1006" s="24"/>
      <c r="AB1006" s="24"/>
      <c r="AC1006" s="24"/>
    </row>
    <row r="1007" spans="16:29">
      <c r="P1007"/>
      <c r="Q1007"/>
      <c r="R1007"/>
      <c r="S1007"/>
      <c r="W1007" s="24"/>
      <c r="X1007" s="24"/>
      <c r="Y1007" s="24"/>
      <c r="Z1007" s="24"/>
      <c r="AA1007" s="24"/>
      <c r="AB1007" s="24"/>
      <c r="AC1007" s="24"/>
    </row>
    <row r="1008" spans="16:29">
      <c r="P1008"/>
      <c r="Q1008"/>
      <c r="R1008"/>
      <c r="S1008"/>
      <c r="W1008" s="24"/>
      <c r="X1008" s="24"/>
      <c r="Y1008" s="24"/>
      <c r="Z1008" s="24"/>
      <c r="AA1008" s="24"/>
      <c r="AB1008" s="24"/>
      <c r="AC1008" s="24"/>
    </row>
    <row r="1009" spans="16:29">
      <c r="P1009"/>
      <c r="Q1009"/>
      <c r="R1009"/>
      <c r="S1009"/>
      <c r="W1009" s="24"/>
      <c r="X1009" s="24"/>
      <c r="Y1009" s="24"/>
      <c r="Z1009" s="24"/>
      <c r="AA1009" s="24"/>
      <c r="AB1009" s="24"/>
      <c r="AC1009" s="24"/>
    </row>
    <row r="1010" spans="16:29">
      <c r="P1010"/>
      <c r="Q1010"/>
      <c r="R1010"/>
      <c r="S1010"/>
      <c r="W1010" s="24"/>
      <c r="X1010" s="24"/>
      <c r="Y1010" s="24"/>
      <c r="Z1010" s="24"/>
      <c r="AA1010" s="24"/>
      <c r="AB1010" s="24"/>
      <c r="AC1010" s="24"/>
    </row>
    <row r="1011" spans="16:29">
      <c r="P1011"/>
      <c r="Q1011"/>
      <c r="R1011"/>
      <c r="S1011"/>
      <c r="W1011" s="24"/>
      <c r="X1011" s="24"/>
      <c r="Y1011" s="24"/>
      <c r="Z1011" s="24"/>
      <c r="AA1011" s="24"/>
      <c r="AB1011" s="24"/>
      <c r="AC1011" s="24"/>
    </row>
    <row r="1012" spans="16:29">
      <c r="P1012"/>
      <c r="Q1012"/>
      <c r="R1012"/>
      <c r="S1012"/>
      <c r="W1012" s="24"/>
      <c r="X1012" s="24"/>
      <c r="Y1012" s="24"/>
      <c r="Z1012" s="24"/>
      <c r="AA1012" s="24"/>
      <c r="AB1012" s="24"/>
      <c r="AC1012" s="24"/>
    </row>
    <row r="1013" spans="16:29">
      <c r="P1013"/>
      <c r="Q1013"/>
      <c r="R1013"/>
      <c r="S1013"/>
      <c r="W1013" s="24"/>
      <c r="X1013" s="24"/>
      <c r="Y1013" s="24"/>
      <c r="Z1013" s="24"/>
      <c r="AA1013" s="24"/>
      <c r="AB1013" s="24"/>
      <c r="AC1013" s="24"/>
    </row>
    <row r="1014" spans="16:29">
      <c r="P1014"/>
      <c r="Q1014"/>
      <c r="R1014"/>
      <c r="S1014"/>
      <c r="W1014" s="24"/>
      <c r="X1014" s="24"/>
      <c r="Y1014" s="24"/>
      <c r="Z1014" s="24"/>
      <c r="AA1014" s="24"/>
      <c r="AB1014" s="24"/>
      <c r="AC1014" s="24"/>
    </row>
    <row r="1015" spans="16:29">
      <c r="P1015"/>
      <c r="Q1015"/>
      <c r="R1015"/>
      <c r="S1015"/>
      <c r="W1015" s="24"/>
      <c r="X1015" s="24"/>
      <c r="Y1015" s="24"/>
      <c r="Z1015" s="24"/>
      <c r="AA1015" s="24"/>
      <c r="AB1015" s="24"/>
      <c r="AC1015" s="24"/>
    </row>
    <row r="1016" spans="16:29">
      <c r="P1016"/>
      <c r="Q1016"/>
      <c r="R1016"/>
      <c r="S1016"/>
      <c r="W1016" s="24"/>
      <c r="X1016" s="24"/>
      <c r="Y1016" s="24"/>
      <c r="Z1016" s="24"/>
      <c r="AA1016" s="24"/>
      <c r="AB1016" s="24"/>
      <c r="AC1016" s="24"/>
    </row>
    <row r="1017" spans="16:29">
      <c r="P1017"/>
      <c r="Q1017"/>
      <c r="R1017"/>
      <c r="S1017"/>
      <c r="W1017" s="24"/>
      <c r="X1017" s="24"/>
      <c r="Y1017" s="24"/>
      <c r="Z1017" s="24"/>
      <c r="AA1017" s="24"/>
      <c r="AB1017" s="24"/>
      <c r="AC1017" s="24"/>
    </row>
    <row r="1018" spans="16:29">
      <c r="P1018"/>
      <c r="Q1018"/>
      <c r="R1018"/>
      <c r="S1018"/>
      <c r="W1018" s="24"/>
      <c r="X1018" s="24"/>
      <c r="Y1018" s="24"/>
      <c r="Z1018" s="24"/>
      <c r="AA1018" s="24"/>
      <c r="AB1018" s="24"/>
      <c r="AC1018" s="24"/>
    </row>
    <row r="1019" spans="16:29">
      <c r="P1019"/>
      <c r="Q1019"/>
      <c r="R1019"/>
      <c r="S1019"/>
      <c r="W1019" s="24"/>
      <c r="X1019" s="24"/>
      <c r="Y1019" s="24"/>
      <c r="Z1019" s="24"/>
      <c r="AA1019" s="24"/>
      <c r="AB1019" s="24"/>
      <c r="AC1019" s="24"/>
    </row>
    <row r="1020" spans="16:29">
      <c r="P1020"/>
      <c r="Q1020"/>
      <c r="R1020"/>
      <c r="S1020"/>
      <c r="W1020" s="24"/>
      <c r="X1020" s="24"/>
      <c r="Y1020" s="24"/>
      <c r="Z1020" s="24"/>
      <c r="AA1020" s="24"/>
      <c r="AB1020" s="24"/>
      <c r="AC1020" s="24"/>
    </row>
    <row r="1021" spans="16:29">
      <c r="P1021"/>
      <c r="Q1021"/>
      <c r="R1021"/>
      <c r="S1021"/>
      <c r="W1021" s="24"/>
      <c r="X1021" s="24"/>
      <c r="Y1021" s="24"/>
      <c r="Z1021" s="24"/>
      <c r="AA1021" s="24"/>
      <c r="AB1021" s="24"/>
      <c r="AC1021" s="24"/>
    </row>
    <row r="1022" spans="16:29">
      <c r="P1022"/>
      <c r="Q1022"/>
      <c r="R1022"/>
      <c r="S1022"/>
      <c r="W1022" s="24"/>
      <c r="X1022" s="24"/>
      <c r="Y1022" s="24"/>
      <c r="Z1022" s="24"/>
      <c r="AA1022" s="24"/>
      <c r="AB1022" s="24"/>
      <c r="AC1022" s="24"/>
    </row>
    <row r="1023" spans="16:29">
      <c r="P1023"/>
      <c r="Q1023"/>
      <c r="R1023"/>
      <c r="S1023"/>
      <c r="W1023" s="24"/>
      <c r="X1023" s="24"/>
      <c r="Y1023" s="24"/>
      <c r="Z1023" s="24"/>
      <c r="AA1023" s="24"/>
      <c r="AB1023" s="24"/>
      <c r="AC1023" s="24"/>
    </row>
    <row r="1024" spans="16:29">
      <c r="P1024"/>
      <c r="Q1024"/>
      <c r="R1024"/>
      <c r="S1024"/>
      <c r="W1024" s="24"/>
      <c r="X1024" s="24"/>
      <c r="Y1024" s="24"/>
      <c r="Z1024" s="24"/>
      <c r="AA1024" s="24"/>
      <c r="AB1024" s="24"/>
      <c r="AC1024" s="24"/>
    </row>
    <row r="1025" spans="16:29">
      <c r="P1025"/>
      <c r="Q1025"/>
      <c r="R1025"/>
      <c r="S1025"/>
      <c r="W1025" s="24"/>
      <c r="X1025" s="24"/>
      <c r="Y1025" s="24"/>
      <c r="Z1025" s="24"/>
      <c r="AA1025" s="24"/>
      <c r="AB1025" s="24"/>
      <c r="AC1025" s="24"/>
    </row>
    <row r="1026" spans="16:29">
      <c r="P1026"/>
      <c r="Q1026"/>
      <c r="R1026"/>
      <c r="S1026"/>
      <c r="W1026" s="24"/>
      <c r="X1026" s="24"/>
      <c r="Y1026" s="24"/>
      <c r="Z1026" s="24"/>
      <c r="AA1026" s="24"/>
      <c r="AB1026" s="24"/>
      <c r="AC1026" s="24"/>
    </row>
    <row r="1027" spans="16:29">
      <c r="P1027"/>
      <c r="Q1027"/>
      <c r="R1027"/>
      <c r="S1027"/>
      <c r="W1027" s="24"/>
      <c r="X1027" s="24"/>
      <c r="Y1027" s="24"/>
      <c r="Z1027" s="24"/>
      <c r="AA1027" s="24"/>
      <c r="AB1027" s="24"/>
      <c r="AC1027" s="24"/>
    </row>
    <row r="1028" spans="16:29">
      <c r="P1028"/>
      <c r="Q1028"/>
      <c r="R1028"/>
      <c r="S1028"/>
      <c r="W1028" s="24"/>
      <c r="X1028" s="24"/>
      <c r="Y1028" s="24"/>
      <c r="Z1028" s="24"/>
      <c r="AA1028" s="24"/>
      <c r="AB1028" s="24"/>
      <c r="AC1028" s="24"/>
    </row>
    <row r="1029" spans="16:29">
      <c r="P1029"/>
      <c r="Q1029"/>
      <c r="R1029"/>
      <c r="S1029"/>
      <c r="W1029" s="24"/>
      <c r="X1029" s="24"/>
      <c r="Y1029" s="24"/>
      <c r="Z1029" s="24"/>
      <c r="AA1029" s="24"/>
      <c r="AB1029" s="24"/>
      <c r="AC1029" s="24"/>
    </row>
    <row r="1030" spans="16:29">
      <c r="P1030"/>
      <c r="Q1030"/>
      <c r="R1030"/>
      <c r="S1030"/>
      <c r="W1030" s="24"/>
      <c r="X1030" s="24"/>
      <c r="Y1030" s="24"/>
      <c r="Z1030" s="24"/>
      <c r="AA1030" s="24"/>
      <c r="AB1030" s="24"/>
      <c r="AC1030" s="24"/>
    </row>
    <row r="1031" spans="16:29">
      <c r="P1031"/>
      <c r="Q1031"/>
      <c r="R1031"/>
      <c r="S1031"/>
      <c r="W1031" s="24"/>
      <c r="X1031" s="24"/>
      <c r="Y1031" s="24"/>
      <c r="Z1031" s="24"/>
      <c r="AA1031" s="24"/>
      <c r="AB1031" s="24"/>
      <c r="AC1031" s="24"/>
    </row>
    <row r="1032" spans="16:29">
      <c r="P1032"/>
      <c r="Q1032"/>
      <c r="R1032"/>
      <c r="S1032"/>
      <c r="W1032" s="24"/>
      <c r="X1032" s="24"/>
      <c r="Y1032" s="24"/>
      <c r="Z1032" s="24"/>
      <c r="AA1032" s="24"/>
      <c r="AB1032" s="24"/>
      <c r="AC1032" s="24"/>
    </row>
    <row r="1033" spans="16:29">
      <c r="P1033"/>
      <c r="Q1033"/>
      <c r="R1033"/>
      <c r="S1033"/>
      <c r="W1033" s="24"/>
      <c r="X1033" s="24"/>
      <c r="Y1033" s="24"/>
      <c r="Z1033" s="24"/>
      <c r="AA1033" s="24"/>
      <c r="AB1033" s="24"/>
      <c r="AC1033" s="24"/>
    </row>
    <row r="1034" spans="16:29">
      <c r="P1034"/>
      <c r="Q1034"/>
      <c r="R1034"/>
      <c r="S1034"/>
      <c r="W1034" s="24"/>
      <c r="X1034" s="24"/>
      <c r="Y1034" s="24"/>
      <c r="Z1034" s="24"/>
      <c r="AA1034" s="24"/>
      <c r="AB1034" s="24"/>
      <c r="AC1034" s="24"/>
    </row>
    <row r="1035" spans="16:29">
      <c r="P1035"/>
      <c r="Q1035"/>
      <c r="R1035"/>
      <c r="S1035"/>
      <c r="W1035" s="24"/>
      <c r="X1035" s="24"/>
      <c r="Y1035" s="24"/>
      <c r="Z1035" s="24"/>
      <c r="AA1035" s="24"/>
      <c r="AB1035" s="24"/>
      <c r="AC1035" s="24"/>
    </row>
    <row r="1036" spans="16:29">
      <c r="P1036"/>
      <c r="Q1036"/>
      <c r="R1036"/>
      <c r="S1036"/>
      <c r="W1036" s="24"/>
      <c r="X1036" s="24"/>
      <c r="Y1036" s="24"/>
      <c r="Z1036" s="24"/>
      <c r="AA1036" s="24"/>
      <c r="AB1036" s="24"/>
      <c r="AC1036" s="24"/>
    </row>
    <row r="1037" spans="16:29">
      <c r="P1037"/>
      <c r="Q1037"/>
      <c r="R1037"/>
      <c r="S1037"/>
      <c r="W1037" s="24"/>
      <c r="X1037" s="24"/>
      <c r="Y1037" s="24"/>
      <c r="Z1037" s="24"/>
      <c r="AA1037" s="24"/>
      <c r="AB1037" s="24"/>
      <c r="AC1037" s="24"/>
    </row>
    <row r="1038" spans="16:29">
      <c r="P1038"/>
      <c r="Q1038"/>
      <c r="R1038"/>
      <c r="S1038"/>
      <c r="W1038" s="24"/>
      <c r="X1038" s="24"/>
      <c r="Y1038" s="24"/>
      <c r="Z1038" s="24"/>
      <c r="AA1038" s="24"/>
      <c r="AB1038" s="24"/>
      <c r="AC1038" s="24"/>
    </row>
    <row r="1039" spans="16:29">
      <c r="P1039"/>
      <c r="Q1039"/>
      <c r="R1039"/>
      <c r="S1039"/>
      <c r="W1039" s="24"/>
      <c r="X1039" s="24"/>
      <c r="Y1039" s="24"/>
      <c r="Z1039" s="24"/>
      <c r="AA1039" s="24"/>
      <c r="AB1039" s="24"/>
      <c r="AC1039" s="24"/>
    </row>
    <row r="1040" spans="16:29">
      <c r="P1040"/>
      <c r="Q1040"/>
      <c r="R1040"/>
      <c r="S1040"/>
      <c r="W1040" s="24"/>
      <c r="X1040" s="24"/>
      <c r="Y1040" s="24"/>
      <c r="Z1040" s="24"/>
      <c r="AA1040" s="24"/>
      <c r="AB1040" s="24"/>
      <c r="AC1040" s="24"/>
    </row>
    <row r="1041" spans="16:29">
      <c r="P1041"/>
      <c r="Q1041"/>
      <c r="R1041"/>
      <c r="S1041"/>
      <c r="W1041" s="24"/>
      <c r="X1041" s="24"/>
      <c r="Y1041" s="24"/>
      <c r="Z1041" s="24"/>
      <c r="AA1041" s="24"/>
      <c r="AB1041" s="24"/>
      <c r="AC1041" s="24"/>
    </row>
    <row r="1042" spans="16:29">
      <c r="P1042"/>
      <c r="Q1042"/>
      <c r="R1042"/>
      <c r="S1042"/>
      <c r="W1042" s="24"/>
      <c r="X1042" s="24"/>
      <c r="Y1042" s="24"/>
      <c r="Z1042" s="24"/>
      <c r="AA1042" s="24"/>
      <c r="AB1042" s="24"/>
      <c r="AC1042" s="24"/>
    </row>
    <row r="1043" spans="16:29">
      <c r="P1043"/>
      <c r="Q1043"/>
      <c r="R1043"/>
      <c r="S1043"/>
      <c r="W1043" s="24"/>
      <c r="X1043" s="24"/>
      <c r="Y1043" s="24"/>
      <c r="Z1043" s="24"/>
      <c r="AA1043" s="24"/>
      <c r="AB1043" s="24"/>
      <c r="AC1043" s="24"/>
    </row>
    <row r="1044" spans="16:29">
      <c r="P1044"/>
      <c r="Q1044"/>
      <c r="R1044"/>
      <c r="S1044"/>
      <c r="W1044" s="24"/>
      <c r="X1044" s="24"/>
      <c r="Y1044" s="24"/>
      <c r="Z1044" s="24"/>
      <c r="AA1044" s="24"/>
      <c r="AB1044" s="24"/>
      <c r="AC1044" s="24"/>
    </row>
    <row r="1045" spans="16:29">
      <c r="P1045"/>
      <c r="Q1045"/>
      <c r="R1045"/>
      <c r="S1045"/>
      <c r="W1045" s="24"/>
      <c r="X1045" s="24"/>
      <c r="Y1045" s="24"/>
      <c r="Z1045" s="24"/>
      <c r="AA1045" s="24"/>
      <c r="AB1045" s="24"/>
      <c r="AC1045" s="24"/>
    </row>
    <row r="1046" spans="16:29">
      <c r="P1046"/>
      <c r="Q1046"/>
      <c r="R1046"/>
      <c r="S1046"/>
      <c r="W1046" s="24"/>
      <c r="X1046" s="24"/>
      <c r="Y1046" s="24"/>
      <c r="Z1046" s="24"/>
      <c r="AA1046" s="24"/>
      <c r="AB1046" s="24"/>
      <c r="AC1046" s="24"/>
    </row>
    <row r="1047" spans="16:29">
      <c r="P1047"/>
      <c r="Q1047"/>
      <c r="R1047"/>
      <c r="S1047"/>
      <c r="W1047" s="24"/>
      <c r="X1047" s="24"/>
      <c r="Y1047" s="24"/>
      <c r="Z1047" s="24"/>
      <c r="AA1047" s="24"/>
      <c r="AB1047" s="24"/>
      <c r="AC1047" s="24"/>
    </row>
    <row r="1048" spans="16:29">
      <c r="P1048"/>
      <c r="Q1048"/>
      <c r="R1048"/>
      <c r="S1048"/>
      <c r="W1048" s="24"/>
      <c r="X1048" s="24"/>
      <c r="Y1048" s="24"/>
      <c r="Z1048" s="24"/>
      <c r="AA1048" s="24"/>
      <c r="AB1048" s="24"/>
      <c r="AC1048" s="24"/>
    </row>
    <row r="1049" spans="16:29">
      <c r="P1049"/>
      <c r="Q1049"/>
      <c r="R1049"/>
      <c r="S1049"/>
      <c r="W1049" s="24"/>
      <c r="X1049" s="24"/>
      <c r="Y1049" s="24"/>
      <c r="Z1049" s="24"/>
      <c r="AA1049" s="24"/>
      <c r="AB1049" s="24"/>
      <c r="AC1049" s="24"/>
    </row>
    <row r="1050" spans="16:29">
      <c r="P1050"/>
      <c r="Q1050"/>
      <c r="R1050"/>
      <c r="S1050"/>
      <c r="W1050" s="24"/>
      <c r="X1050" s="24"/>
      <c r="Y1050" s="24"/>
      <c r="Z1050" s="24"/>
      <c r="AA1050" s="24"/>
      <c r="AB1050" s="24"/>
      <c r="AC1050" s="24"/>
    </row>
    <row r="1051" spans="16:29">
      <c r="P1051"/>
      <c r="Q1051"/>
      <c r="R1051"/>
      <c r="S1051"/>
      <c r="W1051" s="24"/>
      <c r="X1051" s="24"/>
      <c r="Y1051" s="24"/>
      <c r="Z1051" s="24"/>
      <c r="AA1051" s="24"/>
      <c r="AB1051" s="24"/>
      <c r="AC1051" s="24"/>
    </row>
    <row r="1052" spans="16:29">
      <c r="P1052"/>
      <c r="Q1052"/>
      <c r="R1052"/>
      <c r="S1052"/>
      <c r="W1052" s="24"/>
      <c r="X1052" s="24"/>
      <c r="Y1052" s="24"/>
      <c r="Z1052" s="24"/>
      <c r="AA1052" s="24"/>
      <c r="AB1052" s="24"/>
      <c r="AC1052" s="24"/>
    </row>
    <row r="1053" spans="16:29">
      <c r="P1053"/>
      <c r="Q1053"/>
      <c r="R1053"/>
      <c r="S1053"/>
      <c r="W1053" s="24"/>
      <c r="X1053" s="24"/>
      <c r="Y1053" s="24"/>
      <c r="Z1053" s="24"/>
      <c r="AA1053" s="24"/>
      <c r="AB1053" s="24"/>
      <c r="AC1053" s="24"/>
    </row>
    <row r="1054" spans="16:29">
      <c r="P1054"/>
      <c r="Q1054"/>
      <c r="R1054"/>
      <c r="S1054"/>
      <c r="W1054" s="24"/>
      <c r="X1054" s="24"/>
      <c r="Y1054" s="24"/>
      <c r="Z1054" s="24"/>
      <c r="AA1054" s="24"/>
      <c r="AB1054" s="24"/>
      <c r="AC1054" s="24"/>
    </row>
    <row r="1055" spans="16:29">
      <c r="P1055"/>
      <c r="Q1055"/>
      <c r="R1055"/>
      <c r="S1055"/>
      <c r="W1055" s="24"/>
      <c r="X1055" s="24"/>
      <c r="Y1055" s="24"/>
      <c r="Z1055" s="24"/>
      <c r="AA1055" s="24"/>
      <c r="AB1055" s="24"/>
      <c r="AC1055" s="24"/>
    </row>
    <row r="1056" spans="16:29">
      <c r="P1056"/>
      <c r="Q1056"/>
      <c r="R1056"/>
      <c r="S1056"/>
      <c r="W1056" s="24"/>
      <c r="X1056" s="24"/>
      <c r="Y1056" s="24"/>
      <c r="Z1056" s="24"/>
      <c r="AA1056" s="24"/>
      <c r="AB1056" s="24"/>
      <c r="AC1056" s="24"/>
    </row>
    <row r="1057" spans="16:29">
      <c r="P1057"/>
      <c r="Q1057"/>
      <c r="R1057"/>
      <c r="S1057"/>
      <c r="W1057" s="24"/>
      <c r="X1057" s="24"/>
      <c r="Y1057" s="24"/>
      <c r="Z1057" s="24"/>
      <c r="AA1057" s="24"/>
      <c r="AB1057" s="24"/>
      <c r="AC1057" s="24"/>
    </row>
    <row r="1058" spans="16:29">
      <c r="P1058"/>
      <c r="Q1058"/>
      <c r="R1058"/>
      <c r="S1058"/>
      <c r="W1058" s="24"/>
      <c r="X1058" s="24"/>
      <c r="Y1058" s="24"/>
      <c r="Z1058" s="24"/>
      <c r="AA1058" s="24"/>
      <c r="AB1058" s="24"/>
      <c r="AC1058" s="24"/>
    </row>
    <row r="1059" spans="16:29">
      <c r="P1059"/>
      <c r="Q1059"/>
      <c r="R1059"/>
      <c r="S1059"/>
      <c r="W1059" s="24"/>
      <c r="X1059" s="24"/>
      <c r="Y1059" s="24"/>
      <c r="Z1059" s="24"/>
      <c r="AA1059" s="24"/>
      <c r="AB1059" s="24"/>
      <c r="AC1059" s="24"/>
    </row>
    <row r="1060" spans="16:29">
      <c r="P1060"/>
      <c r="Q1060"/>
      <c r="R1060"/>
      <c r="S1060"/>
      <c r="W1060" s="24"/>
      <c r="X1060" s="24"/>
      <c r="Y1060" s="24"/>
      <c r="Z1060" s="24"/>
      <c r="AA1060" s="24"/>
      <c r="AB1060" s="24"/>
      <c r="AC1060" s="24"/>
    </row>
  </sheetData>
  <sheetProtection algorithmName="SHA-512" hashValue="QIQCAhIeeaRaP1T/EnmbWM/wpVnzdwwHWgLSAvLugyo3qyuR54M1+d5GAuumPjUZQ0Cs7rdUYx2v2KQk9S1KBQ==" saltValue="QM8gWmazFairy7g7CAp+qg==" spinCount="100000" sheet="1" selectLockedCells="1"/>
  <customSheetViews>
    <customSheetView guid="{88029C9E-0AAA-4AEA-8FBA-3530118F01BF}" hiddenRows="1" topLeftCell="J1">
      <selection activeCell="B530" sqref="B530"/>
      <pageMargins left="0.7" right="0.7" top="0.78740157499999996" bottom="0.78740157499999996" header="0.3" footer="0.3"/>
      <pageSetup paperSize="9" orientation="portrait" r:id="rId1"/>
    </customSheetView>
  </customSheetViews>
  <mergeCells count="57">
    <mergeCell ref="P863:T863"/>
    <mergeCell ref="G912:G913"/>
    <mergeCell ref="K754:N754"/>
    <mergeCell ref="S754:V754"/>
    <mergeCell ref="K755:N755"/>
    <mergeCell ref="S755:V755"/>
    <mergeCell ref="K756:N756"/>
    <mergeCell ref="P756:Q756"/>
    <mergeCell ref="S756:V756"/>
    <mergeCell ref="K735:N735"/>
    <mergeCell ref="S735:V735"/>
    <mergeCell ref="K736:N736"/>
    <mergeCell ref="S736:V736"/>
    <mergeCell ref="K737:L737"/>
    <mergeCell ref="M737:N737"/>
    <mergeCell ref="O737:P737"/>
    <mergeCell ref="S737:V737"/>
    <mergeCell ref="B698:C712"/>
    <mergeCell ref="R714:U714"/>
    <mergeCell ref="K715:O715"/>
    <mergeCell ref="R715:S715"/>
    <mergeCell ref="T715:U715"/>
    <mergeCell ref="V715:W715"/>
    <mergeCell ref="W582:AA582"/>
    <mergeCell ref="AC582:AG582"/>
    <mergeCell ref="P617:T617"/>
    <mergeCell ref="J641:L655"/>
    <mergeCell ref="B660:B674"/>
    <mergeCell ref="J679:L693"/>
    <mergeCell ref="W559:AA559"/>
    <mergeCell ref="W567:AA567"/>
    <mergeCell ref="AC567:AG567"/>
    <mergeCell ref="W575:AA575"/>
    <mergeCell ref="AC575:AG575"/>
    <mergeCell ref="P576:T576"/>
    <mergeCell ref="H364:H365"/>
    <mergeCell ref="P364:T364"/>
    <mergeCell ref="P410:T410"/>
    <mergeCell ref="P464:T464"/>
    <mergeCell ref="P479:T479"/>
    <mergeCell ref="P541:T541"/>
    <mergeCell ref="V57:Z57"/>
    <mergeCell ref="AB57:AF57"/>
    <mergeCell ref="P99:T99"/>
    <mergeCell ref="P163:T163"/>
    <mergeCell ref="P238:T238"/>
    <mergeCell ref="W341:AA341"/>
    <mergeCell ref="AC341:AG341"/>
    <mergeCell ref="P312:T312"/>
    <mergeCell ref="P5:T5"/>
    <mergeCell ref="V47:X47"/>
    <mergeCell ref="V48:Z48"/>
    <mergeCell ref="AB48:AF48"/>
    <mergeCell ref="L50:L51"/>
    <mergeCell ref="P50:T50"/>
    <mergeCell ref="P15:T15"/>
    <mergeCell ref="P35:T35"/>
  </mergeCells>
  <dataValidations disablePrompts="1" count="1">
    <dataValidation type="list" allowBlank="1" showInputMessage="1" showErrorMessage="1" sqref="B781 B908 B572 B59 B590 B337 B386 B422 B495" xr:uid="{00000000-0002-0000-0000-000000000000}">
      <formula1>$V$7:$V$16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1025" r:id="rId5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25" r:id="rId5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8">
            <anchor moveWithCells="1">
              <from>
                <xdr:col>7</xdr:col>
                <xdr:colOff>695325</xdr:colOff>
                <xdr:row>43</xdr:row>
                <xdr:rowOff>180975</xdr:rowOff>
              </from>
              <to>
                <xdr:col>11</xdr:col>
                <xdr:colOff>647700</xdr:colOff>
                <xdr:row>44</xdr:row>
                <xdr:rowOff>285750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9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28" r:id="rId9"/>
      </mc:Fallback>
    </mc:AlternateContent>
    <mc:AlternateContent xmlns:mc="http://schemas.openxmlformats.org/markup-compatibility/2006">
      <mc:Choice Requires="x14">
        <oleObject progId="Equation.3" shapeId="1029" r:id="rId11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29" r:id="rId11"/>
      </mc:Fallback>
    </mc:AlternateContent>
    <mc:AlternateContent xmlns:mc="http://schemas.openxmlformats.org/markup-compatibility/2006">
      <mc:Choice Requires="x14">
        <oleObject progId="Equation.3" shapeId="1030" r:id="rId13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30" r:id="rId13"/>
      </mc:Fallback>
    </mc:AlternateContent>
    <mc:AlternateContent xmlns:mc="http://schemas.openxmlformats.org/markup-compatibility/2006">
      <mc:Choice Requires="x14">
        <oleObject progId="Equation.3" shapeId="1031" r:id="rId14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31" r:id="rId14"/>
      </mc:Fallback>
    </mc:AlternateContent>
    <mc:AlternateContent xmlns:mc="http://schemas.openxmlformats.org/markup-compatibility/2006">
      <mc:Choice Requires="x14">
        <oleObject progId="Equation.3" shapeId="1032" r:id="rId16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32" r:id="rId16"/>
      </mc:Fallback>
    </mc:AlternateContent>
    <mc:AlternateContent xmlns:mc="http://schemas.openxmlformats.org/markup-compatibility/2006">
      <mc:Choice Requires="x14">
        <oleObject progId="Equation.3" shapeId="1033" r:id="rId17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33" r:id="rId17"/>
      </mc:Fallback>
    </mc:AlternateContent>
    <mc:AlternateContent xmlns:mc="http://schemas.openxmlformats.org/markup-compatibility/2006">
      <mc:Choice Requires="x14">
        <oleObject progId="Equation.3" shapeId="1034" r:id="rId1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34" r:id="rId19"/>
      </mc:Fallback>
    </mc:AlternateContent>
    <mc:AlternateContent xmlns:mc="http://schemas.openxmlformats.org/markup-compatibility/2006">
      <mc:Choice Requires="x14">
        <oleObject progId="Equation.3" shapeId="1035" r:id="rId21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35" r:id="rId21"/>
      </mc:Fallback>
    </mc:AlternateContent>
    <mc:AlternateContent xmlns:mc="http://schemas.openxmlformats.org/markup-compatibility/2006">
      <mc:Choice Requires="x14">
        <oleObject progId="Equation.3" shapeId="1036" r:id="rId23">
          <objectPr defaultSize="0" autoPict="0" r:id="rId22">
            <anchor moveWithCells="1">
              <from>
                <xdr:col>7</xdr:col>
                <xdr:colOff>352425</xdr:colOff>
                <xdr:row>162</xdr:row>
                <xdr:rowOff>9525</xdr:rowOff>
              </from>
              <to>
                <xdr:col>12</xdr:col>
                <xdr:colOff>76200</xdr:colOff>
                <xdr:row>166</xdr:row>
                <xdr:rowOff>161925</xdr:rowOff>
              </to>
            </anchor>
          </objectPr>
        </oleObject>
      </mc:Choice>
      <mc:Fallback>
        <oleObject progId="Equation.3" shapeId="1036" r:id="rId23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5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39" r:id="rId25"/>
      </mc:Fallback>
    </mc:AlternateContent>
    <mc:AlternateContent xmlns:mc="http://schemas.openxmlformats.org/markup-compatibility/2006">
      <mc:Choice Requires="x14">
        <oleObject progId="Equation.3" shapeId="1040" r:id="rId26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40" r:id="rId26"/>
      </mc:Fallback>
    </mc:AlternateContent>
    <mc:AlternateContent xmlns:mc="http://schemas.openxmlformats.org/markup-compatibility/2006">
      <mc:Choice Requires="x14">
        <oleObject progId="Equation.3" shapeId="1041" r:id="rId27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41" r:id="rId27"/>
      </mc:Fallback>
    </mc:AlternateContent>
    <mc:AlternateContent xmlns:mc="http://schemas.openxmlformats.org/markup-compatibility/2006">
      <mc:Choice Requires="x14">
        <oleObject progId="Equation.3" shapeId="1042" r:id="rId28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42" r:id="rId28"/>
      </mc:Fallback>
    </mc:AlternateContent>
    <mc:AlternateContent xmlns:mc="http://schemas.openxmlformats.org/markup-compatibility/2006">
      <mc:Choice Requires="x14">
        <oleObject progId="Equation.3" shapeId="1043" r:id="rId29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43" r:id="rId29"/>
      </mc:Fallback>
    </mc:AlternateContent>
    <mc:AlternateContent xmlns:mc="http://schemas.openxmlformats.org/markup-compatibility/2006">
      <mc:Choice Requires="x14">
        <oleObject progId="Equation.3" shapeId="1044" r:id="rId30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44" r:id="rId30"/>
      </mc:Fallback>
    </mc:AlternateContent>
    <mc:AlternateContent xmlns:mc="http://schemas.openxmlformats.org/markup-compatibility/2006">
      <mc:Choice Requires="x14">
        <oleObject progId="Equation.3" shapeId="1045" r:id="rId32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45" r:id="rId32"/>
      </mc:Fallback>
    </mc:AlternateContent>
    <mc:AlternateContent xmlns:mc="http://schemas.openxmlformats.org/markup-compatibility/2006">
      <mc:Choice Requires="x14">
        <oleObject progId="Equation.3" shapeId="1046" r:id="rId34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46" r:id="rId34"/>
      </mc:Fallback>
    </mc:AlternateContent>
    <mc:AlternateContent xmlns:mc="http://schemas.openxmlformats.org/markup-compatibility/2006">
      <mc:Choice Requires="x14">
        <oleObject progId="Equation.3" shapeId="1047" r:id="rId35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47" r:id="rId35"/>
      </mc:Fallback>
    </mc:AlternateContent>
    <mc:AlternateContent xmlns:mc="http://schemas.openxmlformats.org/markup-compatibility/2006">
      <mc:Choice Requires="x14">
        <oleObject progId="Equation.3" shapeId="1048" r:id="rId36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48" r:id="rId36"/>
      </mc:Fallback>
    </mc:AlternateContent>
    <mc:AlternateContent xmlns:mc="http://schemas.openxmlformats.org/markup-compatibility/2006">
      <mc:Choice Requires="x14">
        <oleObject progId="Equation.3" shapeId="1049" r:id="rId37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49" r:id="rId37"/>
      </mc:Fallback>
    </mc:AlternateContent>
    <mc:AlternateContent xmlns:mc="http://schemas.openxmlformats.org/markup-compatibility/2006">
      <mc:Choice Requires="x14">
        <oleObject progId="Equation.3" shapeId="1050" r:id="rId38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50" r:id="rId38"/>
      </mc:Fallback>
    </mc:AlternateContent>
    <mc:AlternateContent xmlns:mc="http://schemas.openxmlformats.org/markup-compatibility/2006">
      <mc:Choice Requires="x14">
        <oleObject progId="Equation.3" shapeId="1051" r:id="rId39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51" r:id="rId39"/>
      </mc:Fallback>
    </mc:AlternateContent>
    <mc:AlternateContent xmlns:mc="http://schemas.openxmlformats.org/markup-compatibility/2006">
      <mc:Choice Requires="x14">
        <oleObject progId="Equation.3" shapeId="1052" r:id="rId40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52" r:id="rId40"/>
      </mc:Fallback>
    </mc:AlternateContent>
    <mc:AlternateContent xmlns:mc="http://schemas.openxmlformats.org/markup-compatibility/2006">
      <mc:Choice Requires="x14">
        <oleObject progId="Equation.3" shapeId="1053" r:id="rId41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53" r:id="rId41"/>
      </mc:Fallback>
    </mc:AlternateContent>
    <mc:AlternateContent xmlns:mc="http://schemas.openxmlformats.org/markup-compatibility/2006">
      <mc:Choice Requires="x14">
        <oleObject progId="Equation.3" shapeId="1054" r:id="rId42">
          <objectPr defaultSize="0" autoPict="0" r:id="rId6">
            <anchor moveWithCells="1">
              <from>
                <xdr:col>2</xdr:col>
                <xdr:colOff>704850</xdr:colOff>
                <xdr:row>68</xdr:row>
                <xdr:rowOff>133350</xdr:rowOff>
              </from>
              <to>
                <xdr:col>4</xdr:col>
                <xdr:colOff>561975</xdr:colOff>
                <xdr:row>69</xdr:row>
                <xdr:rowOff>190500</xdr:rowOff>
              </to>
            </anchor>
          </objectPr>
        </oleObject>
      </mc:Choice>
      <mc:Fallback>
        <oleObject progId="Equation.3" shapeId="1054" r:id="rId42"/>
      </mc:Fallback>
    </mc:AlternateContent>
    <mc:AlternateContent xmlns:mc="http://schemas.openxmlformats.org/markup-compatibility/2006">
      <mc:Choice Requires="x14">
        <oleObject progId="Equation.3" shapeId="1056" r:id="rId43">
          <objectPr defaultSize="0" autoPict="0" r:id="rId10">
            <anchor moveWithCells="1">
              <from>
                <xdr:col>4</xdr:col>
                <xdr:colOff>676275</xdr:colOff>
                <xdr:row>58</xdr:row>
                <xdr:rowOff>142875</xdr:rowOff>
              </from>
              <to>
                <xdr:col>9</xdr:col>
                <xdr:colOff>552450</xdr:colOff>
                <xdr:row>60</xdr:row>
                <xdr:rowOff>19050</xdr:rowOff>
              </to>
            </anchor>
          </objectPr>
        </oleObject>
      </mc:Choice>
      <mc:Fallback>
        <oleObject progId="Equation.3" shapeId="1056" r:id="rId43"/>
      </mc:Fallback>
    </mc:AlternateContent>
    <mc:AlternateContent xmlns:mc="http://schemas.openxmlformats.org/markup-compatibility/2006">
      <mc:Choice Requires="x14">
        <oleObject progId="Equation.3" shapeId="1057" r:id="rId44">
          <objectPr defaultSize="0" autoPict="0" r:id="rId12">
            <anchor moveWithCells="1">
              <from>
                <xdr:col>2</xdr:col>
                <xdr:colOff>676275</xdr:colOff>
                <xdr:row>70</xdr:row>
                <xdr:rowOff>19050</xdr:rowOff>
              </from>
              <to>
                <xdr:col>4</xdr:col>
                <xdr:colOff>561975</xdr:colOff>
                <xdr:row>71</xdr:row>
                <xdr:rowOff>9525</xdr:rowOff>
              </to>
            </anchor>
          </objectPr>
        </oleObject>
      </mc:Choice>
      <mc:Fallback>
        <oleObject progId="Equation.3" shapeId="1057" r:id="rId44"/>
      </mc:Fallback>
    </mc:AlternateContent>
    <mc:AlternateContent xmlns:mc="http://schemas.openxmlformats.org/markup-compatibility/2006">
      <mc:Choice Requires="x14">
        <oleObject progId="Equation.3" shapeId="1058" r:id="rId45">
          <objectPr defaultSize="0" autoPict="0" r:id="rId6">
            <anchor moveWithCells="1">
              <from>
                <xdr:col>4</xdr:col>
                <xdr:colOff>542925</xdr:colOff>
                <xdr:row>117</xdr:row>
                <xdr:rowOff>123825</xdr:rowOff>
              </from>
              <to>
                <xdr:col>6</xdr:col>
                <xdr:colOff>400050</xdr:colOff>
                <xdr:row>118</xdr:row>
                <xdr:rowOff>190500</xdr:rowOff>
              </to>
            </anchor>
          </objectPr>
        </oleObject>
      </mc:Choice>
      <mc:Fallback>
        <oleObject progId="Equation.3" shapeId="1058" r:id="rId45"/>
      </mc:Fallback>
    </mc:AlternateContent>
    <mc:AlternateContent xmlns:mc="http://schemas.openxmlformats.org/markup-compatibility/2006">
      <mc:Choice Requires="x14">
        <oleObject progId="Equation.3" shapeId="1059" r:id="rId46">
          <objectPr defaultSize="0" autoPict="0" r:id="rId15">
            <anchor moveWithCells="1">
              <from>
                <xdr:col>4</xdr:col>
                <xdr:colOff>571500</xdr:colOff>
                <xdr:row>119</xdr:row>
                <xdr:rowOff>19050</xdr:rowOff>
              </from>
              <to>
                <xdr:col>6</xdr:col>
                <xdr:colOff>457200</xdr:colOff>
                <xdr:row>120</xdr:row>
                <xdr:rowOff>9525</xdr:rowOff>
              </to>
            </anchor>
          </objectPr>
        </oleObject>
      </mc:Choice>
      <mc:Fallback>
        <oleObject progId="Equation.3" shapeId="1059" r:id="rId46"/>
      </mc:Fallback>
    </mc:AlternateContent>
    <mc:AlternateContent xmlns:mc="http://schemas.openxmlformats.org/markup-compatibility/2006">
      <mc:Choice Requires="x14">
        <oleObject progId="Equation.3" shapeId="1060" r:id="rId47">
          <objectPr defaultSize="0" autoPict="0" r:id="rId6">
            <anchor moveWithCells="1">
              <from>
                <xdr:col>4</xdr:col>
                <xdr:colOff>28575</xdr:colOff>
                <xdr:row>186</xdr:row>
                <xdr:rowOff>123825</xdr:rowOff>
              </from>
              <to>
                <xdr:col>5</xdr:col>
                <xdr:colOff>647700</xdr:colOff>
                <xdr:row>188</xdr:row>
                <xdr:rowOff>0</xdr:rowOff>
              </to>
            </anchor>
          </objectPr>
        </oleObject>
      </mc:Choice>
      <mc:Fallback>
        <oleObject progId="Equation.3" shapeId="1060" r:id="rId47"/>
      </mc:Fallback>
    </mc:AlternateContent>
    <mc:AlternateContent xmlns:mc="http://schemas.openxmlformats.org/markup-compatibility/2006">
      <mc:Choice Requires="x14">
        <oleObject progId="Equation.3" shapeId="1061" r:id="rId48">
          <objectPr defaultSize="0" autoPict="0" r:id="rId18">
            <anchor moveWithCells="1">
              <from>
                <xdr:col>4</xdr:col>
                <xdr:colOff>28575</xdr:colOff>
                <xdr:row>188</xdr:row>
                <xdr:rowOff>28575</xdr:rowOff>
              </from>
              <to>
                <xdr:col>5</xdr:col>
                <xdr:colOff>676275</xdr:colOff>
                <xdr:row>189</xdr:row>
                <xdr:rowOff>19050</xdr:rowOff>
              </to>
            </anchor>
          </objectPr>
        </oleObject>
      </mc:Choice>
      <mc:Fallback>
        <oleObject progId="Equation.3" shapeId="1061" r:id="rId48"/>
      </mc:Fallback>
    </mc:AlternateContent>
    <mc:AlternateContent xmlns:mc="http://schemas.openxmlformats.org/markup-compatibility/2006">
      <mc:Choice Requires="x14">
        <oleObject progId="Equation.3" shapeId="1062" r:id="rId49">
          <objectPr defaultSize="0" autoPict="0" r:id="rId20">
            <anchor moveWithCells="1">
              <from>
                <xdr:col>7</xdr:col>
                <xdr:colOff>133350</xdr:colOff>
                <xdr:row>239</xdr:row>
                <xdr:rowOff>0</xdr:rowOff>
              </from>
              <to>
                <xdr:col>11</xdr:col>
                <xdr:colOff>619125</xdr:colOff>
                <xdr:row>252</xdr:row>
                <xdr:rowOff>38100</xdr:rowOff>
              </to>
            </anchor>
          </objectPr>
        </oleObject>
      </mc:Choice>
      <mc:Fallback>
        <oleObject progId="Equation.3" shapeId="1062" r:id="rId49"/>
      </mc:Fallback>
    </mc:AlternateContent>
    <mc:AlternateContent xmlns:mc="http://schemas.openxmlformats.org/markup-compatibility/2006">
      <mc:Choice Requires="x14">
        <oleObject progId="Equation.3" shapeId="1063" r:id="rId50">
          <objectPr defaultSize="0" autoPict="0" r:id="rId22">
            <anchor moveWithCells="1">
              <from>
                <xdr:col>8</xdr:col>
                <xdr:colOff>133350</xdr:colOff>
                <xdr:row>362</xdr:row>
                <xdr:rowOff>95250</xdr:rowOff>
              </from>
              <to>
                <xdr:col>12</xdr:col>
                <xdr:colOff>752475</xdr:colOff>
                <xdr:row>371</xdr:row>
                <xdr:rowOff>38100</xdr:rowOff>
              </to>
            </anchor>
          </objectPr>
        </oleObject>
      </mc:Choice>
      <mc:Fallback>
        <oleObject progId="Equation.3" shapeId="1063" r:id="rId50"/>
      </mc:Fallback>
    </mc:AlternateContent>
    <mc:AlternateContent xmlns:mc="http://schemas.openxmlformats.org/markup-compatibility/2006">
      <mc:Choice Requires="x14">
        <oleObject progId="Equation.3" shapeId="1064" r:id="rId51">
          <objectPr defaultSize="0" autoPict="0" r:id="rId22">
            <anchor moveWithCells="1">
              <from>
                <xdr:col>6</xdr:col>
                <xdr:colOff>142875</xdr:colOff>
                <xdr:row>100</xdr:row>
                <xdr:rowOff>142875</xdr:rowOff>
              </from>
              <to>
                <xdr:col>9</xdr:col>
                <xdr:colOff>514350</xdr:colOff>
                <xdr:row>102</xdr:row>
                <xdr:rowOff>628650</xdr:rowOff>
              </to>
            </anchor>
          </objectPr>
        </oleObject>
      </mc:Choice>
      <mc:Fallback>
        <oleObject progId="Equation.3" shapeId="1064" r:id="rId51"/>
      </mc:Fallback>
    </mc:AlternateContent>
    <mc:AlternateContent xmlns:mc="http://schemas.openxmlformats.org/markup-compatibility/2006">
      <mc:Choice Requires="x14">
        <oleObject progId="Equation.3" shapeId="1065" r:id="rId52">
          <objectPr defaultSize="0" autoPict="0" r:id="rId6">
            <anchor moveWithCells="1">
              <from>
                <xdr:col>2</xdr:col>
                <xdr:colOff>704850</xdr:colOff>
                <xdr:row>388</xdr:row>
                <xdr:rowOff>133350</xdr:rowOff>
              </from>
              <to>
                <xdr:col>4</xdr:col>
                <xdr:colOff>561975</xdr:colOff>
                <xdr:row>390</xdr:row>
                <xdr:rowOff>0</xdr:rowOff>
              </to>
            </anchor>
          </objectPr>
        </oleObject>
      </mc:Choice>
      <mc:Fallback>
        <oleObject progId="Equation.3" shapeId="1065" r:id="rId52"/>
      </mc:Fallback>
    </mc:AlternateContent>
    <mc:AlternateContent xmlns:mc="http://schemas.openxmlformats.org/markup-compatibility/2006">
      <mc:Choice Requires="x14">
        <oleObject progId="Equation.3" shapeId="1066" r:id="rId53">
          <objectPr defaultSize="0" autoPict="0" r:id="rId12">
            <anchor moveWithCells="1">
              <from>
                <xdr:col>2</xdr:col>
                <xdr:colOff>676275</xdr:colOff>
                <xdr:row>390</xdr:row>
                <xdr:rowOff>19050</xdr:rowOff>
              </from>
              <to>
                <xdr:col>4</xdr:col>
                <xdr:colOff>561975</xdr:colOff>
                <xdr:row>391</xdr:row>
                <xdr:rowOff>9525</xdr:rowOff>
              </to>
            </anchor>
          </objectPr>
        </oleObject>
      </mc:Choice>
      <mc:Fallback>
        <oleObject progId="Equation.3" shapeId="1066" r:id="rId53"/>
      </mc:Fallback>
    </mc:AlternateContent>
    <mc:AlternateContent xmlns:mc="http://schemas.openxmlformats.org/markup-compatibility/2006">
      <mc:Choice Requires="x14">
        <oleObject progId="Equation.3" shapeId="1067" r:id="rId54">
          <objectPr defaultSize="0" autoPict="0" r:id="rId6">
            <anchor moveWithCells="1">
              <from>
                <xdr:col>4</xdr:col>
                <xdr:colOff>542925</xdr:colOff>
                <xdr:row>424</xdr:row>
                <xdr:rowOff>123825</xdr:rowOff>
              </from>
              <to>
                <xdr:col>6</xdr:col>
                <xdr:colOff>400050</xdr:colOff>
                <xdr:row>426</xdr:row>
                <xdr:rowOff>0</xdr:rowOff>
              </to>
            </anchor>
          </objectPr>
        </oleObject>
      </mc:Choice>
      <mc:Fallback>
        <oleObject progId="Equation.3" shapeId="1067" r:id="rId54"/>
      </mc:Fallback>
    </mc:AlternateContent>
    <mc:AlternateContent xmlns:mc="http://schemas.openxmlformats.org/markup-compatibility/2006">
      <mc:Choice Requires="x14">
        <oleObject progId="Equation.3" shapeId="1068" r:id="rId55">
          <objectPr defaultSize="0" autoPict="0" r:id="rId15">
            <anchor moveWithCells="1">
              <from>
                <xdr:col>4</xdr:col>
                <xdr:colOff>571500</xdr:colOff>
                <xdr:row>426</xdr:row>
                <xdr:rowOff>19050</xdr:rowOff>
              </from>
              <to>
                <xdr:col>6</xdr:col>
                <xdr:colOff>457200</xdr:colOff>
                <xdr:row>427</xdr:row>
                <xdr:rowOff>9525</xdr:rowOff>
              </to>
            </anchor>
          </objectPr>
        </oleObject>
      </mc:Choice>
      <mc:Fallback>
        <oleObject progId="Equation.3" shapeId="1068" r:id="rId55"/>
      </mc:Fallback>
    </mc:AlternateContent>
    <mc:AlternateContent xmlns:mc="http://schemas.openxmlformats.org/markup-compatibility/2006">
      <mc:Choice Requires="x14">
        <oleObject progId="Equation.3" shapeId="1069" r:id="rId56">
          <objectPr defaultSize="0" autoPict="0" r:id="rId6">
            <anchor moveWithCells="1">
              <from>
                <xdr:col>4</xdr:col>
                <xdr:colOff>28575</xdr:colOff>
                <xdr:row>497</xdr:row>
                <xdr:rowOff>123825</xdr:rowOff>
              </from>
              <to>
                <xdr:col>5</xdr:col>
                <xdr:colOff>647700</xdr:colOff>
                <xdr:row>499</xdr:row>
                <xdr:rowOff>0</xdr:rowOff>
              </to>
            </anchor>
          </objectPr>
        </oleObject>
      </mc:Choice>
      <mc:Fallback>
        <oleObject progId="Equation.3" shapeId="1069" r:id="rId56"/>
      </mc:Fallback>
    </mc:AlternateContent>
    <mc:AlternateContent xmlns:mc="http://schemas.openxmlformats.org/markup-compatibility/2006">
      <mc:Choice Requires="x14">
        <oleObject progId="Equation.3" shapeId="1070" r:id="rId57">
          <objectPr defaultSize="0" autoPict="0" r:id="rId18">
            <anchor moveWithCells="1">
              <from>
                <xdr:col>4</xdr:col>
                <xdr:colOff>28575</xdr:colOff>
                <xdr:row>499</xdr:row>
                <xdr:rowOff>28575</xdr:rowOff>
              </from>
              <to>
                <xdr:col>5</xdr:col>
                <xdr:colOff>676275</xdr:colOff>
                <xdr:row>500</xdr:row>
                <xdr:rowOff>19050</xdr:rowOff>
              </to>
            </anchor>
          </objectPr>
        </oleObject>
      </mc:Choice>
      <mc:Fallback>
        <oleObject progId="Equation.3" shapeId="1070" r:id="rId57"/>
      </mc:Fallback>
    </mc:AlternateContent>
    <mc:AlternateContent xmlns:mc="http://schemas.openxmlformats.org/markup-compatibility/2006">
      <mc:Choice Requires="x14">
        <oleObject progId="Equation.3" shapeId="1071" r:id="rId58">
          <objectPr defaultSize="0" autoPict="0" r:id="rId31">
            <anchor moveWithCells="1">
              <from>
                <xdr:col>7</xdr:col>
                <xdr:colOff>133350</xdr:colOff>
                <xdr:row>409</xdr:row>
                <xdr:rowOff>142875</xdr:rowOff>
              </from>
              <to>
                <xdr:col>11</xdr:col>
                <xdr:colOff>581025</xdr:colOff>
                <xdr:row>413</xdr:row>
                <xdr:rowOff>66675</xdr:rowOff>
              </to>
            </anchor>
          </objectPr>
        </oleObject>
      </mc:Choice>
      <mc:Fallback>
        <oleObject progId="Equation.3" shapeId="1071" r:id="rId58"/>
      </mc:Fallback>
    </mc:AlternateContent>
    <mc:AlternateContent xmlns:mc="http://schemas.openxmlformats.org/markup-compatibility/2006">
      <mc:Choice Requires="x14">
        <oleObject progId="Equation.3" shapeId="1072" r:id="rId59">
          <objectPr defaultSize="0" autoPict="0" r:id="rId33">
            <anchor moveWithCells="1">
              <from>
                <xdr:col>7</xdr:col>
                <xdr:colOff>133350</xdr:colOff>
                <xdr:row>463</xdr:row>
                <xdr:rowOff>142875</xdr:rowOff>
              </from>
              <to>
                <xdr:col>11</xdr:col>
                <xdr:colOff>581025</xdr:colOff>
                <xdr:row>467</xdr:row>
                <xdr:rowOff>57150</xdr:rowOff>
              </to>
            </anchor>
          </objectPr>
        </oleObject>
      </mc:Choice>
      <mc:Fallback>
        <oleObject progId="Equation.3" shapeId="1072" r:id="rId59"/>
      </mc:Fallback>
    </mc:AlternateContent>
    <mc:AlternateContent xmlns:mc="http://schemas.openxmlformats.org/markup-compatibility/2006">
      <mc:Choice Requires="x14">
        <oleObject progId="Equation.3" shapeId="1073" r:id="rId60">
          <objectPr defaultSize="0" autoPict="0" r:id="rId33">
            <anchor moveWithCells="1">
              <from>
                <xdr:col>7</xdr:col>
                <xdr:colOff>133350</xdr:colOff>
                <xdr:row>542</xdr:row>
                <xdr:rowOff>0</xdr:rowOff>
              </from>
              <to>
                <xdr:col>11</xdr:col>
                <xdr:colOff>581025</xdr:colOff>
                <xdr:row>554</xdr:row>
                <xdr:rowOff>0</xdr:rowOff>
              </to>
            </anchor>
          </objectPr>
        </oleObject>
      </mc:Choice>
      <mc:Fallback>
        <oleObject progId="Equation.3" shapeId="1073" r:id="rId60"/>
      </mc:Fallback>
    </mc:AlternateContent>
    <mc:AlternateContent xmlns:mc="http://schemas.openxmlformats.org/markup-compatibility/2006">
      <mc:Choice Requires="x14">
        <oleObject progId="Equation.3" shapeId="1074" r:id="rId61">
          <objectPr defaultSize="0" autoPict="0" r:id="rId33">
            <anchor moveWithCells="1">
              <from>
                <xdr:col>7</xdr:col>
                <xdr:colOff>133350</xdr:colOff>
                <xdr:row>575</xdr:row>
                <xdr:rowOff>142875</xdr:rowOff>
              </from>
              <to>
                <xdr:col>11</xdr:col>
                <xdr:colOff>581025</xdr:colOff>
                <xdr:row>583</xdr:row>
                <xdr:rowOff>66675</xdr:rowOff>
              </to>
            </anchor>
          </objectPr>
        </oleObject>
      </mc:Choice>
      <mc:Fallback>
        <oleObject progId="Equation.3" shapeId="1074" r:id="rId61"/>
      </mc:Fallback>
    </mc:AlternateContent>
    <mc:AlternateContent xmlns:mc="http://schemas.openxmlformats.org/markup-compatibility/2006">
      <mc:Choice Requires="x14">
        <oleObject progId="Equation.3" shapeId="1075" r:id="rId62">
          <objectPr defaultSize="0" autoPict="0" r:id="rId6">
            <anchor moveWithCells="1">
              <from>
                <xdr:col>2</xdr:col>
                <xdr:colOff>704850</xdr:colOff>
                <xdr:row>592</xdr:row>
                <xdr:rowOff>133350</xdr:rowOff>
              </from>
              <to>
                <xdr:col>4</xdr:col>
                <xdr:colOff>561975</xdr:colOff>
                <xdr:row>594</xdr:row>
                <xdr:rowOff>0</xdr:rowOff>
              </to>
            </anchor>
          </objectPr>
        </oleObject>
      </mc:Choice>
      <mc:Fallback>
        <oleObject progId="Equation.3" shapeId="1075" r:id="rId62"/>
      </mc:Fallback>
    </mc:AlternateContent>
    <mc:AlternateContent xmlns:mc="http://schemas.openxmlformats.org/markup-compatibility/2006">
      <mc:Choice Requires="x14">
        <oleObject progId="Equation.3" shapeId="1076" r:id="rId63">
          <objectPr defaultSize="0" autoPict="0" r:id="rId12">
            <anchor moveWithCells="1">
              <from>
                <xdr:col>2</xdr:col>
                <xdr:colOff>676275</xdr:colOff>
                <xdr:row>594</xdr:row>
                <xdr:rowOff>19050</xdr:rowOff>
              </from>
              <to>
                <xdr:col>4</xdr:col>
                <xdr:colOff>561975</xdr:colOff>
                <xdr:row>595</xdr:row>
                <xdr:rowOff>9525</xdr:rowOff>
              </to>
            </anchor>
          </objectPr>
        </oleObject>
      </mc:Choice>
      <mc:Fallback>
        <oleObject progId="Equation.3" shapeId="1076" r:id="rId63"/>
      </mc:Fallback>
    </mc:AlternateContent>
    <mc:AlternateContent xmlns:mc="http://schemas.openxmlformats.org/markup-compatibility/2006">
      <mc:Choice Requires="x14">
        <oleObject progId="Equation.3" shapeId="1077" r:id="rId64">
          <objectPr defaultSize="0" autoPict="0" r:id="rId6">
            <anchor moveWithCells="1">
              <from>
                <xdr:col>4</xdr:col>
                <xdr:colOff>542925</xdr:colOff>
                <xdr:row>633</xdr:row>
                <xdr:rowOff>123825</xdr:rowOff>
              </from>
              <to>
                <xdr:col>6</xdr:col>
                <xdr:colOff>400050</xdr:colOff>
                <xdr:row>635</xdr:row>
                <xdr:rowOff>0</xdr:rowOff>
              </to>
            </anchor>
          </objectPr>
        </oleObject>
      </mc:Choice>
      <mc:Fallback>
        <oleObject progId="Equation.3" shapeId="1077" r:id="rId64"/>
      </mc:Fallback>
    </mc:AlternateContent>
    <mc:AlternateContent xmlns:mc="http://schemas.openxmlformats.org/markup-compatibility/2006">
      <mc:Choice Requires="x14">
        <oleObject progId="Equation.3" shapeId="1078" r:id="rId65">
          <objectPr defaultSize="0" autoPict="0" r:id="rId15">
            <anchor moveWithCells="1">
              <from>
                <xdr:col>4</xdr:col>
                <xdr:colOff>571500</xdr:colOff>
                <xdr:row>635</xdr:row>
                <xdr:rowOff>19050</xdr:rowOff>
              </from>
              <to>
                <xdr:col>6</xdr:col>
                <xdr:colOff>457200</xdr:colOff>
                <xdr:row>636</xdr:row>
                <xdr:rowOff>9525</xdr:rowOff>
              </to>
            </anchor>
          </objectPr>
        </oleObject>
      </mc:Choice>
      <mc:Fallback>
        <oleObject progId="Equation.3" shapeId="1078" r:id="rId65"/>
      </mc:Fallback>
    </mc:AlternateContent>
    <mc:AlternateContent xmlns:mc="http://schemas.openxmlformats.org/markup-compatibility/2006">
      <mc:Choice Requires="x14">
        <oleObject progId="Equation.3" shapeId="1079" r:id="rId66">
          <objectPr defaultSize="0" autoPict="0" r:id="rId6">
            <anchor moveWithCells="1">
              <from>
                <xdr:col>4</xdr:col>
                <xdr:colOff>28575</xdr:colOff>
                <xdr:row>783</xdr:row>
                <xdr:rowOff>123825</xdr:rowOff>
              </from>
              <to>
                <xdr:col>5</xdr:col>
                <xdr:colOff>647700</xdr:colOff>
                <xdr:row>785</xdr:row>
                <xdr:rowOff>0</xdr:rowOff>
              </to>
            </anchor>
          </objectPr>
        </oleObject>
      </mc:Choice>
      <mc:Fallback>
        <oleObject progId="Equation.3" shapeId="1079" r:id="rId66"/>
      </mc:Fallback>
    </mc:AlternateContent>
    <mc:AlternateContent xmlns:mc="http://schemas.openxmlformats.org/markup-compatibility/2006">
      <mc:Choice Requires="x14">
        <oleObject progId="Equation.3" shapeId="1080" r:id="rId67">
          <objectPr defaultSize="0" autoPict="0" r:id="rId18">
            <anchor moveWithCells="1">
              <from>
                <xdr:col>4</xdr:col>
                <xdr:colOff>28575</xdr:colOff>
                <xdr:row>785</xdr:row>
                <xdr:rowOff>28575</xdr:rowOff>
              </from>
              <to>
                <xdr:col>5</xdr:col>
                <xdr:colOff>676275</xdr:colOff>
                <xdr:row>786</xdr:row>
                <xdr:rowOff>19050</xdr:rowOff>
              </to>
            </anchor>
          </objectPr>
        </oleObject>
      </mc:Choice>
      <mc:Fallback>
        <oleObject progId="Equation.3" shapeId="1080" r:id="rId67"/>
      </mc:Fallback>
    </mc:AlternateContent>
    <mc:AlternateContent xmlns:mc="http://schemas.openxmlformats.org/markup-compatibility/2006">
      <mc:Choice Requires="x14">
        <oleObject progId="Equation.3" shapeId="1176" r:id="rId68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6" r:id="rId68"/>
      </mc:Fallback>
    </mc:AlternateContent>
    <mc:AlternateContent xmlns:mc="http://schemas.openxmlformats.org/markup-compatibility/2006">
      <mc:Choice Requires="x14">
        <oleObject progId="Equation.3" shapeId="1177" r:id="rId69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7" r:id="rId69"/>
      </mc:Fallback>
    </mc:AlternateContent>
    <mc:AlternateContent xmlns:mc="http://schemas.openxmlformats.org/markup-compatibility/2006">
      <mc:Choice Requires="x14">
        <oleObject progId="Equation.3" shapeId="1178" r:id="rId70">
          <objectPr defaultSize="0" autoPict="0" r:id="rId6">
            <anchor moveWithCells="1">
              <from>
                <xdr:col>4</xdr:col>
                <xdr:colOff>28575</xdr:colOff>
                <xdr:row>265</xdr:row>
                <xdr:rowOff>123825</xdr:rowOff>
              </from>
              <to>
                <xdr:col>5</xdr:col>
                <xdr:colOff>647700</xdr:colOff>
                <xdr:row>267</xdr:row>
                <xdr:rowOff>0</xdr:rowOff>
              </to>
            </anchor>
          </objectPr>
        </oleObject>
      </mc:Choice>
      <mc:Fallback>
        <oleObject progId="Equation.3" shapeId="1178" r:id="rId70"/>
      </mc:Fallback>
    </mc:AlternateContent>
    <mc:AlternateContent xmlns:mc="http://schemas.openxmlformats.org/markup-compatibility/2006">
      <mc:Choice Requires="x14">
        <oleObject progId="Equation.3" shapeId="1179" r:id="rId71">
          <objectPr defaultSize="0" autoPict="0" r:id="rId18">
            <anchor moveWithCells="1">
              <from>
                <xdr:col>4</xdr:col>
                <xdr:colOff>28575</xdr:colOff>
                <xdr:row>267</xdr:row>
                <xdr:rowOff>28575</xdr:rowOff>
              </from>
              <to>
                <xdr:col>5</xdr:col>
                <xdr:colOff>676275</xdr:colOff>
                <xdr:row>268</xdr:row>
                <xdr:rowOff>19050</xdr:rowOff>
              </to>
            </anchor>
          </objectPr>
        </oleObject>
      </mc:Choice>
      <mc:Fallback>
        <oleObject progId="Equation.3" shapeId="1179" r:id="rId71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20"/>
  <sheetViews>
    <sheetView showGridLines="0" showRowColHeaders="0" showWhiteSpace="0" view="pageLayout" zoomScaleNormal="90" workbookViewId="0">
      <selection activeCell="E6" sqref="E6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1" max="11" width="13.7109375" customWidth="1"/>
    <col min="12" max="12" width="27.42578125" customWidth="1"/>
    <col min="13" max="13" width="11.42578125" customWidth="1"/>
    <col min="14" max="14" width="13.7109375" customWidth="1"/>
    <col min="15" max="20" width="11.42578125" customWidth="1"/>
  </cols>
  <sheetData>
    <row r="1" spans="1:21" ht="21" customHeight="1">
      <c r="A1" s="856" t="s">
        <v>784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637"/>
      <c r="M1" s="637"/>
      <c r="N1" s="637"/>
      <c r="O1" s="637"/>
      <c r="P1" s="637"/>
      <c r="Q1" s="637"/>
      <c r="R1" s="637"/>
      <c r="S1" s="637"/>
      <c r="T1" s="640"/>
      <c r="U1" s="640"/>
    </row>
    <row r="2" spans="1:21" ht="21.6" customHeight="1" thickBot="1">
      <c r="A2" s="852"/>
      <c r="B2" s="852"/>
      <c r="C2" s="852"/>
      <c r="D2" s="852"/>
      <c r="E2" s="852"/>
      <c r="F2" s="852"/>
      <c r="G2" s="852"/>
      <c r="H2" s="852"/>
      <c r="I2" s="852"/>
      <c r="J2" s="852"/>
      <c r="K2" s="852"/>
      <c r="L2" s="637"/>
      <c r="M2" s="637"/>
      <c r="N2" s="637"/>
      <c r="O2" s="637"/>
      <c r="P2" s="637"/>
      <c r="Q2" s="637"/>
      <c r="R2" s="637"/>
      <c r="S2" s="637"/>
      <c r="T2" s="640"/>
      <c r="U2" s="640"/>
    </row>
    <row r="3" spans="1:21" ht="21.6" customHeight="1">
      <c r="A3" s="624"/>
      <c r="B3" s="624"/>
      <c r="C3" s="624"/>
      <c r="D3" s="624"/>
      <c r="E3" s="624"/>
      <c r="F3" s="624"/>
      <c r="G3" s="624"/>
      <c r="H3" s="841" t="s">
        <v>798</v>
      </c>
      <c r="I3" s="841"/>
      <c r="J3" s="842">
        <v>44284</v>
      </c>
      <c r="K3" s="842"/>
      <c r="L3" s="663"/>
      <c r="M3" s="663"/>
      <c r="N3" s="663"/>
      <c r="O3" s="663"/>
      <c r="P3" s="663"/>
      <c r="Q3" s="663"/>
      <c r="R3" s="663"/>
      <c r="S3" s="663"/>
      <c r="T3" s="247"/>
      <c r="U3" s="247"/>
    </row>
    <row r="4" spans="1:21" ht="33.75">
      <c r="A4" s="554" t="s">
        <v>782</v>
      </c>
      <c r="B4" s="555"/>
      <c r="C4" s="555"/>
      <c r="D4" s="555"/>
      <c r="E4" s="555"/>
      <c r="F4" s="555"/>
      <c r="G4" s="555"/>
      <c r="H4" s="555"/>
      <c r="I4" s="555"/>
      <c r="J4" s="555"/>
      <c r="K4" s="553"/>
      <c r="L4" s="657"/>
      <c r="M4" s="657"/>
      <c r="N4" s="657"/>
      <c r="O4" s="657"/>
      <c r="P4" s="657"/>
      <c r="Q4" s="657"/>
      <c r="R4" s="657"/>
      <c r="S4" s="657"/>
      <c r="T4" s="641"/>
      <c r="U4" s="641"/>
    </row>
    <row r="5" spans="1:21" ht="33.75">
      <c r="A5" s="554" t="s">
        <v>815</v>
      </c>
      <c r="B5" s="555"/>
      <c r="C5" s="555"/>
      <c r="D5" s="555"/>
      <c r="E5" s="555"/>
      <c r="F5" s="555"/>
      <c r="G5" s="555"/>
      <c r="H5" s="555"/>
      <c r="I5" s="555"/>
      <c r="J5" s="555"/>
      <c r="K5" s="553"/>
      <c r="L5" s="657"/>
      <c r="M5" s="657"/>
      <c r="N5" s="657"/>
      <c r="O5" s="657"/>
      <c r="P5" s="657"/>
      <c r="Q5" s="657"/>
      <c r="R5" s="657"/>
      <c r="S5" s="657"/>
      <c r="T5" s="641"/>
      <c r="U5" s="641"/>
    </row>
    <row r="6" spans="1:21" ht="21">
      <c r="A6" s="556" t="s">
        <v>671</v>
      </c>
      <c r="B6" s="541"/>
      <c r="C6" s="541"/>
      <c r="D6" s="541" t="s">
        <v>892</v>
      </c>
      <c r="E6" s="599" t="s">
        <v>25</v>
      </c>
      <c r="G6" s="580" t="str">
        <f>VLOOKUP(E6,'RICON_RICON-S-EK_GIGANT_WALCO '!V7:Y17,4,FALSE)</f>
        <v>Glued laminated timber - homogeneous</v>
      </c>
      <c r="H6" s="580"/>
      <c r="L6" s="857"/>
      <c r="M6" s="857"/>
      <c r="N6" s="857"/>
      <c r="O6" s="857"/>
      <c r="P6" s="857"/>
      <c r="Q6" s="857"/>
      <c r="R6" s="857"/>
      <c r="S6" s="857"/>
    </row>
    <row r="7" spans="1:21" ht="18.75">
      <c r="D7" s="578" t="s">
        <v>672</v>
      </c>
      <c r="E7" s="599">
        <v>1</v>
      </c>
      <c r="G7" s="579" t="str">
        <f>VLOOKUP(E7,'RICON_RICON-S-EK_GIGANT_WALCO '!V21:X22,3,FALSE)</f>
        <v>Indoor</v>
      </c>
      <c r="H7" s="581"/>
      <c r="L7" s="674"/>
      <c r="M7" s="24"/>
      <c r="N7" s="24"/>
      <c r="O7" s="24"/>
      <c r="P7" s="24"/>
      <c r="Q7" s="24"/>
      <c r="R7" s="24"/>
      <c r="S7" s="24"/>
    </row>
    <row r="8" spans="1:21" ht="21.6" customHeight="1">
      <c r="A8" s="585"/>
      <c r="B8" s="585"/>
      <c r="C8" s="585"/>
      <c r="D8" s="585"/>
      <c r="E8" s="585"/>
      <c r="F8" s="585"/>
      <c r="G8" s="585"/>
      <c r="H8" s="585"/>
      <c r="I8" s="585"/>
      <c r="J8" s="624"/>
      <c r="L8" s="675"/>
      <c r="M8" s="675"/>
      <c r="N8" s="675"/>
      <c r="O8" s="675"/>
      <c r="P8" s="675"/>
      <c r="Q8" s="675"/>
      <c r="R8" s="675"/>
      <c r="S8" s="675"/>
    </row>
    <row r="9" spans="1:21">
      <c r="L9" s="24"/>
      <c r="M9" s="24"/>
      <c r="N9" s="24"/>
      <c r="O9" s="24"/>
      <c r="P9" s="24"/>
      <c r="Q9" s="24"/>
      <c r="R9" s="24"/>
      <c r="S9" s="24"/>
    </row>
    <row r="10" spans="1:21" ht="18.75">
      <c r="A10" s="509"/>
      <c r="B10" s="509"/>
      <c r="L10" s="674"/>
      <c r="M10" s="24"/>
      <c r="N10" s="24"/>
      <c r="O10" s="24"/>
      <c r="P10" s="24"/>
      <c r="Q10" s="24"/>
      <c r="R10" s="24"/>
      <c r="S10" s="24"/>
    </row>
    <row r="11" spans="1:21" ht="18.75">
      <c r="A11" s="509"/>
      <c r="B11" s="509"/>
      <c r="L11" s="674"/>
      <c r="M11" s="24"/>
      <c r="N11" s="24"/>
      <c r="O11" s="24"/>
      <c r="P11" s="24"/>
      <c r="Q11" s="24"/>
      <c r="R11" s="24"/>
      <c r="S11" s="24"/>
    </row>
    <row r="12" spans="1:21" ht="18.75">
      <c r="A12" s="509"/>
      <c r="B12" s="509"/>
      <c r="L12" s="674"/>
      <c r="M12" s="24"/>
      <c r="N12" s="24"/>
      <c r="O12" s="24"/>
      <c r="P12" s="24"/>
      <c r="Q12" s="24"/>
      <c r="R12" s="24"/>
      <c r="S12" s="24"/>
    </row>
    <row r="13" spans="1:21" ht="18.75">
      <c r="A13" s="509"/>
      <c r="B13" s="509"/>
      <c r="L13" s="674"/>
      <c r="M13" s="24"/>
      <c r="N13" s="24"/>
      <c r="O13" s="24"/>
      <c r="P13" s="24"/>
      <c r="Q13" s="24"/>
      <c r="R13" s="24"/>
      <c r="S13" s="24"/>
    </row>
    <row r="14" spans="1:21" ht="18.75">
      <c r="A14" s="509"/>
      <c r="B14" s="509"/>
      <c r="L14" s="674"/>
      <c r="M14" s="24"/>
      <c r="N14" s="24"/>
      <c r="O14" s="24"/>
      <c r="P14" s="24"/>
      <c r="Q14" s="24"/>
      <c r="R14" s="24"/>
      <c r="S14" s="24"/>
    </row>
    <row r="15" spans="1:21" ht="18.75">
      <c r="A15" s="509"/>
      <c r="B15" s="509"/>
      <c r="L15" s="674"/>
      <c r="M15" s="24"/>
      <c r="N15" s="24"/>
      <c r="O15" s="24"/>
      <c r="P15" s="24"/>
      <c r="Q15" s="24"/>
      <c r="R15" s="24"/>
      <c r="S15" s="24"/>
    </row>
    <row r="16" spans="1:21" ht="18.75">
      <c r="A16" s="509"/>
      <c r="B16" s="509"/>
      <c r="L16" s="674"/>
      <c r="M16" s="24"/>
      <c r="N16" s="24"/>
      <c r="O16" s="24"/>
      <c r="P16" s="24"/>
      <c r="Q16" s="24"/>
      <c r="R16" s="24"/>
      <c r="S16" s="24"/>
    </row>
    <row r="17" spans="1:20" ht="18.75">
      <c r="A17" s="509"/>
      <c r="B17" s="509"/>
      <c r="L17" s="674"/>
      <c r="M17" s="24"/>
      <c r="N17" s="24"/>
      <c r="O17" s="24"/>
      <c r="P17" s="24"/>
      <c r="Q17" s="24"/>
      <c r="R17" s="24"/>
      <c r="S17" s="24"/>
    </row>
    <row r="18" spans="1:20" ht="18.75">
      <c r="A18" s="509"/>
      <c r="B18" s="509"/>
      <c r="L18" s="674"/>
      <c r="M18" s="24"/>
      <c r="N18" s="24"/>
      <c r="O18" s="24"/>
      <c r="P18" s="24"/>
      <c r="Q18" s="24"/>
      <c r="R18" s="24"/>
      <c r="S18" s="24"/>
    </row>
    <row r="19" spans="1:20" ht="18.75">
      <c r="A19" s="701" t="s">
        <v>905</v>
      </c>
      <c r="B19" s="509"/>
      <c r="L19" s="674"/>
      <c r="M19" s="24"/>
      <c r="N19" s="24"/>
      <c r="O19" s="24"/>
      <c r="P19" s="24"/>
      <c r="Q19" s="24"/>
      <c r="R19" s="24"/>
      <c r="S19" s="24"/>
    </row>
    <row r="20" spans="1:20" ht="21">
      <c r="A20" s="504"/>
      <c r="B20" s="504"/>
      <c r="L20" s="504"/>
      <c r="M20" s="247"/>
      <c r="N20" s="247"/>
      <c r="O20" s="247"/>
      <c r="P20" s="247"/>
      <c r="Q20" s="247"/>
      <c r="R20" s="247"/>
      <c r="S20" s="247"/>
      <c r="T20" s="3"/>
    </row>
    <row r="21" spans="1:20" ht="15" customHeight="1">
      <c r="A21" s="594" t="s">
        <v>2</v>
      </c>
      <c r="B21" s="583" t="s">
        <v>613</v>
      </c>
      <c r="C21" s="840" t="s">
        <v>450</v>
      </c>
      <c r="D21" s="840"/>
      <c r="E21" s="837" t="s">
        <v>817</v>
      </c>
      <c r="F21" s="749" t="str">
        <f>"Design values F2,Rd for "&amp;E6&amp;" [kN]"</f>
        <v>Design values F2,Rd for GL24h [kN]</v>
      </c>
      <c r="G21" s="750"/>
      <c r="H21" s="750"/>
      <c r="I21" s="750"/>
      <c r="J21" s="750"/>
      <c r="K21" s="602" t="s">
        <v>689</v>
      </c>
      <c r="L21" s="676"/>
      <c r="M21" s="858"/>
      <c r="N21" s="858"/>
      <c r="O21" s="774"/>
      <c r="P21" s="774"/>
      <c r="Q21" s="774"/>
      <c r="R21" s="774"/>
      <c r="S21" s="774"/>
      <c r="T21" s="3"/>
    </row>
    <row r="22" spans="1:20" ht="18">
      <c r="A22" s="82"/>
      <c r="B22" s="584" t="s">
        <v>612</v>
      </c>
      <c r="C22" s="587" t="s">
        <v>816</v>
      </c>
      <c r="D22" s="587" t="s">
        <v>751</v>
      </c>
      <c r="E22" s="838"/>
      <c r="F22" s="588">
        <v>0.6</v>
      </c>
      <c r="G22" s="588">
        <v>0.7</v>
      </c>
      <c r="H22" s="588">
        <v>0.8</v>
      </c>
      <c r="I22" s="588">
        <v>0.9</v>
      </c>
      <c r="J22" s="588">
        <v>1</v>
      </c>
      <c r="K22" s="588">
        <v>1.1000000000000001</v>
      </c>
      <c r="L22" s="676"/>
      <c r="M22" s="247"/>
      <c r="N22" s="247"/>
      <c r="O22" s="677"/>
      <c r="P22" s="677"/>
      <c r="Q22" s="677"/>
      <c r="R22" s="677"/>
      <c r="S22" s="677"/>
      <c r="T22" s="3"/>
    </row>
    <row r="23" spans="1:20" ht="45">
      <c r="A23" s="424" t="s">
        <v>862</v>
      </c>
      <c r="B23" s="530" t="s">
        <v>488</v>
      </c>
      <c r="C23" s="549">
        <f>'RICON_RICON-S-EK_GIGANT_WALCO '!C248</f>
        <v>34</v>
      </c>
      <c r="D23" s="549">
        <f>'RICON_RICON-S-EK_GIGANT_WALCO '!F248</f>
        <v>26.949266771153084</v>
      </c>
      <c r="E23" s="634">
        <f>C23/1</f>
        <v>34</v>
      </c>
      <c r="F23" s="498">
        <f t="shared" ref="F23:K32" si="0">MIN($C23/1,$D23*F$22/1.3)</f>
        <v>12.438123125147577</v>
      </c>
      <c r="G23" s="498">
        <f t="shared" si="0"/>
        <v>14.511143646005506</v>
      </c>
      <c r="H23" s="498">
        <f t="shared" si="0"/>
        <v>16.584164166863435</v>
      </c>
      <c r="I23" s="498">
        <f t="shared" si="0"/>
        <v>18.657184687721365</v>
      </c>
      <c r="J23" s="498">
        <f t="shared" si="0"/>
        <v>20.730205208579296</v>
      </c>
      <c r="K23" s="498">
        <f t="shared" si="0"/>
        <v>22.803225729437226</v>
      </c>
      <c r="L23" s="676"/>
      <c r="M23" s="247"/>
      <c r="N23" s="247"/>
      <c r="O23" s="677"/>
      <c r="P23" s="677"/>
      <c r="Q23" s="677"/>
      <c r="R23" s="677"/>
      <c r="S23" s="677"/>
      <c r="T23" s="3"/>
    </row>
    <row r="24" spans="1:20" ht="45">
      <c r="A24" s="424" t="s">
        <v>863</v>
      </c>
      <c r="B24" s="530" t="s">
        <v>488</v>
      </c>
      <c r="C24" s="549">
        <f>'RICON_RICON-S-EK_GIGANT_WALCO '!C249</f>
        <v>34</v>
      </c>
      <c r="D24" s="549">
        <f>'RICON_RICON-S-EK_GIGANT_WALCO '!F249</f>
        <v>37.149991394525706</v>
      </c>
      <c r="E24" s="634">
        <f>C24/1</f>
        <v>34</v>
      </c>
      <c r="F24" s="498">
        <f t="shared" si="0"/>
        <v>17.146149874396478</v>
      </c>
      <c r="G24" s="498">
        <f t="shared" si="0"/>
        <v>20.003841520129225</v>
      </c>
      <c r="H24" s="498">
        <f t="shared" si="0"/>
        <v>22.861533165861974</v>
      </c>
      <c r="I24" s="498">
        <f t="shared" si="0"/>
        <v>25.719224811594717</v>
      </c>
      <c r="J24" s="498">
        <f t="shared" si="0"/>
        <v>28.576916457327464</v>
      </c>
      <c r="K24" s="498">
        <f t="shared" si="0"/>
        <v>31.434608103060214</v>
      </c>
      <c r="L24" s="673"/>
      <c r="M24" s="631"/>
      <c r="N24" s="631"/>
      <c r="O24" s="631"/>
      <c r="P24" s="631"/>
      <c r="Q24" s="631"/>
      <c r="R24" s="631"/>
      <c r="S24" s="631"/>
      <c r="T24" s="3"/>
    </row>
    <row r="25" spans="1:20" ht="45">
      <c r="A25" s="342" t="s">
        <v>864</v>
      </c>
      <c r="B25" s="528" t="s">
        <v>621</v>
      </c>
      <c r="C25" s="549">
        <f>'RICON_RICON-S-EK_GIGANT_WALCO '!C250</f>
        <v>34</v>
      </c>
      <c r="D25" s="549">
        <f>'RICON_RICON-S-EK_GIGANT_WALCO '!F250</f>
        <v>40.18125965399701</v>
      </c>
      <c r="E25" s="634">
        <f t="shared" ref="E25:E32" si="1">C25/1</f>
        <v>34</v>
      </c>
      <c r="F25" s="498">
        <f t="shared" si="0"/>
        <v>18.545196763383235</v>
      </c>
      <c r="G25" s="498">
        <f t="shared" si="0"/>
        <v>21.636062890613772</v>
      </c>
      <c r="H25" s="498">
        <f t="shared" si="0"/>
        <v>24.726929017844313</v>
      </c>
      <c r="I25" s="498">
        <f t="shared" si="0"/>
        <v>27.817795145074854</v>
      </c>
      <c r="J25" s="498">
        <f t="shared" si="0"/>
        <v>30.908661272305391</v>
      </c>
      <c r="K25" s="498">
        <f t="shared" si="0"/>
        <v>33.999527399535936</v>
      </c>
      <c r="L25" s="673"/>
      <c r="M25" s="631"/>
      <c r="N25" s="631"/>
      <c r="O25" s="631"/>
      <c r="P25" s="631"/>
      <c r="Q25" s="631"/>
      <c r="R25" s="631"/>
      <c r="S25" s="631"/>
      <c r="T25" s="3"/>
    </row>
    <row r="26" spans="1:20" ht="45">
      <c r="A26" s="342" t="s">
        <v>865</v>
      </c>
      <c r="B26" s="528" t="s">
        <v>489</v>
      </c>
      <c r="C26" s="549">
        <f>'RICON_RICON-S-EK_GIGANT_WALCO '!C251</f>
        <v>34</v>
      </c>
      <c r="D26" s="549">
        <f>'RICON_RICON-S-EK_GIGANT_WALCO '!F251</f>
        <v>30.390630186062658</v>
      </c>
      <c r="E26" s="634">
        <f t="shared" ref="E26" si="2">C26/1</f>
        <v>34</v>
      </c>
      <c r="F26" s="498">
        <f t="shared" si="0"/>
        <v>14.026444701259686</v>
      </c>
      <c r="G26" s="498">
        <f t="shared" si="0"/>
        <v>16.36418548480297</v>
      </c>
      <c r="H26" s="498">
        <f t="shared" si="0"/>
        <v>18.701926268346252</v>
      </c>
      <c r="I26" s="498">
        <f t="shared" si="0"/>
        <v>21.039667051889534</v>
      </c>
      <c r="J26" s="498">
        <f t="shared" si="0"/>
        <v>23.377407835432813</v>
      </c>
      <c r="K26" s="498">
        <f t="shared" si="0"/>
        <v>25.715148618976098</v>
      </c>
      <c r="L26" s="673"/>
      <c r="M26" s="631"/>
      <c r="N26" s="631"/>
      <c r="O26" s="631"/>
      <c r="P26" s="631"/>
      <c r="Q26" s="631"/>
      <c r="R26" s="631"/>
      <c r="S26" s="631"/>
      <c r="T26" s="3"/>
    </row>
    <row r="27" spans="1:20" ht="45">
      <c r="A27" s="342" t="s">
        <v>866</v>
      </c>
      <c r="B27" s="528" t="s">
        <v>489</v>
      </c>
      <c r="C27" s="549">
        <f>'RICON_RICON-S-EK_GIGANT_WALCO '!C252</f>
        <v>34</v>
      </c>
      <c r="D27" s="549">
        <f>'RICON_RICON-S-EK_GIGANT_WALCO '!F252</f>
        <v>56.710921194381697</v>
      </c>
      <c r="E27" s="634">
        <f t="shared" si="1"/>
        <v>34</v>
      </c>
      <c r="F27" s="498">
        <f t="shared" si="0"/>
        <v>26.174271320483861</v>
      </c>
      <c r="G27" s="498">
        <f t="shared" si="0"/>
        <v>30.536649873897833</v>
      </c>
      <c r="H27" s="498">
        <f t="shared" si="0"/>
        <v>34</v>
      </c>
      <c r="I27" s="498">
        <f t="shared" si="0"/>
        <v>34</v>
      </c>
      <c r="J27" s="498">
        <f t="shared" si="0"/>
        <v>34</v>
      </c>
      <c r="K27" s="498">
        <f t="shared" si="0"/>
        <v>34</v>
      </c>
      <c r="L27" s="673"/>
      <c r="M27" s="631"/>
      <c r="N27" s="631"/>
      <c r="O27" s="631"/>
      <c r="P27" s="631"/>
      <c r="Q27" s="631"/>
      <c r="R27" s="631"/>
      <c r="S27" s="631"/>
      <c r="T27" s="3"/>
    </row>
    <row r="28" spans="1:20" ht="45">
      <c r="A28" s="342" t="s">
        <v>867</v>
      </c>
      <c r="B28" s="528" t="s">
        <v>622</v>
      </c>
      <c r="C28" s="549">
        <f>'RICON_RICON-S-EK_GIGANT_WALCO '!C253</f>
        <v>34</v>
      </c>
      <c r="D28" s="549">
        <f>'RICON_RICON-S-EK_GIGANT_WALCO '!F253</f>
        <v>66.480609906200655</v>
      </c>
      <c r="E28" s="634">
        <f t="shared" si="1"/>
        <v>34</v>
      </c>
      <c r="F28" s="498">
        <f t="shared" si="0"/>
        <v>30.683358418246456</v>
      </c>
      <c r="G28" s="498">
        <f t="shared" si="0"/>
        <v>34</v>
      </c>
      <c r="H28" s="498">
        <f t="shared" si="0"/>
        <v>34</v>
      </c>
      <c r="I28" s="498">
        <f t="shared" si="0"/>
        <v>34</v>
      </c>
      <c r="J28" s="498">
        <f t="shared" si="0"/>
        <v>34</v>
      </c>
      <c r="K28" s="498">
        <f t="shared" si="0"/>
        <v>34</v>
      </c>
      <c r="L28" s="673"/>
      <c r="M28" s="631"/>
      <c r="N28" s="631"/>
      <c r="O28" s="631"/>
      <c r="P28" s="631"/>
      <c r="Q28" s="631"/>
      <c r="R28" s="631"/>
      <c r="S28" s="631"/>
      <c r="T28" s="3"/>
    </row>
    <row r="29" spans="1:20" ht="45">
      <c r="A29" s="342" t="s">
        <v>868</v>
      </c>
      <c r="B29" s="528" t="s">
        <v>498</v>
      </c>
      <c r="C29" s="549">
        <f>'RICON_RICON-S-EK_GIGANT_WALCO '!C254</f>
        <v>50</v>
      </c>
      <c r="D29" s="549">
        <f>'RICON_RICON-S-EK_GIGANT_WALCO '!F254</f>
        <v>42.402011672418155</v>
      </c>
      <c r="E29" s="634">
        <f t="shared" ref="E29" si="3">C29/1</f>
        <v>50</v>
      </c>
      <c r="F29" s="498">
        <f t="shared" si="0"/>
        <v>19.570159233423762</v>
      </c>
      <c r="G29" s="498">
        <f t="shared" si="0"/>
        <v>22.831852438994389</v>
      </c>
      <c r="H29" s="498">
        <f t="shared" si="0"/>
        <v>26.093545644565019</v>
      </c>
      <c r="I29" s="498">
        <f t="shared" si="0"/>
        <v>29.355238850135645</v>
      </c>
      <c r="J29" s="498">
        <f t="shared" si="0"/>
        <v>32.616932055706272</v>
      </c>
      <c r="K29" s="498">
        <f t="shared" si="0"/>
        <v>35.878625261276902</v>
      </c>
      <c r="L29" s="673"/>
      <c r="M29" s="631"/>
      <c r="N29" s="631"/>
      <c r="O29" s="631"/>
      <c r="P29" s="631"/>
      <c r="Q29" s="631"/>
      <c r="R29" s="631"/>
      <c r="S29" s="631"/>
      <c r="T29" s="3"/>
    </row>
    <row r="30" spans="1:20" ht="45">
      <c r="A30" s="342" t="s">
        <v>869</v>
      </c>
      <c r="B30" s="528" t="s">
        <v>498</v>
      </c>
      <c r="C30" s="549">
        <f>'RICON_RICON-S-EK_GIGANT_WALCO '!C255</f>
        <v>50</v>
      </c>
      <c r="D30" s="549">
        <f>'RICON_RICON-S-EK_GIGANT_WALCO '!F255</f>
        <v>79.124951595789881</v>
      </c>
      <c r="E30" s="634">
        <f t="shared" si="1"/>
        <v>50</v>
      </c>
      <c r="F30" s="498">
        <f t="shared" si="0"/>
        <v>36.519208428826097</v>
      </c>
      <c r="G30" s="498">
        <f t="shared" si="0"/>
        <v>42.605743166963784</v>
      </c>
      <c r="H30" s="498">
        <f t="shared" si="0"/>
        <v>48.692277905101463</v>
      </c>
      <c r="I30" s="498">
        <f t="shared" si="0"/>
        <v>50</v>
      </c>
      <c r="J30" s="498">
        <f t="shared" si="0"/>
        <v>50</v>
      </c>
      <c r="K30" s="498">
        <f t="shared" si="0"/>
        <v>50</v>
      </c>
      <c r="L30" s="673"/>
      <c r="M30" s="631"/>
      <c r="N30" s="631"/>
      <c r="O30" s="631"/>
      <c r="P30" s="631"/>
      <c r="Q30" s="631"/>
      <c r="R30" s="631"/>
      <c r="S30" s="631"/>
      <c r="T30" s="3"/>
    </row>
    <row r="31" spans="1:20" ht="45">
      <c r="A31" s="342" t="s">
        <v>870</v>
      </c>
      <c r="B31" s="528" t="s">
        <v>499</v>
      </c>
      <c r="C31" s="549">
        <f>'RICON_RICON-S-EK_GIGANT_WALCO '!C256</f>
        <v>50</v>
      </c>
      <c r="D31" s="549">
        <f>'RICON_RICON-S-EK_GIGANT_WALCO '!F256</f>
        <v>42.402011672418155</v>
      </c>
      <c r="E31" s="634">
        <f t="shared" ref="E31" si="4">C31/1</f>
        <v>50</v>
      </c>
      <c r="F31" s="498">
        <f t="shared" si="0"/>
        <v>19.570159233423762</v>
      </c>
      <c r="G31" s="498">
        <f t="shared" si="0"/>
        <v>22.831852438994389</v>
      </c>
      <c r="H31" s="498">
        <f t="shared" si="0"/>
        <v>26.093545644565019</v>
      </c>
      <c r="I31" s="498">
        <f t="shared" si="0"/>
        <v>29.355238850135645</v>
      </c>
      <c r="J31" s="498">
        <f t="shared" si="0"/>
        <v>32.616932055706272</v>
      </c>
      <c r="K31" s="498">
        <f t="shared" si="0"/>
        <v>35.878625261276902</v>
      </c>
      <c r="L31" s="673"/>
      <c r="M31" s="631"/>
      <c r="N31" s="631"/>
      <c r="O31" s="631"/>
      <c r="P31" s="631"/>
      <c r="Q31" s="631"/>
      <c r="R31" s="631"/>
      <c r="S31" s="631"/>
      <c r="T31" s="3"/>
    </row>
    <row r="32" spans="1:20" ht="45">
      <c r="A32" s="342" t="s">
        <v>871</v>
      </c>
      <c r="B32" s="528" t="s">
        <v>499</v>
      </c>
      <c r="C32" s="549">
        <f>'RICON_RICON-S-EK_GIGANT_WALCO '!C257</f>
        <v>50</v>
      </c>
      <c r="D32" s="549">
        <f>'RICON_RICON-S-EK_GIGANT_WALCO '!F257</f>
        <v>96.723603718619998</v>
      </c>
      <c r="E32" s="634">
        <f t="shared" si="1"/>
        <v>50</v>
      </c>
      <c r="F32" s="498">
        <f t="shared" si="0"/>
        <v>44.641663254747691</v>
      </c>
      <c r="G32" s="498">
        <f t="shared" si="0"/>
        <v>50</v>
      </c>
      <c r="H32" s="498">
        <f t="shared" si="0"/>
        <v>50</v>
      </c>
      <c r="I32" s="498">
        <f t="shared" si="0"/>
        <v>50</v>
      </c>
      <c r="J32" s="498">
        <f t="shared" si="0"/>
        <v>50</v>
      </c>
      <c r="K32" s="498">
        <f t="shared" si="0"/>
        <v>50</v>
      </c>
      <c r="L32" s="673"/>
      <c r="M32" s="631"/>
      <c r="N32" s="631"/>
      <c r="O32" s="631"/>
      <c r="P32" s="631"/>
      <c r="Q32" s="631"/>
      <c r="R32" s="631"/>
      <c r="S32" s="631"/>
      <c r="T32" s="3"/>
    </row>
    <row r="33" spans="1:19">
      <c r="A33" s="502"/>
      <c r="B33" s="531"/>
      <c r="C33" s="508"/>
      <c r="D33" s="508"/>
      <c r="E33" s="508"/>
      <c r="F33" s="508"/>
      <c r="G33" s="508"/>
      <c r="H33" s="508"/>
      <c r="I33" s="508"/>
      <c r="J33" s="508"/>
      <c r="L33" s="502"/>
      <c r="M33" s="631"/>
      <c r="N33" s="631"/>
      <c r="O33" s="631"/>
      <c r="P33" s="631"/>
      <c r="Q33" s="631"/>
      <c r="R33" s="631"/>
      <c r="S33" s="631"/>
    </row>
    <row r="34" spans="1:19">
      <c r="A34" s="502"/>
      <c r="B34" s="531"/>
      <c r="C34" s="508"/>
      <c r="D34" s="508"/>
      <c r="E34" s="508"/>
      <c r="F34" s="508"/>
      <c r="G34" s="508"/>
      <c r="H34" s="508"/>
      <c r="I34" s="508"/>
      <c r="J34" s="508"/>
      <c r="L34" s="502"/>
      <c r="M34" s="631"/>
      <c r="N34" s="631"/>
      <c r="O34" s="631"/>
      <c r="P34" s="631"/>
      <c r="Q34" s="631"/>
      <c r="R34" s="631"/>
      <c r="S34" s="631"/>
    </row>
    <row r="35" spans="1:19">
      <c r="A35" s="502"/>
      <c r="B35" s="531"/>
      <c r="C35" s="508"/>
      <c r="D35" s="508"/>
      <c r="E35" s="508"/>
      <c r="F35" s="508"/>
      <c r="G35" s="508"/>
      <c r="H35" s="508"/>
      <c r="I35" s="508"/>
      <c r="J35" s="508"/>
      <c r="L35" s="502"/>
      <c r="M35" s="631"/>
      <c r="N35" s="631"/>
      <c r="O35" s="631"/>
      <c r="P35" s="631"/>
      <c r="Q35" s="631"/>
      <c r="R35" s="631"/>
      <c r="S35" s="631"/>
    </row>
    <row r="36" spans="1:19">
      <c r="A36" s="502"/>
      <c r="B36" s="531"/>
      <c r="C36" s="508"/>
      <c r="D36" s="508"/>
      <c r="E36" s="508"/>
      <c r="F36" s="508"/>
      <c r="G36" s="508"/>
      <c r="H36" s="508"/>
      <c r="I36" s="508"/>
      <c r="J36" s="508"/>
      <c r="L36" s="502"/>
      <c r="M36" s="631"/>
      <c r="N36" s="631"/>
      <c r="O36" s="631"/>
      <c r="P36" s="631"/>
      <c r="Q36" s="631"/>
      <c r="R36" s="631"/>
      <c r="S36" s="631"/>
    </row>
    <row r="37" spans="1:19">
      <c r="A37" s="502"/>
      <c r="B37" s="531"/>
      <c r="C37" s="508"/>
      <c r="D37" s="508"/>
      <c r="E37" s="508"/>
      <c r="F37" s="508"/>
      <c r="G37" s="508"/>
      <c r="H37" s="508"/>
      <c r="I37" s="508"/>
      <c r="J37" s="508"/>
      <c r="L37" s="502"/>
      <c r="M37" s="631"/>
      <c r="N37" s="631"/>
      <c r="O37" s="631"/>
      <c r="P37" s="631"/>
      <c r="Q37" s="631"/>
      <c r="R37" s="631"/>
      <c r="S37" s="631"/>
    </row>
    <row r="38" spans="1:19" ht="24" customHeight="1">
      <c r="A38" s="851" t="s">
        <v>784</v>
      </c>
      <c r="B38" s="851"/>
      <c r="C38" s="851"/>
      <c r="D38" s="851"/>
      <c r="E38" s="851"/>
      <c r="F38" s="851"/>
      <c r="G38" s="851"/>
      <c r="H38" s="851"/>
      <c r="I38" s="851"/>
      <c r="J38" s="851"/>
      <c r="K38" s="851"/>
      <c r="L38" s="502"/>
      <c r="M38" s="631"/>
      <c r="N38" s="631"/>
      <c r="O38" s="631"/>
      <c r="P38" s="631"/>
      <c r="Q38" s="631"/>
      <c r="R38" s="631"/>
      <c r="S38" s="631"/>
    </row>
    <row r="39" spans="1:19" ht="15.75" thickBot="1">
      <c r="A39" s="852"/>
      <c r="B39" s="852"/>
      <c r="C39" s="852"/>
      <c r="D39" s="852"/>
      <c r="E39" s="852"/>
      <c r="F39" s="852"/>
      <c r="G39" s="852"/>
      <c r="H39" s="852"/>
      <c r="I39" s="852"/>
      <c r="J39" s="852"/>
      <c r="K39" s="852"/>
      <c r="L39" s="502"/>
      <c r="M39" s="508"/>
      <c r="N39" s="508"/>
      <c r="O39" s="508"/>
      <c r="P39" s="508"/>
      <c r="Q39" s="508"/>
      <c r="R39" s="508"/>
      <c r="S39" s="508"/>
    </row>
    <row r="40" spans="1:19" ht="33.75">
      <c r="A40" s="554" t="s">
        <v>773</v>
      </c>
      <c r="B40" s="555"/>
      <c r="C40" s="555"/>
      <c r="D40" s="555"/>
      <c r="E40" s="555"/>
      <c r="F40" s="555"/>
      <c r="G40" s="555"/>
      <c r="H40" s="555"/>
      <c r="I40" s="555"/>
      <c r="J40" s="553"/>
      <c r="K40" s="553"/>
      <c r="L40" s="657"/>
      <c r="M40" s="657"/>
      <c r="N40" s="657"/>
      <c r="O40" s="657"/>
      <c r="P40" s="657"/>
      <c r="Q40" s="657"/>
      <c r="R40" s="657"/>
      <c r="S40" s="657"/>
    </row>
    <row r="41" spans="1:19" ht="21">
      <c r="A41" s="556" t="s">
        <v>671</v>
      </c>
      <c r="B41" s="541"/>
      <c r="C41" s="541"/>
      <c r="D41" s="541" t="s">
        <v>892</v>
      </c>
      <c r="E41" s="599" t="s">
        <v>25</v>
      </c>
      <c r="G41" s="580" t="str">
        <f>VLOOKUP(E41,'RICON_RICON-S-EK_GIGANT_WALCO '!V7:Y16,4,FALSE)</f>
        <v>Glued laminated timber - homogeneous</v>
      </c>
      <c r="H41" s="580"/>
      <c r="K41" s="802"/>
      <c r="L41" s="802"/>
      <c r="M41" s="802"/>
      <c r="N41" s="802"/>
      <c r="O41" s="802"/>
      <c r="P41" s="802"/>
      <c r="Q41" s="802"/>
      <c r="R41" s="802"/>
    </row>
    <row r="42" spans="1:19" ht="18.75">
      <c r="D42" s="578" t="s">
        <v>672</v>
      </c>
      <c r="E42" s="599">
        <v>1</v>
      </c>
      <c r="G42" s="579" t="str">
        <f>VLOOKUP(E42,'RICON_RICON-S-EK_GIGANT_WALCO '!V21:X22,3,FALSE)</f>
        <v>Indoor</v>
      </c>
      <c r="H42" s="581"/>
      <c r="K42" s="509"/>
    </row>
    <row r="43" spans="1:19" ht="21">
      <c r="A43" s="624"/>
      <c r="B43" s="624"/>
      <c r="C43" s="624"/>
      <c r="D43" s="624"/>
      <c r="E43" s="624"/>
      <c r="F43" s="624"/>
      <c r="G43" s="624"/>
      <c r="H43" s="624"/>
      <c r="I43" s="624"/>
      <c r="K43" s="624"/>
      <c r="L43" s="624"/>
      <c r="M43" s="624"/>
      <c r="N43" s="624"/>
      <c r="O43" s="624"/>
      <c r="P43" s="624"/>
      <c r="Q43" s="624"/>
      <c r="R43" s="624"/>
    </row>
    <row r="45" spans="1:19" ht="18.75">
      <c r="A45" s="509"/>
      <c r="B45" s="509"/>
      <c r="K45" s="509"/>
    </row>
    <row r="46" spans="1:19" ht="18.75">
      <c r="A46" s="509"/>
      <c r="B46" s="509"/>
      <c r="K46" s="509"/>
    </row>
    <row r="47" spans="1:19" ht="18.75">
      <c r="A47" s="509"/>
      <c r="B47" s="509"/>
      <c r="K47" s="509"/>
    </row>
    <row r="48" spans="1:19" ht="18.75">
      <c r="A48" s="509"/>
      <c r="B48" s="509"/>
      <c r="K48" s="509"/>
    </row>
    <row r="49" spans="1:20" ht="18.75">
      <c r="A49" s="509"/>
      <c r="B49" s="509"/>
      <c r="K49" s="509"/>
    </row>
    <row r="50" spans="1:20" ht="18.75">
      <c r="A50" s="509"/>
      <c r="B50" s="509"/>
      <c r="K50" s="509"/>
    </row>
    <row r="51" spans="1:20" ht="18.75">
      <c r="A51" s="509"/>
      <c r="B51" s="509"/>
      <c r="K51" s="509"/>
    </row>
    <row r="52" spans="1:20" ht="18.75">
      <c r="A52" s="509"/>
      <c r="B52" s="509"/>
      <c r="K52" s="509"/>
    </row>
    <row r="53" spans="1:20" ht="18.75">
      <c r="A53" s="509"/>
      <c r="B53" s="509"/>
      <c r="K53" s="509"/>
    </row>
    <row r="54" spans="1:20" ht="18.75">
      <c r="A54" s="509"/>
      <c r="B54" s="509"/>
      <c r="K54" s="509"/>
    </row>
    <row r="55" spans="1:20" ht="18.75">
      <c r="A55" s="853" t="s">
        <v>906</v>
      </c>
      <c r="B55" s="853"/>
      <c r="C55" s="853"/>
      <c r="D55" s="859" t="s">
        <v>907</v>
      </c>
      <c r="E55" s="859"/>
      <c r="F55" s="859"/>
      <c r="G55" s="859"/>
      <c r="H55" s="859"/>
      <c r="K55" s="509"/>
    </row>
    <row r="56" spans="1:20" ht="21">
      <c r="A56" s="504"/>
      <c r="B56" s="504"/>
      <c r="K56" s="504"/>
    </row>
    <row r="57" spans="1:20" ht="18" customHeight="1">
      <c r="A57" s="594" t="s">
        <v>2</v>
      </c>
      <c r="B57" s="622" t="s">
        <v>613</v>
      </c>
      <c r="C57" s="840" t="s">
        <v>450</v>
      </c>
      <c r="D57" s="840"/>
      <c r="E57" s="837" t="s">
        <v>817</v>
      </c>
      <c r="F57" s="854" t="str">
        <f>"Design values F2,Rd for "&amp;E41&amp;" [kN]"</f>
        <v>Design values F2,Rd for GL24h [kN]</v>
      </c>
      <c r="G57" s="750"/>
      <c r="H57" s="750"/>
      <c r="I57" s="750"/>
      <c r="J57" s="750"/>
      <c r="K57" s="602" t="s">
        <v>689</v>
      </c>
      <c r="L57" s="855"/>
      <c r="M57" s="834"/>
      <c r="N57" s="762"/>
      <c r="O57" s="762"/>
      <c r="P57" s="762"/>
      <c r="Q57" s="762"/>
      <c r="R57" s="762"/>
      <c r="S57" s="3"/>
      <c r="T57" s="638"/>
    </row>
    <row r="58" spans="1:20" ht="18">
      <c r="A58" s="82"/>
      <c r="B58" s="623" t="s">
        <v>612</v>
      </c>
      <c r="C58" s="626" t="s">
        <v>816</v>
      </c>
      <c r="D58" s="626" t="s">
        <v>751</v>
      </c>
      <c r="E58" s="838"/>
      <c r="F58" s="588">
        <v>0.6</v>
      </c>
      <c r="G58" s="588">
        <v>0.7</v>
      </c>
      <c r="H58" s="588">
        <v>0.8</v>
      </c>
      <c r="I58" s="588">
        <v>0.9</v>
      </c>
      <c r="J58" s="588">
        <v>1</v>
      </c>
      <c r="K58" s="588">
        <v>1.1000000000000001</v>
      </c>
      <c r="L58" s="650"/>
      <c r="M58" s="639"/>
      <c r="N58" s="639"/>
      <c r="O58" s="639"/>
      <c r="P58" s="639"/>
      <c r="Q58" s="639"/>
      <c r="R58" s="639"/>
      <c r="S58" s="639"/>
      <c r="T58" s="639"/>
    </row>
    <row r="59" spans="1:20" ht="45">
      <c r="A59" s="424" t="s">
        <v>872</v>
      </c>
      <c r="B59" s="530" t="s">
        <v>488</v>
      </c>
      <c r="C59" s="549">
        <v>34</v>
      </c>
      <c r="D59" s="549">
        <f>'RICON_RICON-S-EK_GIGANT_WALCO '!F322</f>
        <v>31.491496682526368</v>
      </c>
      <c r="E59" s="634">
        <f>C59/1</f>
        <v>34</v>
      </c>
      <c r="F59" s="498">
        <f t="shared" ref="F59:K66" si="5">MIN($C59/1,$D59*F$22/1.3)</f>
        <v>14.534536930396785</v>
      </c>
      <c r="G59" s="498">
        <f t="shared" si="5"/>
        <v>16.956959752129581</v>
      </c>
      <c r="H59" s="498">
        <f t="shared" si="5"/>
        <v>19.37938257386238</v>
      </c>
      <c r="I59" s="498">
        <f t="shared" si="5"/>
        <v>21.801805395595178</v>
      </c>
      <c r="J59" s="498">
        <f t="shared" si="5"/>
        <v>24.224228217327973</v>
      </c>
      <c r="K59" s="498">
        <f t="shared" si="5"/>
        <v>26.646651039060774</v>
      </c>
      <c r="L59" s="651"/>
      <c r="M59" s="508"/>
      <c r="N59" s="508"/>
      <c r="O59" s="508"/>
      <c r="P59" s="508"/>
      <c r="Q59" s="508"/>
      <c r="R59" s="508"/>
      <c r="S59" s="508"/>
      <c r="T59" s="508"/>
    </row>
    <row r="60" spans="1:20" ht="45">
      <c r="A60" s="342" t="s">
        <v>811</v>
      </c>
      <c r="B60" s="528" t="s">
        <v>621</v>
      </c>
      <c r="C60" s="549">
        <v>34</v>
      </c>
      <c r="D60" s="549">
        <f>'RICON_RICON-S-EK_GIGANT_WALCO '!F323</f>
        <v>33.461995493984347</v>
      </c>
      <c r="E60" s="634">
        <f t="shared" ref="E60:E66" si="6">C60/1</f>
        <v>34</v>
      </c>
      <c r="F60" s="498">
        <f t="shared" si="5"/>
        <v>15.443997920300466</v>
      </c>
      <c r="G60" s="498">
        <f t="shared" si="5"/>
        <v>18.017997573683878</v>
      </c>
      <c r="H60" s="498">
        <f t="shared" si="5"/>
        <v>20.591997227067289</v>
      </c>
      <c r="I60" s="498">
        <f t="shared" si="5"/>
        <v>23.165996880450702</v>
      </c>
      <c r="J60" s="498">
        <f t="shared" si="5"/>
        <v>25.739996533834113</v>
      </c>
      <c r="K60" s="498">
        <f t="shared" si="5"/>
        <v>28.313996187217523</v>
      </c>
      <c r="L60" s="651"/>
      <c r="M60" s="508"/>
      <c r="N60" s="508"/>
      <c r="O60" s="508"/>
      <c r="P60" s="508"/>
      <c r="Q60" s="508"/>
      <c r="R60" s="508"/>
      <c r="S60" s="508"/>
      <c r="T60" s="508"/>
    </row>
    <row r="61" spans="1:20" ht="45">
      <c r="A61" s="342" t="s">
        <v>873</v>
      </c>
      <c r="B61" s="528" t="s">
        <v>489</v>
      </c>
      <c r="C61" s="549">
        <v>34</v>
      </c>
      <c r="D61" s="549">
        <f>'RICON_RICON-S-EK_GIGANT_WALCO '!F324</f>
        <v>34.932860097435942</v>
      </c>
      <c r="E61" s="634">
        <f t="shared" si="6"/>
        <v>34</v>
      </c>
      <c r="F61" s="498">
        <f t="shared" si="5"/>
        <v>16.122858506508894</v>
      </c>
      <c r="G61" s="498">
        <f t="shared" si="5"/>
        <v>18.810001590927044</v>
      </c>
      <c r="H61" s="498">
        <f t="shared" si="5"/>
        <v>21.497144675345194</v>
      </c>
      <c r="I61" s="498">
        <f t="shared" si="5"/>
        <v>24.184287759763347</v>
      </c>
      <c r="J61" s="498">
        <f t="shared" si="5"/>
        <v>26.871430844181493</v>
      </c>
      <c r="K61" s="498">
        <f t="shared" si="5"/>
        <v>29.558573928599646</v>
      </c>
      <c r="L61" s="651"/>
      <c r="M61" s="508"/>
      <c r="N61" s="508"/>
      <c r="O61" s="508"/>
      <c r="P61" s="508"/>
      <c r="Q61" s="508"/>
      <c r="R61" s="508"/>
      <c r="S61" s="508"/>
      <c r="T61" s="508"/>
    </row>
    <row r="62" spans="1:20" ht="45.75" thickBot="1">
      <c r="A62" s="648" t="s">
        <v>812</v>
      </c>
      <c r="B62" s="649" t="s">
        <v>622</v>
      </c>
      <c r="C62" s="612">
        <v>34</v>
      </c>
      <c r="D62" s="652">
        <f>'RICON_RICON-S-EK_GIGANT_WALCO '!F325</f>
        <v>41.424610237180048</v>
      </c>
      <c r="E62" s="642">
        <f t="shared" si="6"/>
        <v>34</v>
      </c>
      <c r="F62" s="500">
        <f t="shared" si="5"/>
        <v>19.119050878698481</v>
      </c>
      <c r="G62" s="500">
        <f t="shared" si="5"/>
        <v>22.305559358481563</v>
      </c>
      <c r="H62" s="500">
        <f t="shared" si="5"/>
        <v>25.492067838264646</v>
      </c>
      <c r="I62" s="500">
        <f t="shared" si="5"/>
        <v>28.678576318047725</v>
      </c>
      <c r="J62" s="500">
        <f t="shared" si="5"/>
        <v>31.865084797830804</v>
      </c>
      <c r="K62" s="500">
        <f t="shared" si="5"/>
        <v>34</v>
      </c>
      <c r="L62" s="651"/>
      <c r="M62" s="508"/>
      <c r="N62" s="508"/>
      <c r="O62" s="508"/>
      <c r="P62" s="508"/>
      <c r="Q62" s="508"/>
      <c r="R62" s="508"/>
      <c r="S62" s="508"/>
      <c r="T62" s="508"/>
    </row>
    <row r="63" spans="1:20" ht="45.75" thickTop="1">
      <c r="A63" s="424" t="s">
        <v>874</v>
      </c>
      <c r="B63" s="530" t="s">
        <v>498</v>
      </c>
      <c r="C63" s="611">
        <v>50</v>
      </c>
      <c r="D63" s="611">
        <f>'RICON_RICON-S-EK_GIGANT_WALCO '!F326</f>
        <v>48.84998370785852</v>
      </c>
      <c r="E63" s="643">
        <f t="shared" si="6"/>
        <v>50</v>
      </c>
      <c r="F63" s="499">
        <f t="shared" si="5"/>
        <v>22.54614632670393</v>
      </c>
      <c r="G63" s="499">
        <f t="shared" si="5"/>
        <v>26.303837381154583</v>
      </c>
      <c r="H63" s="499">
        <f t="shared" si="5"/>
        <v>30.061528435605243</v>
      </c>
      <c r="I63" s="499">
        <f t="shared" si="5"/>
        <v>33.8192194900559</v>
      </c>
      <c r="J63" s="499">
        <f t="shared" si="5"/>
        <v>37.576910544506553</v>
      </c>
      <c r="K63" s="499">
        <f t="shared" si="5"/>
        <v>41.334601598957214</v>
      </c>
      <c r="L63" s="651"/>
      <c r="M63" s="508"/>
      <c r="N63" s="508"/>
      <c r="O63" s="508"/>
      <c r="P63" s="508"/>
      <c r="Q63" s="508"/>
      <c r="R63" s="508"/>
      <c r="S63" s="508"/>
      <c r="T63" s="508"/>
    </row>
    <row r="64" spans="1:20" ht="45">
      <c r="A64" s="342" t="s">
        <v>813</v>
      </c>
      <c r="B64" s="528" t="s">
        <v>498</v>
      </c>
      <c r="C64" s="549">
        <v>50</v>
      </c>
      <c r="D64" s="549">
        <f>'RICON_RICON-S-EK_GIGANT_WALCO '!F327</f>
        <v>58.443039446631978</v>
      </c>
      <c r="E64" s="634">
        <f t="shared" si="6"/>
        <v>50</v>
      </c>
      <c r="F64" s="498">
        <f t="shared" si="5"/>
        <v>26.973710513830145</v>
      </c>
      <c r="G64" s="498">
        <f t="shared" si="5"/>
        <v>31.469328932801833</v>
      </c>
      <c r="H64" s="498">
        <f t="shared" si="5"/>
        <v>35.964947351773525</v>
      </c>
      <c r="I64" s="498">
        <f t="shared" si="5"/>
        <v>40.460565770745212</v>
      </c>
      <c r="J64" s="498">
        <f t="shared" si="5"/>
        <v>44.956184189716907</v>
      </c>
      <c r="K64" s="498">
        <f t="shared" si="5"/>
        <v>49.451802608688602</v>
      </c>
      <c r="L64" s="651"/>
      <c r="M64" s="508"/>
      <c r="N64" s="508"/>
      <c r="O64" s="508"/>
      <c r="P64" s="508"/>
      <c r="Q64" s="508"/>
      <c r="R64" s="508"/>
      <c r="S64" s="508"/>
      <c r="T64" s="508"/>
    </row>
    <row r="65" spans="1:20" ht="45">
      <c r="A65" s="342" t="s">
        <v>875</v>
      </c>
      <c r="B65" s="528" t="s">
        <v>499</v>
      </c>
      <c r="C65" s="549">
        <v>50</v>
      </c>
      <c r="D65" s="549">
        <f>'RICON_RICON-S-EK_GIGANT_WALCO '!F328</f>
        <v>48.84998370785852</v>
      </c>
      <c r="E65" s="634">
        <f t="shared" si="6"/>
        <v>50</v>
      </c>
      <c r="F65" s="498">
        <f t="shared" si="5"/>
        <v>22.54614632670393</v>
      </c>
      <c r="G65" s="498">
        <f t="shared" si="5"/>
        <v>26.303837381154583</v>
      </c>
      <c r="H65" s="498">
        <f t="shared" si="5"/>
        <v>30.061528435605243</v>
      </c>
      <c r="I65" s="498">
        <f t="shared" si="5"/>
        <v>33.8192194900559</v>
      </c>
      <c r="J65" s="498">
        <f t="shared" si="5"/>
        <v>37.576910544506553</v>
      </c>
      <c r="K65" s="498">
        <f t="shared" si="5"/>
        <v>41.334601598957214</v>
      </c>
      <c r="L65" s="651"/>
      <c r="M65" s="508"/>
      <c r="N65" s="508"/>
      <c r="O65" s="508"/>
      <c r="P65" s="508"/>
      <c r="Q65" s="508"/>
      <c r="R65" s="508"/>
      <c r="S65" s="508"/>
      <c r="T65" s="508"/>
    </row>
    <row r="66" spans="1:20" ht="45">
      <c r="A66" s="342" t="s">
        <v>814</v>
      </c>
      <c r="B66" s="528" t="s">
        <v>499</v>
      </c>
      <c r="C66" s="549">
        <v>50</v>
      </c>
      <c r="D66" s="549">
        <f>'RICON_RICON-S-EK_GIGANT_WALCO '!F329</f>
        <v>59.709990723289614</v>
      </c>
      <c r="E66" s="634">
        <f t="shared" si="6"/>
        <v>50</v>
      </c>
      <c r="F66" s="498">
        <f t="shared" si="5"/>
        <v>27.558457256902898</v>
      </c>
      <c r="G66" s="498">
        <f t="shared" si="5"/>
        <v>32.151533466386709</v>
      </c>
      <c r="H66" s="498">
        <f t="shared" si="5"/>
        <v>36.744609675870528</v>
      </c>
      <c r="I66" s="498">
        <f t="shared" si="5"/>
        <v>41.337685885354347</v>
      </c>
      <c r="J66" s="498">
        <f t="shared" si="5"/>
        <v>45.930762094838165</v>
      </c>
      <c r="K66" s="498">
        <f t="shared" si="5"/>
        <v>50</v>
      </c>
      <c r="L66" s="651"/>
      <c r="M66" s="508"/>
      <c r="N66" s="508"/>
      <c r="O66" s="508"/>
      <c r="P66" s="508"/>
      <c r="Q66" s="508"/>
      <c r="R66" s="508"/>
      <c r="S66" s="508"/>
      <c r="T66" s="508"/>
    </row>
    <row r="67" spans="1:20">
      <c r="A67" s="502"/>
      <c r="B67" s="531"/>
      <c r="C67" s="508"/>
      <c r="D67" s="508"/>
      <c r="E67" s="508"/>
      <c r="F67" s="508"/>
      <c r="G67" s="508"/>
      <c r="H67" s="508"/>
      <c r="I67" s="508"/>
      <c r="K67" s="502"/>
      <c r="L67" s="508"/>
      <c r="M67" s="508"/>
      <c r="N67" s="508"/>
      <c r="O67" s="508"/>
      <c r="P67" s="508"/>
      <c r="Q67" s="508"/>
      <c r="R67" s="508"/>
    </row>
    <row r="68" spans="1:20">
      <c r="A68" s="502"/>
      <c r="B68" s="531"/>
      <c r="C68" s="508"/>
      <c r="D68" s="508"/>
      <c r="E68" s="508"/>
      <c r="F68" s="508"/>
      <c r="G68" s="508"/>
      <c r="H68" s="508"/>
      <c r="I68" s="508"/>
      <c r="K68" s="502"/>
      <c r="L68" s="508"/>
      <c r="M68" s="508"/>
      <c r="N68" s="508"/>
      <c r="O68" s="508"/>
      <c r="P68" s="508"/>
      <c r="Q68" s="508"/>
      <c r="R68" s="508"/>
    </row>
    <row r="69" spans="1:20">
      <c r="A69" s="502"/>
      <c r="B69" s="531"/>
      <c r="C69" s="508"/>
      <c r="D69" s="508"/>
      <c r="E69" s="508"/>
      <c r="F69" s="508"/>
      <c r="G69" s="508"/>
      <c r="H69" s="508"/>
      <c r="I69" s="508"/>
      <c r="K69" s="502"/>
      <c r="L69" s="508"/>
      <c r="M69" s="508"/>
      <c r="N69" s="508"/>
      <c r="O69" s="508"/>
      <c r="P69" s="508"/>
      <c r="Q69" s="508"/>
      <c r="R69" s="508"/>
    </row>
    <row r="70" spans="1:20">
      <c r="A70" s="502"/>
      <c r="B70" s="531"/>
      <c r="C70" s="508"/>
      <c r="D70" s="508"/>
      <c r="E70" s="508"/>
      <c r="F70" s="508"/>
      <c r="G70" s="508"/>
      <c r="H70" s="508"/>
      <c r="I70" s="508"/>
      <c r="K70" s="502"/>
      <c r="L70" s="508"/>
      <c r="M70" s="508"/>
      <c r="N70" s="508"/>
      <c r="O70" s="508"/>
      <c r="P70" s="508"/>
      <c r="Q70" s="508"/>
      <c r="R70" s="508"/>
    </row>
    <row r="71" spans="1:20">
      <c r="A71" s="502"/>
      <c r="B71" s="531"/>
      <c r="C71" s="508"/>
      <c r="D71" s="508"/>
      <c r="E71" s="508"/>
      <c r="F71" s="508"/>
      <c r="G71" s="508"/>
      <c r="H71" s="508"/>
      <c r="I71" s="508"/>
      <c r="K71" s="502"/>
      <c r="L71" s="508"/>
      <c r="M71" s="508"/>
      <c r="N71" s="508"/>
      <c r="O71" s="508"/>
      <c r="P71" s="508"/>
      <c r="Q71" s="508"/>
      <c r="R71" s="508"/>
    </row>
    <row r="72" spans="1:20">
      <c r="A72" s="502"/>
      <c r="B72" s="531"/>
      <c r="C72" s="508"/>
      <c r="D72" s="508"/>
      <c r="E72" s="508"/>
      <c r="F72" s="508"/>
      <c r="G72" s="508"/>
      <c r="H72" s="508"/>
      <c r="I72" s="508"/>
      <c r="K72" s="502"/>
      <c r="L72" s="508"/>
      <c r="M72" s="508"/>
      <c r="N72" s="508"/>
      <c r="O72" s="508"/>
      <c r="P72" s="508"/>
      <c r="Q72" s="508"/>
      <c r="R72" s="508"/>
    </row>
    <row r="73" spans="1:20">
      <c r="A73" s="502"/>
      <c r="B73" s="531"/>
      <c r="C73" s="508"/>
      <c r="D73" s="508"/>
      <c r="E73" s="508"/>
      <c r="F73" s="508"/>
      <c r="G73" s="508"/>
      <c r="H73" s="508"/>
      <c r="I73" s="508"/>
      <c r="K73" s="502"/>
      <c r="L73" s="508"/>
      <c r="M73" s="508"/>
      <c r="N73" s="508"/>
      <c r="O73" s="508"/>
      <c r="P73" s="508"/>
      <c r="Q73" s="508"/>
      <c r="R73" s="508"/>
    </row>
    <row r="74" spans="1:20" ht="30" customHeight="1">
      <c r="A74" s="851" t="s">
        <v>784</v>
      </c>
      <c r="B74" s="851"/>
      <c r="C74" s="851"/>
      <c r="D74" s="851"/>
      <c r="E74" s="851"/>
      <c r="F74" s="851"/>
      <c r="G74" s="851"/>
      <c r="H74" s="851"/>
      <c r="I74" s="851"/>
      <c r="J74" s="851"/>
      <c r="K74" s="851"/>
      <c r="L74" s="508"/>
      <c r="M74" s="508"/>
      <c r="N74" s="508"/>
      <c r="O74" s="508"/>
      <c r="P74" s="508"/>
      <c r="Q74" s="508"/>
      <c r="R74" s="508"/>
    </row>
    <row r="75" spans="1:20" ht="15.75" thickBot="1">
      <c r="A75" s="852"/>
      <c r="B75" s="852"/>
      <c r="C75" s="852"/>
      <c r="D75" s="852"/>
      <c r="E75" s="852"/>
      <c r="F75" s="852"/>
      <c r="G75" s="852"/>
      <c r="H75" s="852"/>
      <c r="I75" s="852"/>
      <c r="J75" s="852"/>
      <c r="K75" s="852"/>
      <c r="L75" s="508"/>
      <c r="M75" s="508"/>
      <c r="N75" s="508"/>
      <c r="O75" s="508"/>
      <c r="P75" s="508"/>
      <c r="Q75" s="508"/>
      <c r="R75" s="508"/>
    </row>
    <row r="76" spans="1:20" ht="33.75">
      <c r="A76" s="554" t="s">
        <v>891</v>
      </c>
      <c r="B76" s="555"/>
      <c r="C76" s="555"/>
      <c r="D76" s="555"/>
      <c r="E76" s="555"/>
      <c r="F76" s="555"/>
      <c r="G76" s="555"/>
      <c r="H76" s="555"/>
      <c r="I76" s="555"/>
      <c r="J76" s="555"/>
      <c r="K76" s="553"/>
      <c r="L76" s="502"/>
      <c r="M76" s="508"/>
      <c r="N76" s="508"/>
      <c r="O76" s="508"/>
      <c r="P76" s="508"/>
      <c r="Q76" s="508"/>
      <c r="R76" s="508"/>
      <c r="S76" s="508"/>
    </row>
    <row r="77" spans="1:20" ht="21">
      <c r="A77" s="556" t="s">
        <v>688</v>
      </c>
      <c r="B77" s="541"/>
      <c r="C77" s="541"/>
      <c r="D77" s="541" t="s">
        <v>892</v>
      </c>
      <c r="E77" s="599" t="s">
        <v>25</v>
      </c>
      <c r="G77" s="580" t="str">
        <f>VLOOKUP(E77,'RICON_RICON-S-EK_GIGANT_WALCO '!V7:Y17,4,FALSE)</f>
        <v>Glued laminated timber - homogeneous</v>
      </c>
      <c r="H77" s="580"/>
      <c r="L77" s="802"/>
      <c r="M77" s="802"/>
      <c r="N77" s="802"/>
      <c r="O77" s="802"/>
      <c r="P77" s="802"/>
      <c r="Q77" s="802"/>
      <c r="R77" s="802"/>
      <c r="S77" s="802"/>
    </row>
    <row r="78" spans="1:20" ht="18.75">
      <c r="D78" s="578" t="s">
        <v>672</v>
      </c>
      <c r="E78" s="599">
        <v>1</v>
      </c>
      <c r="G78" s="579" t="str">
        <f>VLOOKUP(E78,'RICON_RICON-S-EK_GIGANT_WALCO '!V21:X22,3,FALSE)</f>
        <v>Indoor</v>
      </c>
      <c r="H78" s="581"/>
      <c r="L78" s="509"/>
    </row>
    <row r="79" spans="1:20" ht="18.75">
      <c r="A79" s="509"/>
      <c r="B79" s="509"/>
      <c r="L79" s="509"/>
    </row>
    <row r="80" spans="1:20" ht="18.75">
      <c r="A80" s="509"/>
      <c r="B80" s="509"/>
      <c r="L80" s="509"/>
    </row>
    <row r="81" spans="1:19" ht="18.75">
      <c r="A81" s="509"/>
      <c r="B81" s="509"/>
      <c r="L81" s="509"/>
    </row>
    <row r="82" spans="1:19" ht="18.75">
      <c r="A82" s="509"/>
      <c r="B82" s="509"/>
      <c r="L82" s="509"/>
    </row>
    <row r="83" spans="1:19" ht="18.75">
      <c r="A83" s="509"/>
      <c r="B83" s="509"/>
      <c r="L83" s="509"/>
    </row>
    <row r="84" spans="1:19" ht="18.75">
      <c r="A84" s="509"/>
      <c r="B84" s="509"/>
      <c r="L84" s="509"/>
    </row>
    <row r="85" spans="1:19" ht="18.75">
      <c r="A85" s="509"/>
      <c r="B85" s="509"/>
      <c r="L85" s="509"/>
    </row>
    <row r="86" spans="1:19" ht="18.75">
      <c r="A86" s="509"/>
      <c r="B86" s="509"/>
      <c r="L86" s="509"/>
    </row>
    <row r="87" spans="1:19" ht="18.75">
      <c r="A87" s="509"/>
      <c r="B87" s="509"/>
      <c r="L87" s="509"/>
    </row>
    <row r="88" spans="1:19" ht="18.75">
      <c r="A88" s="509"/>
      <c r="B88" s="509"/>
      <c r="L88" s="509"/>
    </row>
    <row r="89" spans="1:19" ht="18.75">
      <c r="A89" s="509"/>
      <c r="B89" s="509"/>
      <c r="L89" s="509"/>
    </row>
    <row r="90" spans="1:19" ht="18.75">
      <c r="A90" s="509"/>
      <c r="B90" s="509"/>
      <c r="L90" s="509"/>
    </row>
    <row r="91" spans="1:19" ht="21">
      <c r="A91" s="503"/>
      <c r="B91" s="503"/>
      <c r="E91" s="2"/>
      <c r="F91" s="2"/>
      <c r="G91" s="2"/>
      <c r="H91" s="2"/>
      <c r="L91" s="503"/>
    </row>
    <row r="92" spans="1:19" ht="21">
      <c r="A92" s="853" t="s">
        <v>908</v>
      </c>
      <c r="B92" s="853"/>
      <c r="C92" s="853"/>
      <c r="E92" s="702" t="s">
        <v>909</v>
      </c>
      <c r="F92" s="702"/>
      <c r="G92" s="702"/>
      <c r="H92" s="2"/>
      <c r="L92" s="503"/>
    </row>
    <row r="93" spans="1:19" ht="21">
      <c r="A93" s="503"/>
      <c r="B93" s="503"/>
      <c r="E93" s="2"/>
      <c r="F93" s="2"/>
      <c r="G93" s="2"/>
      <c r="H93" s="2"/>
      <c r="L93" s="503"/>
    </row>
    <row r="94" spans="1:19" ht="15" customHeight="1">
      <c r="A94" s="594" t="s">
        <v>2</v>
      </c>
      <c r="B94" s="583" t="s">
        <v>613</v>
      </c>
      <c r="C94" s="840" t="s">
        <v>450</v>
      </c>
      <c r="D94" s="840"/>
      <c r="E94" s="837" t="s">
        <v>817</v>
      </c>
      <c r="F94" s="854" t="str">
        <f>"Design values F2,Rd for "&amp;E77&amp;" [kN]"</f>
        <v>Design values F2,Rd for GL24h [kN]</v>
      </c>
      <c r="G94" s="750"/>
      <c r="H94" s="750"/>
      <c r="I94" s="750"/>
      <c r="J94" s="750"/>
      <c r="K94" s="602" t="s">
        <v>689</v>
      </c>
      <c r="L94" s="144"/>
      <c r="M94" s="834"/>
      <c r="N94" s="834"/>
      <c r="O94" s="762"/>
      <c r="P94" s="762"/>
      <c r="Q94" s="762"/>
      <c r="R94" s="762"/>
      <c r="S94" s="762"/>
    </row>
    <row r="95" spans="1:19" ht="31.5" customHeight="1">
      <c r="A95" s="82"/>
      <c r="B95" s="584" t="s">
        <v>612</v>
      </c>
      <c r="C95" s="610" t="s">
        <v>816</v>
      </c>
      <c r="D95" s="610" t="s">
        <v>751</v>
      </c>
      <c r="E95" s="838"/>
      <c r="F95" s="588">
        <v>0.6</v>
      </c>
      <c r="G95" s="588">
        <v>0.7</v>
      </c>
      <c r="H95" s="588">
        <v>0.8</v>
      </c>
      <c r="I95" s="588">
        <v>0.9</v>
      </c>
      <c r="J95" s="588">
        <v>1</v>
      </c>
      <c r="K95" s="588">
        <v>1.1000000000000001</v>
      </c>
      <c r="L95" s="144"/>
      <c r="M95" s="3"/>
      <c r="N95" s="3"/>
      <c r="O95" s="666"/>
      <c r="P95" s="666"/>
      <c r="Q95" s="666"/>
      <c r="R95" s="666"/>
      <c r="S95" s="666"/>
    </row>
    <row r="96" spans="1:19" ht="45">
      <c r="A96" s="342" t="s">
        <v>876</v>
      </c>
      <c r="B96" s="528" t="s">
        <v>488</v>
      </c>
      <c r="C96" s="549">
        <f>'RICON-S-VS'!C76</f>
        <v>60</v>
      </c>
      <c r="D96" s="549">
        <f>'RICON-S-VS'!F76</f>
        <v>26.949266771153084</v>
      </c>
      <c r="E96" s="634">
        <f>C96/1</f>
        <v>60</v>
      </c>
      <c r="F96" s="498">
        <f t="shared" ref="F96:K96" si="7">MIN($C96/1,$D96*F$95/1.3)</f>
        <v>12.438123125147577</v>
      </c>
      <c r="G96" s="498">
        <f t="shared" si="7"/>
        <v>14.511143646005506</v>
      </c>
      <c r="H96" s="498">
        <f t="shared" si="7"/>
        <v>16.584164166863435</v>
      </c>
      <c r="I96" s="498">
        <f t="shared" si="7"/>
        <v>18.657184687721365</v>
      </c>
      <c r="J96" s="498">
        <f t="shared" si="7"/>
        <v>20.730205208579296</v>
      </c>
      <c r="K96" s="498">
        <f t="shared" si="7"/>
        <v>22.803225729437226</v>
      </c>
      <c r="L96" s="144"/>
      <c r="M96" s="3"/>
      <c r="N96" s="3"/>
      <c r="O96" s="666"/>
      <c r="P96" s="666"/>
      <c r="Q96" s="666"/>
      <c r="R96" s="666"/>
      <c r="S96" s="666"/>
    </row>
    <row r="97" spans="1:19" ht="45">
      <c r="A97" s="342" t="s">
        <v>877</v>
      </c>
      <c r="B97" s="528" t="s">
        <v>488</v>
      </c>
      <c r="C97" s="549">
        <f>'RICON-S-VS'!C77</f>
        <v>60</v>
      </c>
      <c r="D97" s="549">
        <f>'RICON-S-VS'!F77</f>
        <v>37.149991394525706</v>
      </c>
      <c r="E97" s="634">
        <f t="shared" ref="E97:E110" si="8">C97/1</f>
        <v>60</v>
      </c>
      <c r="F97" s="498">
        <f t="shared" ref="F97:I110" si="9">MIN($C97/1,$D97*F$95/1.3)</f>
        <v>17.146149874396478</v>
      </c>
      <c r="G97" s="498">
        <f t="shared" si="9"/>
        <v>20.003841520129225</v>
      </c>
      <c r="H97" s="498">
        <f t="shared" si="9"/>
        <v>22.861533165861974</v>
      </c>
      <c r="I97" s="498">
        <f t="shared" si="9"/>
        <v>25.719224811594717</v>
      </c>
      <c r="J97" s="498">
        <f t="shared" ref="J97:K110" si="10">MIN($C97/1,$D97*J$95/1.3)</f>
        <v>28.576916457327464</v>
      </c>
      <c r="K97" s="498">
        <f t="shared" si="10"/>
        <v>31.434608103060214</v>
      </c>
      <c r="L97" s="673"/>
      <c r="M97" s="508"/>
      <c r="N97" s="508"/>
      <c r="O97" s="508"/>
      <c r="P97" s="508"/>
      <c r="Q97" s="508"/>
      <c r="R97" s="508"/>
      <c r="S97" s="508"/>
    </row>
    <row r="98" spans="1:19" ht="45.75" thickBot="1">
      <c r="A98" s="648" t="s">
        <v>878</v>
      </c>
      <c r="B98" s="649" t="s">
        <v>924</v>
      </c>
      <c r="C98" s="612">
        <f>'RICON-S-VS'!C78</f>
        <v>60</v>
      </c>
      <c r="D98" s="612">
        <f>'RICON-S-VS'!F78</f>
        <v>40.18125965399701</v>
      </c>
      <c r="E98" s="642">
        <f t="shared" si="8"/>
        <v>60</v>
      </c>
      <c r="F98" s="500">
        <f t="shared" si="9"/>
        <v>18.545196763383235</v>
      </c>
      <c r="G98" s="500">
        <f t="shared" si="9"/>
        <v>21.636062890613772</v>
      </c>
      <c r="H98" s="500">
        <f t="shared" si="9"/>
        <v>24.726929017844313</v>
      </c>
      <c r="I98" s="500">
        <f t="shared" si="9"/>
        <v>27.817795145074854</v>
      </c>
      <c r="J98" s="500">
        <f t="shared" si="10"/>
        <v>30.908661272305391</v>
      </c>
      <c r="K98" s="500">
        <f t="shared" si="10"/>
        <v>33.999527399535936</v>
      </c>
      <c r="L98" s="673"/>
      <c r="M98" s="508"/>
      <c r="N98" s="508"/>
      <c r="O98" s="508"/>
      <c r="P98" s="508"/>
      <c r="Q98" s="508"/>
      <c r="R98" s="508"/>
      <c r="S98" s="508"/>
    </row>
    <row r="99" spans="1:19" ht="45.75" thickTop="1">
      <c r="A99" s="424" t="s">
        <v>879</v>
      </c>
      <c r="B99" s="530" t="s">
        <v>489</v>
      </c>
      <c r="C99" s="611">
        <f>'RICON-S-VS'!C79</f>
        <v>60</v>
      </c>
      <c r="D99" s="611">
        <f>'RICON-S-VS'!F79</f>
        <v>30.390630186062658</v>
      </c>
      <c r="E99" s="643">
        <f t="shared" si="8"/>
        <v>60</v>
      </c>
      <c r="F99" s="499">
        <f t="shared" si="9"/>
        <v>14.026444701259686</v>
      </c>
      <c r="G99" s="499">
        <f t="shared" si="9"/>
        <v>16.36418548480297</v>
      </c>
      <c r="H99" s="499">
        <f t="shared" si="9"/>
        <v>18.701926268346252</v>
      </c>
      <c r="I99" s="499">
        <f t="shared" si="9"/>
        <v>21.039667051889534</v>
      </c>
      <c r="J99" s="499">
        <f t="shared" si="10"/>
        <v>23.377407835432813</v>
      </c>
      <c r="K99" s="499">
        <f t="shared" si="10"/>
        <v>25.715148618976098</v>
      </c>
      <c r="L99" s="673"/>
      <c r="M99" s="508"/>
      <c r="N99" s="508"/>
      <c r="O99" s="508"/>
      <c r="P99" s="508"/>
      <c r="Q99" s="508"/>
      <c r="R99" s="508"/>
      <c r="S99" s="508"/>
    </row>
    <row r="100" spans="1:19" ht="45">
      <c r="A100" s="342" t="s">
        <v>880</v>
      </c>
      <c r="B100" s="528" t="s">
        <v>489</v>
      </c>
      <c r="C100" s="549">
        <f>'RICON-S-VS'!C80</f>
        <v>60</v>
      </c>
      <c r="D100" s="549">
        <f>'RICON-S-VS'!F80</f>
        <v>56.710921194381697</v>
      </c>
      <c r="E100" s="634">
        <f t="shared" si="8"/>
        <v>60</v>
      </c>
      <c r="F100" s="498">
        <f t="shared" si="9"/>
        <v>26.174271320483861</v>
      </c>
      <c r="G100" s="498">
        <f t="shared" si="9"/>
        <v>30.536649873897833</v>
      </c>
      <c r="H100" s="498">
        <f t="shared" si="9"/>
        <v>34.899028427311819</v>
      </c>
      <c r="I100" s="498">
        <f t="shared" si="9"/>
        <v>39.261406980725788</v>
      </c>
      <c r="J100" s="498">
        <f t="shared" si="10"/>
        <v>43.623785534139763</v>
      </c>
      <c r="K100" s="498">
        <f t="shared" si="10"/>
        <v>47.986164087553746</v>
      </c>
      <c r="L100" s="673"/>
      <c r="M100" s="508"/>
      <c r="N100" s="508"/>
      <c r="O100" s="508"/>
      <c r="P100" s="508"/>
      <c r="Q100" s="508"/>
      <c r="R100" s="508"/>
      <c r="S100" s="508"/>
    </row>
    <row r="101" spans="1:19" ht="45.75" thickBot="1">
      <c r="A101" s="648" t="s">
        <v>881</v>
      </c>
      <c r="B101" s="649" t="s">
        <v>925</v>
      </c>
      <c r="C101" s="612">
        <f>'RICON-S-VS'!C81</f>
        <v>60</v>
      </c>
      <c r="D101" s="612">
        <f>'RICON-S-VS'!F81</f>
        <v>66.480609906200655</v>
      </c>
      <c r="E101" s="642">
        <f t="shared" si="8"/>
        <v>60</v>
      </c>
      <c r="F101" s="500">
        <f t="shared" si="9"/>
        <v>30.683358418246456</v>
      </c>
      <c r="G101" s="500">
        <f t="shared" si="9"/>
        <v>35.797251487954192</v>
      </c>
      <c r="H101" s="500">
        <f t="shared" si="9"/>
        <v>40.911144557661942</v>
      </c>
      <c r="I101" s="500">
        <f t="shared" si="9"/>
        <v>46.025037627369684</v>
      </c>
      <c r="J101" s="500">
        <f t="shared" si="10"/>
        <v>51.138930697077427</v>
      </c>
      <c r="K101" s="500">
        <f t="shared" si="10"/>
        <v>56.25282376678517</v>
      </c>
      <c r="L101" s="673"/>
      <c r="M101" s="508"/>
      <c r="N101" s="508"/>
      <c r="O101" s="508"/>
      <c r="P101" s="508"/>
      <c r="Q101" s="508"/>
      <c r="R101" s="508"/>
      <c r="S101" s="508"/>
    </row>
    <row r="102" spans="1:19" ht="45.75" thickTop="1">
      <c r="A102" s="424" t="s">
        <v>882</v>
      </c>
      <c r="B102" s="530" t="s">
        <v>498</v>
      </c>
      <c r="C102" s="611">
        <f>'RICON-S-VS'!C82</f>
        <v>99</v>
      </c>
      <c r="D102" s="611">
        <f>'RICON-S-VS'!F82</f>
        <v>42.402011672418155</v>
      </c>
      <c r="E102" s="643">
        <f t="shared" si="8"/>
        <v>99</v>
      </c>
      <c r="F102" s="499">
        <f t="shared" si="9"/>
        <v>19.570159233423762</v>
      </c>
      <c r="G102" s="499">
        <f t="shared" si="9"/>
        <v>22.831852438994389</v>
      </c>
      <c r="H102" s="499">
        <f t="shared" si="9"/>
        <v>26.093545644565019</v>
      </c>
      <c r="I102" s="499">
        <f t="shared" si="9"/>
        <v>29.355238850135645</v>
      </c>
      <c r="J102" s="499">
        <f t="shared" si="10"/>
        <v>32.616932055706272</v>
      </c>
      <c r="K102" s="499">
        <f t="shared" si="10"/>
        <v>35.878625261276902</v>
      </c>
      <c r="L102" s="673"/>
      <c r="M102" s="508"/>
      <c r="N102" s="508"/>
      <c r="O102" s="508"/>
      <c r="P102" s="508"/>
      <c r="Q102" s="508"/>
      <c r="R102" s="508"/>
      <c r="S102" s="508"/>
    </row>
    <row r="103" spans="1:19" ht="45">
      <c r="A103" s="342" t="s">
        <v>883</v>
      </c>
      <c r="B103" s="528" t="s">
        <v>498</v>
      </c>
      <c r="C103" s="549">
        <f>'RICON-S-VS'!C83</f>
        <v>99</v>
      </c>
      <c r="D103" s="549">
        <f>'RICON-S-VS'!F83</f>
        <v>79.124951595789881</v>
      </c>
      <c r="E103" s="634">
        <f t="shared" si="8"/>
        <v>99</v>
      </c>
      <c r="F103" s="498">
        <f t="shared" si="9"/>
        <v>36.519208428826097</v>
      </c>
      <c r="G103" s="498">
        <f t="shared" si="9"/>
        <v>42.605743166963784</v>
      </c>
      <c r="H103" s="498">
        <f t="shared" si="9"/>
        <v>48.692277905101463</v>
      </c>
      <c r="I103" s="498">
        <f t="shared" si="9"/>
        <v>54.778812643239149</v>
      </c>
      <c r="J103" s="498">
        <f t="shared" si="10"/>
        <v>60.865347381376829</v>
      </c>
      <c r="K103" s="498">
        <f t="shared" si="10"/>
        <v>66.951882119514522</v>
      </c>
      <c r="L103" s="673"/>
      <c r="M103" s="508"/>
      <c r="N103" s="508"/>
      <c r="O103" s="508"/>
      <c r="P103" s="508"/>
      <c r="Q103" s="508"/>
      <c r="R103" s="508"/>
      <c r="S103" s="508"/>
    </row>
    <row r="104" spans="1:19" ht="45.75" thickBot="1">
      <c r="A104" s="648" t="s">
        <v>884</v>
      </c>
      <c r="B104" s="649" t="s">
        <v>926</v>
      </c>
      <c r="C104" s="612">
        <f>'RICON-S-VS'!C84</f>
        <v>99</v>
      </c>
      <c r="D104" s="612">
        <f>'RICON-S-VS'!F84</f>
        <v>92.415567140008505</v>
      </c>
      <c r="E104" s="642">
        <f t="shared" si="8"/>
        <v>99</v>
      </c>
      <c r="F104" s="500">
        <f t="shared" si="9"/>
        <v>42.653338680003927</v>
      </c>
      <c r="G104" s="500">
        <f t="shared" si="9"/>
        <v>49.762228460004579</v>
      </c>
      <c r="H104" s="500">
        <f t="shared" si="9"/>
        <v>56.871118240005231</v>
      </c>
      <c r="I104" s="500">
        <f t="shared" si="9"/>
        <v>63.980008020005883</v>
      </c>
      <c r="J104" s="500">
        <f t="shared" si="10"/>
        <v>71.088897800006535</v>
      </c>
      <c r="K104" s="500">
        <f t="shared" si="10"/>
        <v>78.197787580007201</v>
      </c>
      <c r="L104" s="673"/>
      <c r="M104" s="508"/>
      <c r="N104" s="508"/>
      <c r="O104" s="508"/>
      <c r="P104" s="508"/>
      <c r="Q104" s="508"/>
      <c r="R104" s="508"/>
      <c r="S104" s="508"/>
    </row>
    <row r="105" spans="1:19" ht="45.75" thickTop="1">
      <c r="A105" s="424" t="s">
        <v>885</v>
      </c>
      <c r="B105" s="530" t="s">
        <v>499</v>
      </c>
      <c r="C105" s="611">
        <f>'RICON-S-VS'!C85</f>
        <v>99</v>
      </c>
      <c r="D105" s="611">
        <f>'RICON-S-VS'!F85</f>
        <v>42.402011672418155</v>
      </c>
      <c r="E105" s="643">
        <f t="shared" si="8"/>
        <v>99</v>
      </c>
      <c r="F105" s="499">
        <f t="shared" si="9"/>
        <v>19.570159233423762</v>
      </c>
      <c r="G105" s="499">
        <f t="shared" si="9"/>
        <v>22.831852438994389</v>
      </c>
      <c r="H105" s="499">
        <f t="shared" si="9"/>
        <v>26.093545644565019</v>
      </c>
      <c r="I105" s="499">
        <f t="shared" si="9"/>
        <v>29.355238850135645</v>
      </c>
      <c r="J105" s="499">
        <f t="shared" si="10"/>
        <v>32.616932055706272</v>
      </c>
      <c r="K105" s="499">
        <f t="shared" si="10"/>
        <v>35.878625261276902</v>
      </c>
      <c r="L105" s="673"/>
      <c r="M105" s="508"/>
      <c r="N105" s="508"/>
      <c r="O105" s="508"/>
      <c r="P105" s="508"/>
      <c r="Q105" s="508"/>
      <c r="R105" s="508"/>
      <c r="S105" s="508"/>
    </row>
    <row r="106" spans="1:19" ht="45">
      <c r="A106" s="342" t="s">
        <v>886</v>
      </c>
      <c r="B106" s="528" t="s">
        <v>499</v>
      </c>
      <c r="C106" s="549">
        <f>'RICON-S-VS'!C86</f>
        <v>99</v>
      </c>
      <c r="D106" s="549">
        <f>'RICON-S-VS'!F86</f>
        <v>118.23647695999895</v>
      </c>
      <c r="E106" s="634">
        <f t="shared" si="8"/>
        <v>99</v>
      </c>
      <c r="F106" s="498">
        <f t="shared" si="9"/>
        <v>54.570681673845669</v>
      </c>
      <c r="G106" s="498">
        <f t="shared" si="9"/>
        <v>63.665795286153283</v>
      </c>
      <c r="H106" s="498">
        <f t="shared" si="9"/>
        <v>72.760908898460897</v>
      </c>
      <c r="I106" s="498">
        <f t="shared" si="9"/>
        <v>81.856022510768497</v>
      </c>
      <c r="J106" s="498">
        <f t="shared" si="10"/>
        <v>90.951136123076111</v>
      </c>
      <c r="K106" s="498">
        <f t="shared" si="10"/>
        <v>99</v>
      </c>
      <c r="L106" s="673"/>
      <c r="M106" s="508"/>
      <c r="N106" s="508"/>
      <c r="O106" s="508"/>
      <c r="P106" s="508"/>
      <c r="Q106" s="508"/>
      <c r="R106" s="508"/>
      <c r="S106" s="508"/>
    </row>
    <row r="107" spans="1:19" ht="45.75" thickBot="1">
      <c r="A107" s="648" t="s">
        <v>887</v>
      </c>
      <c r="B107" s="649" t="s">
        <v>927</v>
      </c>
      <c r="C107" s="612">
        <f>'RICON-S-VS'!C87</f>
        <v>99</v>
      </c>
      <c r="D107" s="612">
        <f>'RICON-S-VS'!F87</f>
        <v>142.69127424794846</v>
      </c>
      <c r="E107" s="642">
        <f t="shared" si="8"/>
        <v>99</v>
      </c>
      <c r="F107" s="500">
        <f t="shared" si="9"/>
        <v>65.857511191360828</v>
      </c>
      <c r="G107" s="500">
        <f t="shared" si="9"/>
        <v>76.833763056587628</v>
      </c>
      <c r="H107" s="500">
        <f t="shared" si="9"/>
        <v>87.810014921814428</v>
      </c>
      <c r="I107" s="500">
        <f t="shared" si="9"/>
        <v>98.786266787041242</v>
      </c>
      <c r="J107" s="500">
        <f t="shared" si="10"/>
        <v>99</v>
      </c>
      <c r="K107" s="500">
        <f t="shared" si="10"/>
        <v>99</v>
      </c>
      <c r="L107" s="673"/>
      <c r="M107" s="508"/>
      <c r="N107" s="508"/>
      <c r="O107" s="508"/>
      <c r="P107" s="508"/>
      <c r="Q107" s="508"/>
      <c r="R107" s="508"/>
      <c r="S107" s="508"/>
    </row>
    <row r="108" spans="1:19" ht="45.75" thickTop="1">
      <c r="A108" s="424" t="s">
        <v>888</v>
      </c>
      <c r="B108" s="530" t="s">
        <v>928</v>
      </c>
      <c r="C108" s="611">
        <f>'RICON-S-VS'!C88</f>
        <v>180</v>
      </c>
      <c r="D108" s="611">
        <f>'RICON-S-VS'!F88</f>
        <v>130.93257261945729</v>
      </c>
      <c r="E108" s="643">
        <f t="shared" si="8"/>
        <v>180</v>
      </c>
      <c r="F108" s="499">
        <f t="shared" si="9"/>
        <v>60.430418132057206</v>
      </c>
      <c r="G108" s="499">
        <f t="shared" si="9"/>
        <v>70.502154487400063</v>
      </c>
      <c r="H108" s="499">
        <f t="shared" si="9"/>
        <v>80.573890842742955</v>
      </c>
      <c r="I108" s="499">
        <f t="shared" si="9"/>
        <v>90.645627198085819</v>
      </c>
      <c r="J108" s="499">
        <f t="shared" si="10"/>
        <v>100.71736355342868</v>
      </c>
      <c r="K108" s="499">
        <f t="shared" si="10"/>
        <v>110.78909990877156</v>
      </c>
      <c r="L108" s="673"/>
      <c r="M108" s="508"/>
      <c r="N108" s="508"/>
      <c r="O108" s="508"/>
      <c r="P108" s="508"/>
      <c r="Q108" s="508"/>
      <c r="R108" s="508"/>
      <c r="S108" s="508"/>
    </row>
    <row r="109" spans="1:19" ht="45">
      <c r="A109" s="342" t="s">
        <v>889</v>
      </c>
      <c r="B109" s="528" t="s">
        <v>928</v>
      </c>
      <c r="C109" s="549">
        <f>'RICON-S-VS'!C89</f>
        <v>180</v>
      </c>
      <c r="D109" s="549">
        <f>'RICON-S-VS'!F89</f>
        <v>170.93257261945729</v>
      </c>
      <c r="E109" s="634">
        <f t="shared" si="8"/>
        <v>180</v>
      </c>
      <c r="F109" s="498">
        <f t="shared" si="9"/>
        <v>78.891956593595665</v>
      </c>
      <c r="G109" s="498">
        <f t="shared" si="9"/>
        <v>92.04061602586161</v>
      </c>
      <c r="H109" s="498">
        <f t="shared" si="9"/>
        <v>105.18927545812757</v>
      </c>
      <c r="I109" s="498">
        <f t="shared" si="9"/>
        <v>118.33793489039351</v>
      </c>
      <c r="J109" s="498">
        <f t="shared" si="10"/>
        <v>131.48659432265944</v>
      </c>
      <c r="K109" s="498">
        <f t="shared" si="10"/>
        <v>144.6352537549254</v>
      </c>
      <c r="L109" s="673"/>
      <c r="M109" s="508"/>
      <c r="N109" s="508"/>
      <c r="O109" s="508"/>
      <c r="P109" s="508"/>
      <c r="Q109" s="508"/>
      <c r="R109" s="508"/>
      <c r="S109" s="508"/>
    </row>
    <row r="110" spans="1:19" ht="45">
      <c r="A110" s="342" t="s">
        <v>890</v>
      </c>
      <c r="B110" s="528" t="s">
        <v>929</v>
      </c>
      <c r="C110" s="549">
        <f>'RICON-S-VS'!C90</f>
        <v>180</v>
      </c>
      <c r="D110" s="549">
        <f>'RICON-S-VS'!F90</f>
        <v>195.85472248368981</v>
      </c>
      <c r="E110" s="634">
        <f t="shared" si="8"/>
        <v>180</v>
      </c>
      <c r="F110" s="498">
        <f t="shared" si="9"/>
        <v>90.394487300164513</v>
      </c>
      <c r="G110" s="498">
        <f t="shared" si="9"/>
        <v>105.46023518352528</v>
      </c>
      <c r="H110" s="498">
        <f t="shared" si="9"/>
        <v>120.52598306688604</v>
      </c>
      <c r="I110" s="498">
        <f t="shared" si="9"/>
        <v>135.59173095024678</v>
      </c>
      <c r="J110" s="498">
        <f t="shared" si="10"/>
        <v>150.65747883360754</v>
      </c>
      <c r="K110" s="498">
        <f t="shared" si="10"/>
        <v>165.7232267169683</v>
      </c>
      <c r="L110" s="673"/>
      <c r="M110" s="508"/>
      <c r="N110" s="508"/>
      <c r="O110" s="508"/>
      <c r="P110" s="508"/>
      <c r="Q110" s="508"/>
      <c r="R110" s="508"/>
      <c r="S110" s="508"/>
    </row>
    <row r="111" spans="1:19">
      <c r="A111" s="502"/>
      <c r="B111" s="531"/>
      <c r="C111" s="508"/>
      <c r="D111" s="508"/>
      <c r="E111" s="508"/>
      <c r="F111" s="508"/>
      <c r="G111" s="508"/>
      <c r="H111" s="508"/>
      <c r="I111" s="508"/>
      <c r="J111" s="508"/>
      <c r="L111" s="502"/>
      <c r="M111" s="508"/>
      <c r="N111" s="508"/>
      <c r="O111" s="508"/>
      <c r="P111" s="508"/>
      <c r="Q111" s="508"/>
      <c r="R111" s="508"/>
      <c r="S111" s="508"/>
    </row>
    <row r="112" spans="1:19" ht="18">
      <c r="A112" s="502"/>
      <c r="B112" s="531"/>
      <c r="C112" s="709" t="s">
        <v>932</v>
      </c>
      <c r="D112" s="508"/>
      <c r="E112" s="508"/>
      <c r="F112" s="508"/>
      <c r="G112" s="508"/>
      <c r="H112" s="508"/>
      <c r="I112" s="508"/>
      <c r="J112" s="508"/>
      <c r="L112" s="502"/>
      <c r="M112" s="508"/>
      <c r="N112" s="508"/>
      <c r="O112" s="508"/>
      <c r="P112" s="508"/>
      <c r="Q112" s="508"/>
      <c r="R112" s="508"/>
      <c r="S112" s="508"/>
    </row>
    <row r="113" spans="1:19">
      <c r="A113" s="502"/>
      <c r="B113" s="531"/>
      <c r="C113" s="709" t="s">
        <v>930</v>
      </c>
      <c r="D113" s="508"/>
      <c r="E113" s="508"/>
      <c r="F113" s="508"/>
      <c r="G113" s="508"/>
      <c r="H113" s="508"/>
      <c r="I113" s="508"/>
      <c r="J113" s="508"/>
      <c r="L113" s="502"/>
      <c r="M113" s="508"/>
      <c r="N113" s="508"/>
      <c r="O113" s="508"/>
      <c r="P113" s="508"/>
      <c r="Q113" s="508"/>
      <c r="R113" s="508"/>
      <c r="S113" s="508"/>
    </row>
    <row r="114" spans="1:19">
      <c r="A114" s="502"/>
      <c r="B114" s="531"/>
      <c r="C114" s="709" t="s">
        <v>931</v>
      </c>
      <c r="D114" s="508"/>
      <c r="E114" s="508"/>
      <c r="F114" s="508"/>
      <c r="G114" s="508"/>
      <c r="H114" s="508"/>
      <c r="I114" s="508"/>
      <c r="J114" s="508"/>
      <c r="L114" s="502"/>
      <c r="M114" s="508"/>
      <c r="N114" s="508"/>
      <c r="O114" s="508"/>
      <c r="P114" s="508"/>
      <c r="Q114" s="508"/>
      <c r="R114" s="508"/>
      <c r="S114" s="508"/>
    </row>
    <row r="115" spans="1:19">
      <c r="A115" s="502"/>
      <c r="B115" s="531"/>
      <c r="C115" s="709" t="s">
        <v>933</v>
      </c>
      <c r="D115" s="508"/>
      <c r="E115" s="508"/>
      <c r="F115" s="508"/>
      <c r="G115" s="508"/>
      <c r="H115" s="508"/>
      <c r="I115" s="508"/>
      <c r="J115" s="508"/>
      <c r="L115" s="502"/>
      <c r="M115" s="508"/>
      <c r="N115" s="508"/>
      <c r="O115" s="508"/>
      <c r="P115" s="508"/>
      <c r="Q115" s="508"/>
      <c r="R115" s="508"/>
      <c r="S115" s="508"/>
    </row>
    <row r="116" spans="1:19" ht="18">
      <c r="A116" s="502"/>
      <c r="B116" s="531"/>
      <c r="C116" s="709" t="s">
        <v>934</v>
      </c>
      <c r="D116" s="508"/>
      <c r="E116" s="508"/>
      <c r="F116" s="508"/>
      <c r="G116" s="508"/>
      <c r="H116" s="508"/>
      <c r="I116" s="508"/>
      <c r="J116" s="508"/>
      <c r="L116" s="502"/>
      <c r="M116" s="508"/>
      <c r="N116" s="508"/>
      <c r="O116" s="508"/>
      <c r="P116" s="508"/>
      <c r="Q116" s="508"/>
      <c r="R116" s="508"/>
      <c r="S116" s="508"/>
    </row>
    <row r="117" spans="1:19">
      <c r="A117" s="502"/>
      <c r="B117" s="531"/>
      <c r="C117" s="709"/>
      <c r="D117" s="508"/>
      <c r="E117" s="508"/>
      <c r="F117" s="508"/>
      <c r="G117" s="508"/>
      <c r="H117" s="508"/>
      <c r="I117" s="508"/>
      <c r="J117" s="508"/>
      <c r="L117" s="502"/>
      <c r="M117" s="508"/>
      <c r="N117" s="508"/>
      <c r="O117" s="508"/>
      <c r="P117" s="508"/>
      <c r="Q117" s="508"/>
      <c r="R117" s="508"/>
      <c r="S117" s="508"/>
    </row>
    <row r="118" spans="1:19">
      <c r="A118" s="502"/>
      <c r="B118" s="531"/>
      <c r="C118" s="709"/>
      <c r="D118" s="508"/>
      <c r="E118" s="508"/>
      <c r="F118" s="508"/>
      <c r="G118" s="508"/>
      <c r="H118" s="508"/>
      <c r="I118" s="508"/>
      <c r="J118" s="508"/>
      <c r="L118" s="502"/>
      <c r="M118" s="508"/>
      <c r="N118" s="508"/>
      <c r="O118" s="508"/>
      <c r="P118" s="508"/>
      <c r="Q118" s="508"/>
      <c r="R118" s="508"/>
      <c r="S118" s="508"/>
    </row>
    <row r="119" spans="1:19">
      <c r="A119" s="502"/>
      <c r="B119" s="531"/>
      <c r="C119" s="709"/>
      <c r="D119" s="508"/>
      <c r="E119" s="508"/>
      <c r="F119" s="508"/>
      <c r="G119" s="508"/>
      <c r="H119" s="508"/>
      <c r="I119" s="508"/>
      <c r="J119" s="508"/>
      <c r="L119" s="502"/>
      <c r="M119" s="508"/>
      <c r="N119" s="508"/>
      <c r="O119" s="508"/>
      <c r="P119" s="508"/>
      <c r="Q119" s="508"/>
      <c r="R119" s="508"/>
      <c r="S119" s="508"/>
    </row>
    <row r="120" spans="1:19">
      <c r="A120" s="502"/>
      <c r="B120" s="531"/>
      <c r="C120" s="508"/>
      <c r="D120" s="508"/>
      <c r="E120" s="508"/>
      <c r="F120" s="508"/>
      <c r="G120" s="508"/>
      <c r="H120" s="508"/>
      <c r="I120" s="508"/>
      <c r="J120" s="508"/>
      <c r="L120" s="502"/>
      <c r="M120" s="508"/>
      <c r="N120" s="508"/>
      <c r="O120" s="508"/>
      <c r="P120" s="508"/>
      <c r="Q120" s="508"/>
      <c r="R120" s="508"/>
      <c r="S120" s="508"/>
    </row>
  </sheetData>
  <sheetProtection algorithmName="SHA-512" hashValue="2dhzFPL+TdhQpwT4N0zJ73uihGc/piVhz8IeWT7ug/AAjHd8LjYBQB0OM/5VVQNt8OGowCyUE/8kbY/w3sBO/Q==" saltValue="bE4Fmn1NSOTxYInnmecfaA==" spinCount="100000" sheet="1" objects="1" scenarios="1" selectLockedCells="1"/>
  <mergeCells count="26">
    <mergeCell ref="L77:S77"/>
    <mergeCell ref="C94:D94"/>
    <mergeCell ref="M94:N94"/>
    <mergeCell ref="O94:S94"/>
    <mergeCell ref="E94:E95"/>
    <mergeCell ref="F94:J94"/>
    <mergeCell ref="L57:M57"/>
    <mergeCell ref="N57:R57"/>
    <mergeCell ref="A1:K2"/>
    <mergeCell ref="H3:I3"/>
    <mergeCell ref="J3:K3"/>
    <mergeCell ref="L6:S6"/>
    <mergeCell ref="C21:D21"/>
    <mergeCell ref="M21:N21"/>
    <mergeCell ref="O21:S21"/>
    <mergeCell ref="F21:J21"/>
    <mergeCell ref="E21:E22"/>
    <mergeCell ref="K41:R41"/>
    <mergeCell ref="A38:K39"/>
    <mergeCell ref="A55:C55"/>
    <mergeCell ref="D55:H55"/>
    <mergeCell ref="A74:K75"/>
    <mergeCell ref="A92:C92"/>
    <mergeCell ref="C57:D57"/>
    <mergeCell ref="E57:E58"/>
    <mergeCell ref="F57:J57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8" orientation="portrait" horizontalDpi="1200" verticalDpi="1200" r:id="rId1"/>
  <headerFooter scaleWithDoc="0">
    <oddHeader>&amp;L&amp;G</oddHeader>
    <oddFooter>&amp;L&amp;G</oddFooter>
  </headerFooter>
  <rowBreaks count="2" manualBreakCount="2">
    <brk id="37" max="10" man="1"/>
    <brk id="73" max="10" man="1"/>
  </rowBreaks>
  <colBreaks count="1" manualBreakCount="1">
    <brk id="11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'RICON_RICON-S-EK_GIGANT_WALCO '!$V$7:$V$17</xm:f>
          </x14:formula1>
          <xm:sqref>E6 E77</xm:sqref>
        </x14:dataValidation>
        <x14:dataValidation type="list" allowBlank="1" showInputMessage="1" showErrorMessage="1" xr:uid="{00000000-0002-0000-0900-000001000000}">
          <x14:formula1>
            <xm:f>'RICON_RICON-S-EK_GIGANT_WALCO '!$V$21:$V$22</xm:f>
          </x14:formula1>
          <xm:sqref>E7 E78 E42</xm:sqref>
        </x14:dataValidation>
        <x14:dataValidation type="list" allowBlank="1" showInputMessage="1" showErrorMessage="1" xr:uid="{00000000-0002-0000-0900-000002000000}">
          <x14:formula1>
            <xm:f>'RICON_RICON-S-EK_GIGANT_WALCO '!$V$7:$V$16</xm:f>
          </x14:formula1>
          <xm:sqref>E41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73"/>
  <sheetViews>
    <sheetView showGridLines="0" showRowColHeaders="0" topLeftCell="C64" zoomScaleNormal="100" workbookViewId="0">
      <selection activeCell="P21" sqref="P21"/>
    </sheetView>
  </sheetViews>
  <sheetFormatPr baseColWidth="10" defaultRowHeight="15"/>
  <cols>
    <col min="1" max="1" width="29.5703125" customWidth="1"/>
    <col min="2" max="2" width="21.85546875" customWidth="1"/>
    <col min="10" max="10" width="12.28515625" customWidth="1"/>
    <col min="11" max="11" width="12.42578125" customWidth="1"/>
    <col min="13" max="13" width="12.28515625" customWidth="1"/>
    <col min="14" max="15" width="12.140625" customWidth="1"/>
    <col min="16" max="16" width="29.42578125" customWidth="1"/>
    <col min="22" max="22" width="14.5703125" customWidth="1"/>
    <col min="23" max="23" width="22" customWidth="1"/>
    <col min="26" max="26" width="16.28515625" customWidth="1"/>
    <col min="32" max="32" width="26.140625" customWidth="1"/>
    <col min="35" max="35" width="15" customWidth="1"/>
  </cols>
  <sheetData>
    <row r="1" spans="1:24" ht="26.25">
      <c r="A1" s="1" t="s">
        <v>0</v>
      </c>
      <c r="B1" s="1"/>
      <c r="R1" s="2"/>
      <c r="S1" s="2"/>
      <c r="T1" s="2"/>
      <c r="W1" s="247"/>
      <c r="X1" s="247"/>
    </row>
    <row r="2" spans="1:24">
      <c r="W2" s="247"/>
      <c r="X2" s="247"/>
    </row>
    <row r="3" spans="1:24" ht="18.75">
      <c r="A3" s="56" t="s">
        <v>275</v>
      </c>
      <c r="B3" s="56"/>
      <c r="R3" s="2"/>
      <c r="S3" s="2"/>
      <c r="T3" s="2"/>
      <c r="W3" s="247"/>
      <c r="X3" s="537"/>
    </row>
    <row r="4" spans="1:24">
      <c r="L4" t="s">
        <v>1</v>
      </c>
      <c r="M4" s="3"/>
      <c r="N4" s="3"/>
      <c r="O4" s="3"/>
      <c r="Q4" s="762"/>
      <c r="R4" s="762"/>
      <c r="S4" s="762"/>
      <c r="T4" s="762"/>
      <c r="W4" s="247"/>
      <c r="X4" s="537"/>
    </row>
    <row r="5" spans="1:24" ht="18">
      <c r="A5" s="4" t="s">
        <v>2</v>
      </c>
      <c r="B5" s="5" t="s">
        <v>291</v>
      </c>
      <c r="C5" s="5" t="s">
        <v>291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5" t="s">
        <v>9</v>
      </c>
      <c r="K5" s="5" t="s">
        <v>10</v>
      </c>
      <c r="L5" s="5" t="s">
        <v>11</v>
      </c>
      <c r="M5" s="5" t="s">
        <v>12</v>
      </c>
      <c r="N5" s="6" t="s">
        <v>13</v>
      </c>
      <c r="O5" s="280"/>
      <c r="P5" s="4" t="s">
        <v>2</v>
      </c>
      <c r="Q5" s="710" t="s">
        <v>14</v>
      </c>
      <c r="R5" s="711"/>
      <c r="S5" s="711"/>
      <c r="T5" s="711"/>
      <c r="U5" s="711"/>
      <c r="V5" s="712"/>
      <c r="W5" s="247"/>
      <c r="X5" s="537"/>
    </row>
    <row r="6" spans="1:24">
      <c r="A6" s="8"/>
      <c r="B6" s="9" t="s">
        <v>292</v>
      </c>
      <c r="C6" s="9" t="s">
        <v>293</v>
      </c>
      <c r="D6" s="9" t="s">
        <v>17</v>
      </c>
      <c r="E6" s="9" t="s">
        <v>18</v>
      </c>
      <c r="F6" s="9" t="s">
        <v>18</v>
      </c>
      <c r="G6" s="9" t="s">
        <v>19</v>
      </c>
      <c r="H6" s="9" t="s">
        <v>18</v>
      </c>
      <c r="I6" s="9" t="s">
        <v>18</v>
      </c>
      <c r="J6" s="9" t="s">
        <v>18</v>
      </c>
      <c r="K6" s="9" t="s">
        <v>17</v>
      </c>
      <c r="L6" s="9" t="s">
        <v>17</v>
      </c>
      <c r="M6" s="9" t="s">
        <v>17</v>
      </c>
      <c r="N6" s="10" t="s">
        <v>17</v>
      </c>
      <c r="O6" s="280"/>
      <c r="P6" s="8"/>
      <c r="Q6" s="11">
        <v>0.6</v>
      </c>
      <c r="R6" s="11">
        <v>0.7</v>
      </c>
      <c r="S6" s="11">
        <v>0.8</v>
      </c>
      <c r="T6" s="11">
        <v>0.9</v>
      </c>
      <c r="U6" s="11">
        <v>1</v>
      </c>
      <c r="V6" s="11">
        <v>1.1000000000000001</v>
      </c>
      <c r="W6" s="247"/>
      <c r="X6" s="537"/>
    </row>
    <row r="7" spans="1:24" ht="30">
      <c r="A7" s="281" t="s">
        <v>294</v>
      </c>
      <c r="B7" s="282">
        <v>80</v>
      </c>
      <c r="C7" s="282">
        <v>160</v>
      </c>
      <c r="D7" s="282">
        <v>9</v>
      </c>
      <c r="E7" s="283">
        <v>60</v>
      </c>
      <c r="F7" s="283">
        <f t="shared" ref="F7:F16" si="0">E7/2</f>
        <v>30</v>
      </c>
      <c r="G7" s="283">
        <f t="shared" ref="G7:G16" si="1">(2*E7)/(E7-F7)</f>
        <v>4</v>
      </c>
      <c r="H7" s="283">
        <f t="shared" ref="H7:H10" si="2">B7-10</f>
        <v>70</v>
      </c>
      <c r="I7" s="283">
        <f>C7-15</f>
        <v>145</v>
      </c>
      <c r="J7" s="283">
        <v>8</v>
      </c>
      <c r="K7" s="284">
        <f t="shared" ref="K7:K16" si="3">(0.52*SQRT(J7)*(H7)^0.9*$B$19^0.8)/1000</f>
        <v>7.8796178754106014</v>
      </c>
      <c r="L7" s="284">
        <f t="shared" ref="L7:L16" si="4">($K$18*0.52*SQRT(J7)*I7^0.9*$B$19^0.8)/1000</f>
        <v>9.1054072130615449</v>
      </c>
      <c r="M7" s="282">
        <v>23</v>
      </c>
      <c r="N7" s="285">
        <f t="shared" ref="N7:N16" si="5">G7*MIN(D7,K7,L7,M7)</f>
        <v>31.518471501642406</v>
      </c>
      <c r="O7" s="286"/>
      <c r="P7" s="281" t="s">
        <v>294</v>
      </c>
      <c r="Q7" s="287">
        <f t="shared" ref="Q7:V16" si="6">$G7*MIN($D7/1,$K7*Q$6/1.3,$L7*Q$6/1.3,$M7/1.25)</f>
        <v>14.546986846911878</v>
      </c>
      <c r="R7" s="287">
        <f t="shared" si="6"/>
        <v>16.971484654730524</v>
      </c>
      <c r="S7" s="287">
        <f t="shared" si="6"/>
        <v>19.395982462549174</v>
      </c>
      <c r="T7" s="287">
        <f t="shared" si="6"/>
        <v>21.82048027036782</v>
      </c>
      <c r="U7" s="287">
        <f t="shared" si="6"/>
        <v>24.244978078186467</v>
      </c>
      <c r="V7" s="287">
        <f t="shared" si="6"/>
        <v>26.669475886005113</v>
      </c>
      <c r="W7" s="247"/>
      <c r="X7" s="537"/>
    </row>
    <row r="8" spans="1:24" ht="30.75" thickBot="1">
      <c r="A8" s="288" t="s">
        <v>295</v>
      </c>
      <c r="B8" s="289">
        <v>80</v>
      </c>
      <c r="C8" s="289">
        <v>240</v>
      </c>
      <c r="D8" s="289">
        <v>9</v>
      </c>
      <c r="E8" s="290">
        <v>60</v>
      </c>
      <c r="F8" s="290">
        <f t="shared" si="0"/>
        <v>30</v>
      </c>
      <c r="G8" s="291">
        <f t="shared" si="1"/>
        <v>4</v>
      </c>
      <c r="H8" s="290">
        <f t="shared" si="2"/>
        <v>70</v>
      </c>
      <c r="I8" s="290">
        <f t="shared" ref="I8:I10" si="7">C8-15</f>
        <v>225</v>
      </c>
      <c r="J8" s="290">
        <v>8</v>
      </c>
      <c r="K8" s="292">
        <f t="shared" si="3"/>
        <v>7.8796178754106014</v>
      </c>
      <c r="L8" s="292">
        <f t="shared" si="4"/>
        <v>13.521735531614226</v>
      </c>
      <c r="M8" s="289">
        <v>23</v>
      </c>
      <c r="N8" s="293">
        <f t="shared" si="5"/>
        <v>31.518471501642406</v>
      </c>
      <c r="O8" s="286"/>
      <c r="P8" s="288" t="s">
        <v>295</v>
      </c>
      <c r="Q8" s="294">
        <f t="shared" si="6"/>
        <v>14.546986846911878</v>
      </c>
      <c r="R8" s="294">
        <f t="shared" si="6"/>
        <v>16.971484654730524</v>
      </c>
      <c r="S8" s="294">
        <f t="shared" si="6"/>
        <v>19.395982462549174</v>
      </c>
      <c r="T8" s="294">
        <f t="shared" si="6"/>
        <v>21.82048027036782</v>
      </c>
      <c r="U8" s="294">
        <f t="shared" si="6"/>
        <v>24.244978078186467</v>
      </c>
      <c r="V8" s="294">
        <f t="shared" si="6"/>
        <v>26.669475886005113</v>
      </c>
      <c r="W8" s="247"/>
      <c r="X8" s="537"/>
    </row>
    <row r="9" spans="1:24" ht="30.75" thickTop="1">
      <c r="A9" s="295" t="s">
        <v>296</v>
      </c>
      <c r="B9" s="296">
        <v>80</v>
      </c>
      <c r="C9" s="296">
        <v>160</v>
      </c>
      <c r="D9" s="296">
        <v>9</v>
      </c>
      <c r="E9" s="297">
        <v>120</v>
      </c>
      <c r="F9" s="297">
        <f t="shared" si="0"/>
        <v>60</v>
      </c>
      <c r="G9" s="297">
        <f t="shared" si="1"/>
        <v>4</v>
      </c>
      <c r="H9" s="297">
        <f t="shared" si="2"/>
        <v>70</v>
      </c>
      <c r="I9" s="297">
        <f t="shared" si="7"/>
        <v>145</v>
      </c>
      <c r="J9" s="297">
        <v>8</v>
      </c>
      <c r="K9" s="298">
        <f t="shared" si="3"/>
        <v>7.8796178754106014</v>
      </c>
      <c r="L9" s="298">
        <f t="shared" si="4"/>
        <v>9.1054072130615449</v>
      </c>
      <c r="M9" s="296">
        <v>23</v>
      </c>
      <c r="N9" s="299">
        <f t="shared" si="5"/>
        <v>31.518471501642406</v>
      </c>
      <c r="O9" s="286"/>
      <c r="P9" s="295" t="s">
        <v>296</v>
      </c>
      <c r="Q9" s="300">
        <f t="shared" si="6"/>
        <v>14.546986846911878</v>
      </c>
      <c r="R9" s="300">
        <f t="shared" si="6"/>
        <v>16.971484654730524</v>
      </c>
      <c r="S9" s="300">
        <f t="shared" si="6"/>
        <v>19.395982462549174</v>
      </c>
      <c r="T9" s="300">
        <f t="shared" si="6"/>
        <v>21.82048027036782</v>
      </c>
      <c r="U9" s="300">
        <f t="shared" si="6"/>
        <v>24.244978078186467</v>
      </c>
      <c r="V9" s="300">
        <f t="shared" si="6"/>
        <v>26.669475886005113</v>
      </c>
      <c r="W9" s="247"/>
      <c r="X9" s="537"/>
    </row>
    <row r="10" spans="1:24" ht="30.75" thickBot="1">
      <c r="A10" s="288" t="s">
        <v>297</v>
      </c>
      <c r="B10" s="289">
        <v>80</v>
      </c>
      <c r="C10" s="289">
        <v>240</v>
      </c>
      <c r="D10" s="289">
        <v>9</v>
      </c>
      <c r="E10" s="290">
        <v>120</v>
      </c>
      <c r="F10" s="290">
        <f t="shared" si="0"/>
        <v>60</v>
      </c>
      <c r="G10" s="291">
        <f t="shared" si="1"/>
        <v>4</v>
      </c>
      <c r="H10" s="290">
        <f t="shared" si="2"/>
        <v>70</v>
      </c>
      <c r="I10" s="290">
        <f t="shared" si="7"/>
        <v>225</v>
      </c>
      <c r="J10" s="290">
        <v>8</v>
      </c>
      <c r="K10" s="292">
        <f t="shared" si="3"/>
        <v>7.8796178754106014</v>
      </c>
      <c r="L10" s="292">
        <f t="shared" si="4"/>
        <v>13.521735531614226</v>
      </c>
      <c r="M10" s="289">
        <v>23</v>
      </c>
      <c r="N10" s="293">
        <f t="shared" si="5"/>
        <v>31.518471501642406</v>
      </c>
      <c r="O10" s="286"/>
      <c r="P10" s="288" t="s">
        <v>297</v>
      </c>
      <c r="Q10" s="294">
        <f t="shared" si="6"/>
        <v>14.546986846911878</v>
      </c>
      <c r="R10" s="294">
        <f t="shared" si="6"/>
        <v>16.971484654730524</v>
      </c>
      <c r="S10" s="294">
        <f t="shared" si="6"/>
        <v>19.395982462549174</v>
      </c>
      <c r="T10" s="294">
        <f t="shared" si="6"/>
        <v>21.82048027036782</v>
      </c>
      <c r="U10" s="294">
        <f t="shared" si="6"/>
        <v>24.244978078186467</v>
      </c>
      <c r="V10" s="294">
        <f t="shared" si="6"/>
        <v>26.669475886005113</v>
      </c>
      <c r="W10" s="247"/>
      <c r="X10" s="537"/>
    </row>
    <row r="11" spans="1:24" ht="30.75" thickTop="1">
      <c r="A11" s="295" t="s">
        <v>299</v>
      </c>
      <c r="B11" s="296">
        <v>100</v>
      </c>
      <c r="C11" s="296">
        <v>200</v>
      </c>
      <c r="D11" s="296">
        <v>9</v>
      </c>
      <c r="E11" s="297">
        <v>120</v>
      </c>
      <c r="F11" s="297">
        <f t="shared" si="0"/>
        <v>60</v>
      </c>
      <c r="G11" s="297">
        <f t="shared" si="1"/>
        <v>4</v>
      </c>
      <c r="H11" s="297">
        <f>B11-15</f>
        <v>85</v>
      </c>
      <c r="I11" s="297">
        <f>C11-20</f>
        <v>180</v>
      </c>
      <c r="J11" s="297">
        <v>10</v>
      </c>
      <c r="K11" s="298">
        <f t="shared" si="3"/>
        <v>10.491774806064372</v>
      </c>
      <c r="L11" s="298">
        <f t="shared" si="4"/>
        <v>12.367115938864831</v>
      </c>
      <c r="M11" s="296">
        <v>32</v>
      </c>
      <c r="N11" s="299">
        <f t="shared" si="5"/>
        <v>36</v>
      </c>
      <c r="O11" s="286"/>
      <c r="P11" s="295" t="s">
        <v>299</v>
      </c>
      <c r="Q11" s="300">
        <f t="shared" si="6"/>
        <v>19.369430411195761</v>
      </c>
      <c r="R11" s="300">
        <f t="shared" si="6"/>
        <v>22.597668813061723</v>
      </c>
      <c r="S11" s="300">
        <f t="shared" si="6"/>
        <v>25.825907214927689</v>
      </c>
      <c r="T11" s="300">
        <f t="shared" si="6"/>
        <v>29.054145616793647</v>
      </c>
      <c r="U11" s="300">
        <f t="shared" si="6"/>
        <v>32.282384018659606</v>
      </c>
      <c r="V11" s="300">
        <f t="shared" si="6"/>
        <v>35.510622420525571</v>
      </c>
      <c r="W11" s="247"/>
      <c r="X11" s="537"/>
    </row>
    <row r="12" spans="1:24" ht="30.75" thickBot="1">
      <c r="A12" s="288" t="s">
        <v>301</v>
      </c>
      <c r="B12" s="289">
        <v>100</v>
      </c>
      <c r="C12" s="289">
        <v>300</v>
      </c>
      <c r="D12" s="289">
        <v>9</v>
      </c>
      <c r="E12" s="290">
        <v>120</v>
      </c>
      <c r="F12" s="290">
        <f t="shared" si="0"/>
        <v>60</v>
      </c>
      <c r="G12" s="291">
        <f t="shared" si="1"/>
        <v>4</v>
      </c>
      <c r="H12" s="290">
        <f t="shared" ref="H12:H16" si="8">B12-15</f>
        <v>85</v>
      </c>
      <c r="I12" s="290">
        <f t="shared" ref="I12:I16" si="9">C12-20</f>
        <v>280</v>
      </c>
      <c r="J12" s="290">
        <v>10</v>
      </c>
      <c r="K12" s="292">
        <f t="shared" si="3"/>
        <v>10.491774806064372</v>
      </c>
      <c r="L12" s="292">
        <f t="shared" si="4"/>
        <v>18.406253787508255</v>
      </c>
      <c r="M12" s="289">
        <v>32</v>
      </c>
      <c r="N12" s="293">
        <f t="shared" si="5"/>
        <v>36</v>
      </c>
      <c r="O12" s="286"/>
      <c r="P12" s="288" t="s">
        <v>301</v>
      </c>
      <c r="Q12" s="294">
        <f t="shared" si="6"/>
        <v>19.369430411195761</v>
      </c>
      <c r="R12" s="294">
        <f t="shared" si="6"/>
        <v>22.597668813061723</v>
      </c>
      <c r="S12" s="294">
        <f t="shared" si="6"/>
        <v>25.825907214927689</v>
      </c>
      <c r="T12" s="294">
        <f t="shared" si="6"/>
        <v>29.054145616793647</v>
      </c>
      <c r="U12" s="294">
        <f t="shared" si="6"/>
        <v>32.282384018659606</v>
      </c>
      <c r="V12" s="294">
        <f t="shared" si="6"/>
        <v>35.510622420525571</v>
      </c>
      <c r="W12" s="247"/>
      <c r="X12" s="537"/>
    </row>
    <row r="13" spans="1:24" ht="30.75" thickTop="1">
      <c r="A13" s="295" t="s">
        <v>303</v>
      </c>
      <c r="B13" s="296">
        <v>100</v>
      </c>
      <c r="C13" s="296">
        <v>200</v>
      </c>
      <c r="D13" s="296">
        <v>9</v>
      </c>
      <c r="E13" s="297">
        <v>210</v>
      </c>
      <c r="F13" s="297">
        <f t="shared" si="0"/>
        <v>105</v>
      </c>
      <c r="G13" s="297">
        <f t="shared" si="1"/>
        <v>4</v>
      </c>
      <c r="H13" s="297">
        <f t="shared" si="8"/>
        <v>85</v>
      </c>
      <c r="I13" s="297">
        <f t="shared" si="9"/>
        <v>180</v>
      </c>
      <c r="J13" s="297">
        <v>10</v>
      </c>
      <c r="K13" s="298">
        <f t="shared" si="3"/>
        <v>10.491774806064372</v>
      </c>
      <c r="L13" s="298">
        <f t="shared" si="4"/>
        <v>12.367115938864831</v>
      </c>
      <c r="M13" s="296">
        <v>32</v>
      </c>
      <c r="N13" s="299">
        <f t="shared" si="5"/>
        <v>36</v>
      </c>
      <c r="O13" s="286"/>
      <c r="P13" s="295" t="s">
        <v>303</v>
      </c>
      <c r="Q13" s="300">
        <f t="shared" si="6"/>
        <v>19.369430411195761</v>
      </c>
      <c r="R13" s="300">
        <f t="shared" si="6"/>
        <v>22.597668813061723</v>
      </c>
      <c r="S13" s="300">
        <f t="shared" si="6"/>
        <v>25.825907214927689</v>
      </c>
      <c r="T13" s="300">
        <f t="shared" si="6"/>
        <v>29.054145616793647</v>
      </c>
      <c r="U13" s="300">
        <f t="shared" si="6"/>
        <v>32.282384018659606</v>
      </c>
      <c r="V13" s="300">
        <f t="shared" si="6"/>
        <v>35.510622420525571</v>
      </c>
      <c r="W13" s="247"/>
      <c r="X13" s="105"/>
    </row>
    <row r="14" spans="1:24" ht="30.75" thickBot="1">
      <c r="A14" s="288" t="s">
        <v>304</v>
      </c>
      <c r="B14" s="289">
        <v>100</v>
      </c>
      <c r="C14" s="289">
        <v>300</v>
      </c>
      <c r="D14" s="289">
        <v>9</v>
      </c>
      <c r="E14" s="290">
        <v>210</v>
      </c>
      <c r="F14" s="290">
        <f t="shared" si="0"/>
        <v>105</v>
      </c>
      <c r="G14" s="291">
        <f t="shared" si="1"/>
        <v>4</v>
      </c>
      <c r="H14" s="290">
        <f t="shared" si="8"/>
        <v>85</v>
      </c>
      <c r="I14" s="290">
        <f t="shared" si="9"/>
        <v>280</v>
      </c>
      <c r="J14" s="290">
        <v>10</v>
      </c>
      <c r="K14" s="292">
        <f t="shared" si="3"/>
        <v>10.491774806064372</v>
      </c>
      <c r="L14" s="292">
        <f t="shared" si="4"/>
        <v>18.406253787508255</v>
      </c>
      <c r="M14" s="289">
        <v>32</v>
      </c>
      <c r="N14" s="293">
        <f t="shared" si="5"/>
        <v>36</v>
      </c>
      <c r="O14" s="286"/>
      <c r="P14" s="288" t="s">
        <v>304</v>
      </c>
      <c r="Q14" s="294">
        <f t="shared" si="6"/>
        <v>19.369430411195761</v>
      </c>
      <c r="R14" s="294">
        <f t="shared" si="6"/>
        <v>22.597668813061723</v>
      </c>
      <c r="S14" s="294">
        <f t="shared" si="6"/>
        <v>25.825907214927689</v>
      </c>
      <c r="T14" s="294">
        <f t="shared" si="6"/>
        <v>29.054145616793647</v>
      </c>
      <c r="U14" s="294">
        <f t="shared" si="6"/>
        <v>32.282384018659606</v>
      </c>
      <c r="V14" s="294">
        <f t="shared" si="6"/>
        <v>35.510622420525571</v>
      </c>
      <c r="W14" s="247"/>
      <c r="X14" s="105"/>
    </row>
    <row r="15" spans="1:24" ht="30.75" thickTop="1">
      <c r="A15" s="295" t="s">
        <v>305</v>
      </c>
      <c r="B15" s="282">
        <v>100</v>
      </c>
      <c r="C15" s="282">
        <v>200</v>
      </c>
      <c r="D15" s="296">
        <v>9</v>
      </c>
      <c r="E15" s="297">
        <v>270</v>
      </c>
      <c r="F15" s="297">
        <f t="shared" si="0"/>
        <v>135</v>
      </c>
      <c r="G15" s="297">
        <f t="shared" si="1"/>
        <v>4</v>
      </c>
      <c r="H15" s="297">
        <f t="shared" si="8"/>
        <v>85</v>
      </c>
      <c r="I15" s="297">
        <f t="shared" si="9"/>
        <v>180</v>
      </c>
      <c r="J15" s="297">
        <v>10</v>
      </c>
      <c r="K15" s="298">
        <f t="shared" si="3"/>
        <v>10.491774806064372</v>
      </c>
      <c r="L15" s="298">
        <f t="shared" si="4"/>
        <v>12.367115938864831</v>
      </c>
      <c r="M15" s="296">
        <v>32</v>
      </c>
      <c r="N15" s="299">
        <f t="shared" si="5"/>
        <v>36</v>
      </c>
      <c r="O15" s="286"/>
      <c r="P15" s="295" t="s">
        <v>305</v>
      </c>
      <c r="Q15" s="300">
        <f t="shared" si="6"/>
        <v>19.369430411195761</v>
      </c>
      <c r="R15" s="300">
        <f t="shared" si="6"/>
        <v>22.597668813061723</v>
      </c>
      <c r="S15" s="300">
        <f t="shared" si="6"/>
        <v>25.825907214927689</v>
      </c>
      <c r="T15" s="300">
        <f t="shared" si="6"/>
        <v>29.054145616793647</v>
      </c>
      <c r="U15" s="300">
        <f t="shared" si="6"/>
        <v>32.282384018659606</v>
      </c>
      <c r="V15" s="300">
        <f t="shared" si="6"/>
        <v>35.510622420525571</v>
      </c>
      <c r="W15" s="247"/>
      <c r="X15" s="105"/>
    </row>
    <row r="16" spans="1:24" ht="47.25" customHeight="1">
      <c r="A16" s="302" t="s">
        <v>306</v>
      </c>
      <c r="B16" s="303">
        <v>100</v>
      </c>
      <c r="C16" s="303">
        <v>300</v>
      </c>
      <c r="D16" s="303">
        <v>9</v>
      </c>
      <c r="E16" s="63">
        <v>270</v>
      </c>
      <c r="F16" s="63">
        <f t="shared" si="0"/>
        <v>135</v>
      </c>
      <c r="G16" s="304">
        <f t="shared" si="1"/>
        <v>4</v>
      </c>
      <c r="H16" s="63">
        <f t="shared" si="8"/>
        <v>85</v>
      </c>
      <c r="I16" s="63">
        <f t="shared" si="9"/>
        <v>280</v>
      </c>
      <c r="J16" s="63">
        <v>10</v>
      </c>
      <c r="K16" s="305">
        <f t="shared" si="3"/>
        <v>10.491774806064372</v>
      </c>
      <c r="L16" s="305">
        <f t="shared" si="4"/>
        <v>18.406253787508255</v>
      </c>
      <c r="M16" s="303">
        <v>32</v>
      </c>
      <c r="N16" s="306">
        <f t="shared" si="5"/>
        <v>36</v>
      </c>
      <c r="O16" s="307"/>
      <c r="P16" s="302" t="s">
        <v>306</v>
      </c>
      <c r="Q16" s="308">
        <f t="shared" si="6"/>
        <v>19.369430411195761</v>
      </c>
      <c r="R16" s="308">
        <f t="shared" si="6"/>
        <v>22.597668813061723</v>
      </c>
      <c r="S16" s="308">
        <f t="shared" si="6"/>
        <v>25.825907214927689</v>
      </c>
      <c r="T16" s="308">
        <f t="shared" si="6"/>
        <v>29.054145616793647</v>
      </c>
      <c r="U16" s="308">
        <f t="shared" si="6"/>
        <v>32.282384018659606</v>
      </c>
      <c r="V16" s="308">
        <f t="shared" si="6"/>
        <v>35.510622420525571</v>
      </c>
      <c r="W16" s="247"/>
      <c r="X16" s="105"/>
    </row>
    <row r="17" spans="1:22">
      <c r="J17" s="23" t="s">
        <v>307</v>
      </c>
      <c r="K17" s="14">
        <v>0</v>
      </c>
      <c r="R17" s="2"/>
      <c r="S17" s="2"/>
      <c r="T17" s="2"/>
      <c r="V17" s="301"/>
    </row>
    <row r="18" spans="1:22">
      <c r="A18" s="21" t="s">
        <v>37</v>
      </c>
      <c r="B18" s="550" t="str">
        <f>B26</f>
        <v>GL24h</v>
      </c>
      <c r="J18" s="23" t="s">
        <v>308</v>
      </c>
      <c r="K18" s="309">
        <v>0.6</v>
      </c>
      <c r="R18" s="2"/>
      <c r="S18" s="2"/>
      <c r="T18" s="2"/>
    </row>
    <row r="19" spans="1:22" ht="18">
      <c r="A19" s="23" t="s">
        <v>39</v>
      </c>
      <c r="B19" s="188">
        <f>VLOOKUP(B18,'RICON_RICON-S-EK_GIGANT_WALCO '!V7:W16,2,FALSE)</f>
        <v>385</v>
      </c>
      <c r="C19" t="s">
        <v>40</v>
      </c>
      <c r="R19" s="2"/>
      <c r="S19" s="2"/>
      <c r="T19" s="2"/>
    </row>
    <row r="20" spans="1:22">
      <c r="R20" s="2"/>
      <c r="S20" s="2"/>
      <c r="T20" s="2"/>
    </row>
    <row r="22" spans="1:22" ht="26.25">
      <c r="A22" s="1" t="s">
        <v>57</v>
      </c>
      <c r="B22" s="1"/>
    </row>
    <row r="24" spans="1:22" ht="18.75">
      <c r="A24" s="56" t="s">
        <v>275</v>
      </c>
      <c r="B24" s="56"/>
      <c r="E24" s="232"/>
      <c r="R24" s="2"/>
      <c r="S24" s="2"/>
      <c r="T24" s="2"/>
    </row>
    <row r="25" spans="1:22" ht="18.75">
      <c r="A25" s="56"/>
      <c r="B25" s="56"/>
      <c r="E25" s="232"/>
      <c r="R25" s="2"/>
      <c r="S25" s="2"/>
      <c r="T25" s="2"/>
    </row>
    <row r="26" spans="1:22">
      <c r="A26" s="21" t="s">
        <v>37</v>
      </c>
      <c r="B26" t="str">
        <f>'Load bearing values_RICON-S_EN'!E77</f>
        <v>GL24h</v>
      </c>
      <c r="D26" s="232"/>
      <c r="R26" s="2"/>
      <c r="S26" s="2"/>
      <c r="T26" s="2"/>
    </row>
    <row r="27" spans="1:22">
      <c r="A27" s="23" t="s">
        <v>309</v>
      </c>
      <c r="B27" s="24">
        <f>VLOOKUP(B26,'RICON_RICON-S-EK_GIGANT_WALCO '!V7:W17,2,FALSE)</f>
        <v>385</v>
      </c>
      <c r="C27" t="s">
        <v>40</v>
      </c>
      <c r="R27" s="2"/>
      <c r="S27" s="2"/>
      <c r="T27" s="2"/>
    </row>
    <row r="28" spans="1:22" ht="18">
      <c r="A28" s="23" t="s">
        <v>62</v>
      </c>
      <c r="B28" s="24">
        <v>35000</v>
      </c>
      <c r="C28" s="24">
        <v>20000</v>
      </c>
      <c r="D28" t="s">
        <v>63</v>
      </c>
      <c r="R28" s="2"/>
      <c r="S28" s="2"/>
      <c r="T28" s="2"/>
    </row>
    <row r="29" spans="1:22">
      <c r="A29" s="23" t="s">
        <v>64</v>
      </c>
      <c r="B29" s="24">
        <v>10</v>
      </c>
      <c r="C29" s="24">
        <v>8</v>
      </c>
      <c r="D29" t="s">
        <v>65</v>
      </c>
      <c r="R29" s="2"/>
      <c r="S29" s="2"/>
      <c r="T29" s="2"/>
    </row>
    <row r="30" spans="1:22" ht="18">
      <c r="A30" s="23" t="s">
        <v>66</v>
      </c>
      <c r="B30" s="76">
        <f>0.033*$B$29^-0.3*$B$27</f>
        <v>6.3675838032344938</v>
      </c>
      <c r="C30" s="76">
        <f>0.033*$C$29^-0.3*$B$27</f>
        <v>6.808440920761802</v>
      </c>
      <c r="D30" t="s">
        <v>67</v>
      </c>
      <c r="R30" s="2"/>
      <c r="S30" s="2"/>
      <c r="T30" s="2"/>
    </row>
    <row r="31" spans="1:22" ht="18">
      <c r="A31" s="23" t="s">
        <v>68</v>
      </c>
      <c r="B31" s="76">
        <f>0.082*$B$29^-0.3*$B$27</f>
        <v>15.822480965612984</v>
      </c>
      <c r="C31" s="76">
        <f>0.082*$C$29^-0.3*$B$27</f>
        <v>16.917944106135387</v>
      </c>
      <c r="D31" t="s">
        <v>67</v>
      </c>
      <c r="R31" s="2"/>
      <c r="S31" s="2"/>
      <c r="T31" s="2"/>
    </row>
    <row r="32" spans="1:22">
      <c r="R32" s="2"/>
      <c r="S32" s="2"/>
      <c r="T32" s="2"/>
    </row>
    <row r="33" spans="1:39">
      <c r="A33" s="3"/>
      <c r="B33" s="3"/>
      <c r="E33" s="232"/>
      <c r="R33" s="2"/>
      <c r="S33" s="2"/>
      <c r="T33" s="2"/>
    </row>
    <row r="34" spans="1:39">
      <c r="A34" s="3"/>
      <c r="B34" s="3"/>
      <c r="R34" s="2"/>
      <c r="S34" s="2"/>
      <c r="T34" s="2"/>
    </row>
    <row r="35" spans="1:39" ht="18">
      <c r="A35" s="4" t="s">
        <v>2</v>
      </c>
      <c r="B35" s="5" t="s">
        <v>291</v>
      </c>
      <c r="C35" s="5" t="s">
        <v>43</v>
      </c>
      <c r="D35" s="5" t="s">
        <v>9</v>
      </c>
      <c r="E35" s="5" t="s">
        <v>44</v>
      </c>
      <c r="F35" s="5" t="s">
        <v>277</v>
      </c>
      <c r="G35" s="180" t="s">
        <v>278</v>
      </c>
      <c r="H35" s="5" t="s">
        <v>61</v>
      </c>
      <c r="J35" s="105"/>
      <c r="L35" s="105"/>
      <c r="R35" s="2"/>
      <c r="S35" s="2"/>
      <c r="T35" s="2"/>
    </row>
    <row r="36" spans="1:39">
      <c r="A36" s="8"/>
      <c r="B36" s="9" t="s">
        <v>293</v>
      </c>
      <c r="C36" s="9" t="s">
        <v>19</v>
      </c>
      <c r="D36" s="9" t="s">
        <v>18</v>
      </c>
      <c r="E36" s="9" t="s">
        <v>18</v>
      </c>
      <c r="F36" s="9" t="s">
        <v>17</v>
      </c>
      <c r="G36" s="182" t="s">
        <v>17</v>
      </c>
      <c r="H36" s="62" t="s">
        <v>17</v>
      </c>
      <c r="J36" s="105"/>
      <c r="L36" s="105"/>
      <c r="R36" s="2"/>
      <c r="S36" s="2"/>
      <c r="T36" s="2"/>
    </row>
    <row r="37" spans="1:39" ht="18">
      <c r="A37" s="233" t="s">
        <v>279</v>
      </c>
      <c r="B37" s="235">
        <v>160</v>
      </c>
      <c r="C37" s="234">
        <v>7</v>
      </c>
      <c r="D37" s="234">
        <v>8</v>
      </c>
      <c r="E37" s="310">
        <f>B37-15</f>
        <v>145</v>
      </c>
      <c r="F37" s="310">
        <f t="shared" ref="F37:F51" si="10">($F$53*0.52*SQRT(D37)*E37^0.9*$B$27^0.8)/1000</f>
        <v>9.1054072130615449</v>
      </c>
      <c r="G37" s="310">
        <f t="shared" ref="G37:G42" si="11">MIN($C$29*$C$30*E37/1000,(2.3*SQRT($C$28*$C$29*$C$30))/1000+(F37/4),$C$29*$C$30*E37/1000*(SQRT(2+4*$C$28/($C$29*$C$30*E37^2))-1)+F37/4)</f>
        <v>4.6769068214503031</v>
      </c>
      <c r="H37" s="236">
        <f t="shared" ref="H37" si="12">C37^0.9*G37</f>
        <v>26.949266771153084</v>
      </c>
      <c r="I37" s="238" t="s">
        <v>310</v>
      </c>
      <c r="J37" s="621"/>
      <c r="L37" s="621"/>
      <c r="R37" s="2"/>
      <c r="S37" s="2"/>
      <c r="T37" s="2"/>
    </row>
    <row r="38" spans="1:39" ht="18">
      <c r="A38" s="233" t="s">
        <v>758</v>
      </c>
      <c r="B38" s="235">
        <v>160</v>
      </c>
      <c r="C38" s="234">
        <v>10</v>
      </c>
      <c r="D38" s="234">
        <v>8</v>
      </c>
      <c r="E38" s="310">
        <f t="shared" ref="E38:E42" si="13">B38-15</f>
        <v>145</v>
      </c>
      <c r="F38" s="310">
        <f t="shared" si="10"/>
        <v>9.1054072130615449</v>
      </c>
      <c r="G38" s="310">
        <f t="shared" si="11"/>
        <v>4.6769068214503031</v>
      </c>
      <c r="H38" s="236">
        <f t="shared" ref="H38:H51" si="14">C38^0.9*G38</f>
        <v>37.149991394525706</v>
      </c>
      <c r="I38" s="238" t="s">
        <v>310</v>
      </c>
      <c r="J38" s="190"/>
      <c r="L38" s="311"/>
      <c r="R38" s="2"/>
      <c r="S38" s="2"/>
      <c r="T38" s="2"/>
    </row>
    <row r="39" spans="1:39" ht="18.75" thickBot="1">
      <c r="A39" s="237" t="s">
        <v>280</v>
      </c>
      <c r="B39" s="228">
        <v>240</v>
      </c>
      <c r="C39" s="229">
        <v>10</v>
      </c>
      <c r="D39" s="229">
        <v>8</v>
      </c>
      <c r="E39" s="312">
        <f t="shared" si="13"/>
        <v>225</v>
      </c>
      <c r="F39" s="312">
        <f t="shared" si="10"/>
        <v>13.521735531614226</v>
      </c>
      <c r="G39" s="312">
        <f t="shared" si="11"/>
        <v>5.7809889010884739</v>
      </c>
      <c r="H39" s="230">
        <f t="shared" si="14"/>
        <v>45.920027087622728</v>
      </c>
      <c r="I39" s="238" t="s">
        <v>310</v>
      </c>
      <c r="J39" s="190"/>
      <c r="L39" s="311"/>
      <c r="R39" s="2"/>
      <c r="S39" s="2"/>
      <c r="T39" s="2"/>
    </row>
    <row r="40" spans="1:39" ht="18.75" thickTop="1">
      <c r="A40" s="239" t="s">
        <v>281</v>
      </c>
      <c r="B40" s="241">
        <v>160</v>
      </c>
      <c r="C40" s="240">
        <v>8</v>
      </c>
      <c r="D40" s="240">
        <v>8</v>
      </c>
      <c r="E40" s="313">
        <f t="shared" ref="E40" si="15">B40-15</f>
        <v>145</v>
      </c>
      <c r="F40" s="313">
        <f t="shared" si="10"/>
        <v>9.1054072130615449</v>
      </c>
      <c r="G40" s="313">
        <f t="shared" si="11"/>
        <v>4.6769068214503031</v>
      </c>
      <c r="H40" s="242">
        <f t="shared" ref="H40" si="16">C40^0.9*G40</f>
        <v>30.390630186062658</v>
      </c>
      <c r="I40" s="238" t="s">
        <v>310</v>
      </c>
      <c r="J40" s="190"/>
      <c r="L40" s="311"/>
      <c r="R40" s="2"/>
      <c r="S40" s="2"/>
      <c r="T40" s="2"/>
    </row>
    <row r="41" spans="1:39" ht="18">
      <c r="A41" s="239" t="s">
        <v>759</v>
      </c>
      <c r="B41" s="241">
        <v>160</v>
      </c>
      <c r="C41" s="240">
        <v>16</v>
      </c>
      <c r="D41" s="240">
        <v>8</v>
      </c>
      <c r="E41" s="313">
        <f t="shared" si="13"/>
        <v>145</v>
      </c>
      <c r="F41" s="313">
        <f t="shared" si="10"/>
        <v>9.1054072130615449</v>
      </c>
      <c r="G41" s="313">
        <f t="shared" si="11"/>
        <v>4.6769068214503031</v>
      </c>
      <c r="H41" s="242">
        <f t="shared" si="14"/>
        <v>56.710921194381697</v>
      </c>
      <c r="I41" s="238" t="s">
        <v>310</v>
      </c>
      <c r="J41" s="314"/>
      <c r="L41" s="315"/>
      <c r="R41" s="2"/>
      <c r="S41" s="2"/>
      <c r="T41" s="2"/>
    </row>
    <row r="42" spans="1:39" ht="18.75" thickBot="1">
      <c r="A42" s="237" t="s">
        <v>282</v>
      </c>
      <c r="B42" s="228">
        <v>240</v>
      </c>
      <c r="C42" s="229">
        <v>16</v>
      </c>
      <c r="D42" s="229">
        <v>8</v>
      </c>
      <c r="E42" s="312">
        <f t="shared" si="13"/>
        <v>225</v>
      </c>
      <c r="F42" s="312">
        <f t="shared" si="10"/>
        <v>13.521735531614226</v>
      </c>
      <c r="G42" s="312">
        <f t="shared" si="11"/>
        <v>5.7809889010884739</v>
      </c>
      <c r="H42" s="230">
        <f t="shared" si="14"/>
        <v>70.098725185540317</v>
      </c>
      <c r="I42" s="238" t="s">
        <v>310</v>
      </c>
      <c r="J42" s="314"/>
      <c r="L42" s="315"/>
      <c r="R42" s="2"/>
      <c r="S42" s="2"/>
      <c r="T42" s="2"/>
    </row>
    <row r="43" spans="1:39" ht="18.75" thickTop="1">
      <c r="A43" s="239" t="s">
        <v>283</v>
      </c>
      <c r="B43" s="241">
        <v>200</v>
      </c>
      <c r="C43" s="240">
        <v>8</v>
      </c>
      <c r="D43" s="240">
        <v>10</v>
      </c>
      <c r="E43" s="313">
        <f t="shared" ref="E43:E49" si="17">B43-20</f>
        <v>180</v>
      </c>
      <c r="F43" s="313">
        <f t="shared" si="10"/>
        <v>12.367115938864831</v>
      </c>
      <c r="G43" s="313">
        <f t="shared" ref="G43" si="18">MIN($B$29*$B$30*E43/1000,(2.3*SQRT($B$28*$B$29*$B$30))/1000+(F43/4),$B$29*$B$30*E43/1000*(SQRT(2+4*$B$28/($B$29*$B$30*E43^2))-1)+F43/4)</f>
        <v>6.5253749731354436</v>
      </c>
      <c r="H43" s="242">
        <f t="shared" ref="H43" si="19">C43^0.9*G43</f>
        <v>42.402011672418155</v>
      </c>
      <c r="I43" s="238" t="s">
        <v>310</v>
      </c>
      <c r="J43" s="314"/>
      <c r="L43" s="315"/>
      <c r="R43" s="2"/>
      <c r="S43" s="2"/>
      <c r="T43" s="2"/>
    </row>
    <row r="44" spans="1:39" ht="18">
      <c r="A44" s="239" t="s">
        <v>760</v>
      </c>
      <c r="B44" s="241">
        <v>200</v>
      </c>
      <c r="C44" s="240">
        <v>16</v>
      </c>
      <c r="D44" s="240">
        <v>10</v>
      </c>
      <c r="E44" s="313">
        <f t="shared" si="17"/>
        <v>180</v>
      </c>
      <c r="F44" s="313">
        <f t="shared" si="10"/>
        <v>12.367115938864831</v>
      </c>
      <c r="G44" s="313">
        <f t="shared" ref="G44:G51" si="20">MIN($B$29*$B$30*E44/1000,(2.3*SQRT($B$28*$B$29*$B$30))/1000+(F44/4),$B$29*$B$30*E44/1000*(SQRT(2+4*$B$28/($B$29*$B$30*E44^2))-1)+F44/4)</f>
        <v>6.5253749731354436</v>
      </c>
      <c r="H44" s="242">
        <f t="shared" si="14"/>
        <v>79.124951595789881</v>
      </c>
      <c r="I44" s="238" t="s">
        <v>310</v>
      </c>
      <c r="J44" s="314"/>
      <c r="L44" s="315"/>
      <c r="R44" s="2"/>
      <c r="S44" s="2"/>
      <c r="T44" s="2"/>
    </row>
    <row r="45" spans="1:39" ht="18.75" thickBot="1">
      <c r="A45" s="237" t="s">
        <v>284</v>
      </c>
      <c r="B45" s="228">
        <v>300</v>
      </c>
      <c r="C45" s="229">
        <v>16</v>
      </c>
      <c r="D45" s="229">
        <v>10</v>
      </c>
      <c r="E45" s="312">
        <f t="shared" si="17"/>
        <v>280</v>
      </c>
      <c r="F45" s="312">
        <f t="shared" si="10"/>
        <v>18.406253787508255</v>
      </c>
      <c r="G45" s="312">
        <f t="shared" si="20"/>
        <v>8.0351594352962987</v>
      </c>
      <c r="H45" s="230">
        <f t="shared" si="14"/>
        <v>97.432194165047477</v>
      </c>
      <c r="I45" s="238" t="s">
        <v>310</v>
      </c>
      <c r="J45" s="314"/>
      <c r="L45" s="315"/>
      <c r="R45" s="2"/>
      <c r="S45" s="2"/>
      <c r="T45" s="2"/>
    </row>
    <row r="46" spans="1:39" ht="18.75" thickTop="1">
      <c r="A46" s="239" t="s">
        <v>285</v>
      </c>
      <c r="B46" s="241">
        <v>200</v>
      </c>
      <c r="C46" s="240">
        <v>8</v>
      </c>
      <c r="D46" s="240">
        <v>10</v>
      </c>
      <c r="E46" s="313">
        <f t="shared" si="17"/>
        <v>180</v>
      </c>
      <c r="F46" s="313">
        <f t="shared" si="10"/>
        <v>12.367115938864831</v>
      </c>
      <c r="G46" s="313">
        <f t="shared" ref="G46" si="21">MIN($B$29*$B$30*E46/1000,(2.3*SQRT($B$28*$B$29*$B$30))/1000+(F46/4),$B$29*$B$30*E46/1000*(SQRT(2+4*$B$28/($B$29*$B$30*E46^2))-1)+F46/4)</f>
        <v>6.5253749731354436</v>
      </c>
      <c r="H46" s="242">
        <f t="shared" ref="H46" si="22">C46^0.9*G46</f>
        <v>42.402011672418155</v>
      </c>
      <c r="I46" s="238" t="s">
        <v>310</v>
      </c>
      <c r="J46" s="314"/>
      <c r="L46" s="315"/>
      <c r="R46" s="2"/>
      <c r="S46" s="2"/>
      <c r="T46" s="2"/>
    </row>
    <row r="47" spans="1:39" ht="18">
      <c r="A47" s="239" t="s">
        <v>761</v>
      </c>
      <c r="B47" s="241">
        <v>200</v>
      </c>
      <c r="C47" s="240">
        <v>25</v>
      </c>
      <c r="D47" s="240">
        <v>10</v>
      </c>
      <c r="E47" s="313">
        <f t="shared" si="17"/>
        <v>180</v>
      </c>
      <c r="F47" s="313">
        <f t="shared" si="10"/>
        <v>12.367115938864831</v>
      </c>
      <c r="G47" s="313">
        <f t="shared" si="20"/>
        <v>6.5253749731354436</v>
      </c>
      <c r="H47" s="242">
        <f t="shared" si="14"/>
        <v>118.23647695999895</v>
      </c>
      <c r="I47" s="238" t="s">
        <v>310</v>
      </c>
      <c r="J47" s="314"/>
      <c r="L47" s="315"/>
      <c r="R47" s="2"/>
      <c r="S47" s="2"/>
      <c r="T47" s="2"/>
    </row>
    <row r="48" spans="1:39" ht="17.25" customHeight="1" thickBot="1">
      <c r="A48" s="237" t="s">
        <v>286</v>
      </c>
      <c r="B48" s="228">
        <v>300</v>
      </c>
      <c r="C48" s="229">
        <v>25</v>
      </c>
      <c r="D48" s="229">
        <v>10</v>
      </c>
      <c r="E48" s="312">
        <f t="shared" si="17"/>
        <v>280</v>
      </c>
      <c r="F48" s="312">
        <f t="shared" si="10"/>
        <v>18.406253787508255</v>
      </c>
      <c r="G48" s="312">
        <f t="shared" si="20"/>
        <v>8.0351594352962987</v>
      </c>
      <c r="H48" s="230">
        <f t="shared" si="14"/>
        <v>145.59300382776783</v>
      </c>
      <c r="I48" s="238" t="s">
        <v>310</v>
      </c>
      <c r="J48" s="314"/>
      <c r="L48" s="315"/>
      <c r="R48" s="2"/>
      <c r="S48" s="2"/>
      <c r="T48" s="2"/>
      <c r="W48" s="244"/>
      <c r="X48" s="245"/>
      <c r="Y48" s="245"/>
      <c r="Z48" s="245"/>
      <c r="AA48" s="246"/>
      <c r="AB48" s="246"/>
      <c r="AC48" s="246"/>
      <c r="AD48" s="246"/>
      <c r="AE48" s="247"/>
      <c r="AF48" s="244"/>
      <c r="AG48" s="245"/>
      <c r="AH48" s="245"/>
      <c r="AI48" s="245"/>
      <c r="AJ48" s="246"/>
      <c r="AK48" s="246"/>
      <c r="AL48" s="246"/>
      <c r="AM48" s="246"/>
    </row>
    <row r="49" spans="1:39" ht="17.25" customHeight="1" thickTop="1">
      <c r="A49" s="239" t="s">
        <v>311</v>
      </c>
      <c r="B49" s="235">
        <v>200</v>
      </c>
      <c r="C49" s="234">
        <v>28</v>
      </c>
      <c r="D49" s="234">
        <v>10</v>
      </c>
      <c r="E49" s="310">
        <f t="shared" si="17"/>
        <v>180</v>
      </c>
      <c r="F49" s="310">
        <f t="shared" si="10"/>
        <v>12.367115938864831</v>
      </c>
      <c r="G49" s="310">
        <f t="shared" ref="G49" si="23">MIN($B$29*$B$30*E49/1000,(2.3*SQRT($B$28*$B$29*$B$30))/1000+(F49/4),$B$29*$B$30*E49/1000*(SQRT(2+4*$B$28/($B$29*$B$30*E49^2))-1)+F49/4)</f>
        <v>6.5253749731354436</v>
      </c>
      <c r="H49" s="236">
        <f t="shared" ref="H49" si="24">C49^0.9*G49</f>
        <v>130.93257261945729</v>
      </c>
      <c r="I49" s="238" t="s">
        <v>310</v>
      </c>
      <c r="J49" s="314"/>
      <c r="L49" s="315"/>
      <c r="R49" s="2"/>
      <c r="S49" s="2"/>
      <c r="T49" s="2"/>
      <c r="W49" s="244"/>
      <c r="X49" s="245"/>
      <c r="Y49" s="245"/>
      <c r="Z49" s="245"/>
      <c r="AA49" s="246"/>
      <c r="AB49" s="246"/>
      <c r="AC49" s="246"/>
      <c r="AD49" s="246"/>
      <c r="AE49" s="247"/>
      <c r="AF49" s="244"/>
      <c r="AG49" s="245"/>
      <c r="AH49" s="245"/>
      <c r="AI49" s="245"/>
      <c r="AJ49" s="246"/>
      <c r="AK49" s="246"/>
      <c r="AL49" s="246"/>
      <c r="AM49" s="246"/>
    </row>
    <row r="50" spans="1:39" ht="15" customHeight="1">
      <c r="A50" s="239" t="s">
        <v>311</v>
      </c>
      <c r="B50" s="235">
        <v>200</v>
      </c>
      <c r="C50" s="234">
        <v>28</v>
      </c>
      <c r="D50" s="234">
        <v>10</v>
      </c>
      <c r="E50" s="310">
        <f t="shared" ref="E50:E51" si="25">B50-20</f>
        <v>180</v>
      </c>
      <c r="F50" s="310">
        <f t="shared" si="10"/>
        <v>12.367115938864831</v>
      </c>
      <c r="G50" s="310">
        <f t="shared" si="20"/>
        <v>6.5253749731354436</v>
      </c>
      <c r="H50" s="236">
        <f t="shared" si="14"/>
        <v>130.93257261945729</v>
      </c>
      <c r="I50" s="238" t="s">
        <v>310</v>
      </c>
      <c r="J50" s="314"/>
      <c r="L50" s="315"/>
      <c r="R50" s="2"/>
      <c r="S50" s="2"/>
      <c r="T50" s="2"/>
      <c r="W50" s="248"/>
      <c r="X50" s="249"/>
      <c r="Y50" s="250"/>
      <c r="Z50" s="251"/>
      <c r="AA50" s="246"/>
      <c r="AB50" s="246"/>
      <c r="AC50" s="246"/>
      <c r="AD50" s="246"/>
      <c r="AE50" s="247"/>
      <c r="AF50" s="248"/>
      <c r="AG50" s="249"/>
      <c r="AH50" s="250"/>
      <c r="AI50" s="251"/>
      <c r="AJ50" s="246"/>
      <c r="AK50" s="246"/>
      <c r="AL50" s="246"/>
      <c r="AM50" s="246"/>
    </row>
    <row r="51" spans="1:39" ht="18">
      <c r="A51" s="316" t="s">
        <v>312</v>
      </c>
      <c r="B51" s="303">
        <v>300</v>
      </c>
      <c r="C51" s="63">
        <v>28</v>
      </c>
      <c r="D51" s="63">
        <v>10</v>
      </c>
      <c r="E51" s="317">
        <f t="shared" si="25"/>
        <v>280</v>
      </c>
      <c r="F51" s="317">
        <f t="shared" si="10"/>
        <v>18.406253787508255</v>
      </c>
      <c r="G51" s="317">
        <f t="shared" si="20"/>
        <v>8.0351594352962987</v>
      </c>
      <c r="H51" s="318">
        <f t="shared" si="14"/>
        <v>161.2266115896989</v>
      </c>
      <c r="I51" s="238" t="s">
        <v>310</v>
      </c>
      <c r="J51" s="319"/>
      <c r="L51" s="320"/>
      <c r="R51" s="2"/>
      <c r="S51" s="2"/>
      <c r="T51" s="2"/>
      <c r="W51" s="248"/>
      <c r="X51" s="249"/>
      <c r="Y51" s="250"/>
      <c r="Z51" s="251"/>
      <c r="AA51" s="252"/>
      <c r="AB51" s="252"/>
      <c r="AC51" s="252"/>
      <c r="AD51" s="252"/>
      <c r="AE51" s="247"/>
      <c r="AF51" s="248"/>
      <c r="AG51" s="249"/>
      <c r="AH51" s="250"/>
      <c r="AI51" s="251"/>
      <c r="AJ51" s="252"/>
      <c r="AK51" s="252"/>
      <c r="AL51" s="252"/>
      <c r="AM51" s="252"/>
    </row>
    <row r="52" spans="1:39">
      <c r="A52" s="247"/>
      <c r="B52" s="74"/>
      <c r="C52" s="72"/>
      <c r="E52" s="23" t="s">
        <v>307</v>
      </c>
      <c r="F52" s="14">
        <v>0</v>
      </c>
      <c r="G52" s="320"/>
      <c r="H52" s="320"/>
      <c r="I52" s="238"/>
      <c r="J52" s="319"/>
      <c r="K52" s="320"/>
      <c r="L52" s="320"/>
      <c r="R52" s="2"/>
      <c r="S52" s="2"/>
      <c r="T52" s="2"/>
      <c r="W52" s="248"/>
      <c r="X52" s="249"/>
      <c r="Y52" s="250"/>
      <c r="Z52" s="251"/>
      <c r="AA52" s="252"/>
      <c r="AB52" s="252"/>
      <c r="AC52" s="252"/>
      <c r="AD52" s="252"/>
      <c r="AE52" s="247"/>
      <c r="AF52" s="248"/>
      <c r="AG52" s="249"/>
      <c r="AH52" s="250"/>
      <c r="AI52" s="251"/>
      <c r="AJ52" s="252"/>
      <c r="AK52" s="252"/>
      <c r="AL52" s="252"/>
      <c r="AM52" s="252"/>
    </row>
    <row r="53" spans="1:39">
      <c r="A53" s="247"/>
      <c r="B53" s="74"/>
      <c r="C53" s="72"/>
      <c r="E53" s="23" t="s">
        <v>308</v>
      </c>
      <c r="F53" s="309">
        <v>0.6</v>
      </c>
      <c r="G53" s="320"/>
      <c r="H53" s="320"/>
      <c r="I53" s="238"/>
      <c r="J53" s="319"/>
      <c r="K53" s="320"/>
      <c r="L53" s="320"/>
      <c r="R53" s="2"/>
      <c r="S53" s="2"/>
      <c r="T53" s="2"/>
      <c r="W53" s="248"/>
      <c r="X53" s="249"/>
      <c r="Y53" s="250"/>
      <c r="Z53" s="251"/>
      <c r="AA53" s="252"/>
      <c r="AB53" s="252"/>
      <c r="AC53" s="252"/>
      <c r="AD53" s="252"/>
      <c r="AE53" s="247"/>
      <c r="AF53" s="248"/>
      <c r="AG53" s="249"/>
      <c r="AH53" s="250"/>
      <c r="AI53" s="251"/>
      <c r="AJ53" s="252"/>
      <c r="AK53" s="252"/>
      <c r="AL53" s="252"/>
      <c r="AM53" s="252"/>
    </row>
    <row r="54" spans="1:39">
      <c r="A54" s="247"/>
      <c r="B54" s="74"/>
      <c r="C54" s="72"/>
      <c r="D54" s="72"/>
      <c r="E54" s="319"/>
      <c r="F54" s="320"/>
      <c r="G54" s="320"/>
      <c r="H54" s="320"/>
      <c r="I54" s="238"/>
      <c r="J54" s="319"/>
      <c r="K54" s="320"/>
      <c r="L54" s="320"/>
      <c r="R54" s="2"/>
      <c r="S54" s="2"/>
      <c r="T54" s="2"/>
      <c r="W54" s="248"/>
      <c r="X54" s="249"/>
      <c r="Y54" s="250"/>
      <c r="Z54" s="251"/>
      <c r="AA54" s="252"/>
      <c r="AB54" s="252"/>
      <c r="AC54" s="252"/>
      <c r="AD54" s="252"/>
      <c r="AE54" s="247"/>
      <c r="AF54" s="248"/>
      <c r="AG54" s="249"/>
      <c r="AH54" s="250"/>
      <c r="AI54" s="251"/>
      <c r="AJ54" s="252"/>
      <c r="AK54" s="252"/>
      <c r="AL54" s="252"/>
      <c r="AM54" s="252"/>
    </row>
    <row r="55" spans="1:39" ht="18" customHeight="1">
      <c r="A55" s="4" t="s">
        <v>2</v>
      </c>
      <c r="B55" s="5" t="s">
        <v>291</v>
      </c>
      <c r="C55" s="5" t="s">
        <v>43</v>
      </c>
      <c r="D55" s="5" t="s">
        <v>9</v>
      </c>
      <c r="E55" s="5" t="s">
        <v>44</v>
      </c>
      <c r="F55" s="5" t="s">
        <v>287</v>
      </c>
      <c r="G55" s="180" t="s">
        <v>288</v>
      </c>
      <c r="H55" s="5" t="s">
        <v>71</v>
      </c>
      <c r="J55" s="105"/>
      <c r="L55" s="105"/>
      <c r="R55" s="2"/>
      <c r="S55" s="2"/>
      <c r="T55" s="2"/>
      <c r="W55" s="253"/>
      <c r="X55" s="245"/>
      <c r="Y55" s="254"/>
      <c r="Z55" s="255"/>
      <c r="AA55" s="20"/>
      <c r="AB55" s="20"/>
      <c r="AC55" s="20"/>
      <c r="AD55" s="20"/>
      <c r="AE55" s="247"/>
      <c r="AF55" s="253"/>
      <c r="AG55" s="245"/>
      <c r="AH55" s="254"/>
      <c r="AI55" s="255"/>
      <c r="AJ55" s="256"/>
      <c r="AK55" s="256"/>
      <c r="AL55" s="256"/>
      <c r="AM55" s="256"/>
    </row>
    <row r="56" spans="1:39">
      <c r="A56" s="8"/>
      <c r="B56" s="9" t="s">
        <v>292</v>
      </c>
      <c r="C56" s="9" t="s">
        <v>19</v>
      </c>
      <c r="D56" s="9" t="s">
        <v>18</v>
      </c>
      <c r="E56" s="9" t="s">
        <v>18</v>
      </c>
      <c r="F56" s="9" t="s">
        <v>17</v>
      </c>
      <c r="G56" s="182" t="s">
        <v>17</v>
      </c>
      <c r="H56" s="62" t="s">
        <v>17</v>
      </c>
      <c r="J56" s="105"/>
      <c r="L56" s="105"/>
      <c r="R56" s="2"/>
      <c r="S56" s="2"/>
      <c r="T56" s="2"/>
      <c r="W56" s="253"/>
      <c r="X56" s="245"/>
      <c r="Y56" s="254"/>
      <c r="Z56" s="255"/>
      <c r="AA56" s="20"/>
      <c r="AB56" s="20"/>
      <c r="AC56" s="20"/>
      <c r="AD56" s="20"/>
      <c r="AE56" s="247"/>
      <c r="AF56" s="253"/>
      <c r="AG56" s="245"/>
      <c r="AH56" s="254"/>
      <c r="AI56" s="255"/>
      <c r="AJ56" s="256"/>
      <c r="AK56" s="256"/>
      <c r="AL56" s="256"/>
      <c r="AM56" s="256"/>
    </row>
    <row r="57" spans="1:39" ht="18">
      <c r="A57" s="233" t="s">
        <v>279</v>
      </c>
      <c r="B57" s="235">
        <v>80</v>
      </c>
      <c r="C57" s="234">
        <v>7</v>
      </c>
      <c r="D57" s="234">
        <v>8</v>
      </c>
      <c r="E57" s="236">
        <f t="shared" ref="E57" si="26">B57-10</f>
        <v>70</v>
      </c>
      <c r="F57" s="236">
        <f t="shared" ref="F57" si="27">(0.52*SQRT(D57)*E57^0.9*$B$27^0.8)/1000</f>
        <v>7.8796178754106014</v>
      </c>
      <c r="G57" s="310">
        <f t="shared" ref="G57:G62" si="28">MIN($C$29*$C$31*E57/1000,(2.3*SQRT($C$28*$C$29*$C$31))/1000+(F57/4),$C$29*$C$31*E57/1000*(SQRT(2+4*$C$28/($C$29*$C$31*E57^2))-1)+F57/4)</f>
        <v>5.7539958910348616</v>
      </c>
      <c r="H57" s="236">
        <f t="shared" ref="H57" si="29">C57^0.9*G57</f>
        <v>33.155668091657937</v>
      </c>
      <c r="I57" s="238" t="s">
        <v>313</v>
      </c>
      <c r="J57" s="621"/>
      <c r="L57" s="621"/>
      <c r="R57" s="2"/>
      <c r="S57" s="2"/>
      <c r="T57" s="2"/>
      <c r="W57" s="253"/>
      <c r="X57" s="245"/>
      <c r="Y57" s="254"/>
      <c r="Z57" s="255"/>
      <c r="AA57" s="20"/>
      <c r="AB57" s="20"/>
      <c r="AC57" s="20"/>
      <c r="AD57" s="20"/>
      <c r="AE57" s="247"/>
      <c r="AF57" s="253"/>
      <c r="AG57" s="245"/>
      <c r="AH57" s="254"/>
      <c r="AI57" s="255"/>
      <c r="AJ57" s="256"/>
      <c r="AK57" s="256"/>
      <c r="AL57" s="256"/>
      <c r="AM57" s="256"/>
    </row>
    <row r="58" spans="1:39" ht="18">
      <c r="A58" s="233" t="s">
        <v>758</v>
      </c>
      <c r="B58" s="235">
        <v>80</v>
      </c>
      <c r="C58" s="234">
        <v>10</v>
      </c>
      <c r="D58" s="234">
        <v>8</v>
      </c>
      <c r="E58" s="236">
        <f t="shared" ref="E58:E62" si="30">B58-10</f>
        <v>70</v>
      </c>
      <c r="F58" s="236">
        <f t="shared" ref="F58:F71" si="31">(0.52*SQRT(D58)*E58^0.9*$B$27^0.8)/1000</f>
        <v>7.8796178754106014</v>
      </c>
      <c r="G58" s="310">
        <f t="shared" si="28"/>
        <v>5.7539958910348616</v>
      </c>
      <c r="H58" s="236">
        <f t="shared" ref="H58:H71" si="32">C58^0.9*G58</f>
        <v>45.70561398736492</v>
      </c>
      <c r="I58" s="238" t="s">
        <v>313</v>
      </c>
      <c r="J58" s="190"/>
      <c r="L58" s="311"/>
      <c r="R58" s="2"/>
      <c r="S58" s="2"/>
      <c r="T58" s="2"/>
      <c r="W58" s="253"/>
      <c r="X58" s="245"/>
      <c r="Y58" s="254"/>
      <c r="Z58" s="255"/>
      <c r="AA58" s="20"/>
      <c r="AB58" s="20"/>
      <c r="AC58" s="20"/>
      <c r="AD58" s="20"/>
      <c r="AE58" s="247"/>
      <c r="AF58" s="253"/>
      <c r="AG58" s="245"/>
      <c r="AH58" s="254"/>
      <c r="AI58" s="255"/>
      <c r="AJ58" s="256"/>
      <c r="AK58" s="256"/>
      <c r="AL58" s="256"/>
      <c r="AM58" s="256"/>
    </row>
    <row r="59" spans="1:39" ht="18.75" thickBot="1">
      <c r="A59" s="237" t="s">
        <v>280</v>
      </c>
      <c r="B59" s="228">
        <v>80</v>
      </c>
      <c r="C59" s="229">
        <v>10</v>
      </c>
      <c r="D59" s="229">
        <v>8</v>
      </c>
      <c r="E59" s="230">
        <f t="shared" si="30"/>
        <v>70</v>
      </c>
      <c r="F59" s="230">
        <f t="shared" si="31"/>
        <v>7.8796178754106014</v>
      </c>
      <c r="G59" s="312">
        <f t="shared" si="28"/>
        <v>5.7539958910348616</v>
      </c>
      <c r="H59" s="230">
        <f t="shared" si="32"/>
        <v>45.70561398736492</v>
      </c>
      <c r="I59" s="238" t="s">
        <v>313</v>
      </c>
      <c r="J59" s="190"/>
      <c r="L59" s="311"/>
      <c r="R59" s="2"/>
      <c r="S59" s="2"/>
      <c r="T59" s="2"/>
      <c r="W59" s="253"/>
      <c r="X59" s="245"/>
      <c r="Y59" s="254"/>
      <c r="Z59" s="255"/>
      <c r="AA59" s="20"/>
      <c r="AB59" s="20"/>
      <c r="AC59" s="20"/>
      <c r="AD59" s="20"/>
      <c r="AE59" s="247"/>
      <c r="AF59" s="253"/>
      <c r="AG59" s="245"/>
      <c r="AH59" s="254"/>
      <c r="AI59" s="255"/>
      <c r="AJ59" s="256"/>
      <c r="AK59" s="256"/>
      <c r="AL59" s="256"/>
      <c r="AM59" s="256"/>
    </row>
    <row r="60" spans="1:39" ht="18.75" thickTop="1">
      <c r="A60" s="257" t="s">
        <v>281</v>
      </c>
      <c r="B60" s="259">
        <v>80</v>
      </c>
      <c r="C60" s="258">
        <v>8</v>
      </c>
      <c r="D60" s="258">
        <v>8</v>
      </c>
      <c r="E60" s="260">
        <f t="shared" ref="E60" si="33">B60-10</f>
        <v>70</v>
      </c>
      <c r="F60" s="260">
        <f t="shared" ref="F60" si="34">(0.52*SQRT(D60)*E60^0.9*$B$27^0.8)/1000</f>
        <v>7.8796178754106014</v>
      </c>
      <c r="G60" s="321">
        <f t="shared" si="28"/>
        <v>5.7539958910348616</v>
      </c>
      <c r="H60" s="260">
        <f t="shared" ref="H60" si="35">C60^0.9*G60</f>
        <v>37.389575608935985</v>
      </c>
      <c r="I60" s="238" t="s">
        <v>313</v>
      </c>
      <c r="J60" s="190"/>
      <c r="L60" s="311"/>
      <c r="R60" s="2"/>
      <c r="S60" s="2"/>
      <c r="T60" s="2"/>
      <c r="W60" s="253"/>
      <c r="X60" s="245"/>
      <c r="Y60" s="254"/>
      <c r="Z60" s="255"/>
      <c r="AA60" s="20"/>
      <c r="AB60" s="20"/>
      <c r="AC60" s="20"/>
      <c r="AD60" s="20"/>
      <c r="AE60" s="247"/>
      <c r="AF60" s="253"/>
      <c r="AG60" s="245"/>
      <c r="AH60" s="254"/>
      <c r="AI60" s="255"/>
      <c r="AJ60" s="256"/>
      <c r="AK60" s="256"/>
      <c r="AL60" s="256"/>
      <c r="AM60" s="256"/>
    </row>
    <row r="61" spans="1:39" ht="18">
      <c r="A61" s="233" t="s">
        <v>759</v>
      </c>
      <c r="B61" s="235">
        <v>80</v>
      </c>
      <c r="C61" s="234">
        <v>16</v>
      </c>
      <c r="D61" s="234">
        <v>8</v>
      </c>
      <c r="E61" s="236">
        <f t="shared" si="30"/>
        <v>70</v>
      </c>
      <c r="F61" s="236">
        <f t="shared" si="31"/>
        <v>7.8796178754106014</v>
      </c>
      <c r="G61" s="310">
        <f t="shared" si="28"/>
        <v>5.7539958910348616</v>
      </c>
      <c r="H61" s="236">
        <f t="shared" si="32"/>
        <v>69.771415165394387</v>
      </c>
      <c r="I61" s="238" t="s">
        <v>313</v>
      </c>
      <c r="J61" s="314"/>
      <c r="L61" s="315"/>
      <c r="R61" s="2"/>
      <c r="S61" s="2"/>
      <c r="T61" s="2"/>
      <c r="W61" s="253"/>
      <c r="X61" s="245"/>
      <c r="Y61" s="254"/>
      <c r="Z61" s="255"/>
      <c r="AA61" s="20"/>
      <c r="AB61" s="20"/>
      <c r="AC61" s="20"/>
      <c r="AD61" s="20"/>
      <c r="AE61" s="247"/>
      <c r="AF61" s="253"/>
      <c r="AG61" s="245"/>
      <c r="AH61" s="254"/>
      <c r="AI61" s="255"/>
      <c r="AJ61" s="256"/>
      <c r="AK61" s="256"/>
      <c r="AL61" s="256"/>
      <c r="AM61" s="256"/>
    </row>
    <row r="62" spans="1:39" ht="18.75" thickBot="1">
      <c r="A62" s="237" t="s">
        <v>282</v>
      </c>
      <c r="B62" s="228">
        <v>80</v>
      </c>
      <c r="C62" s="229">
        <v>16</v>
      </c>
      <c r="D62" s="229">
        <v>8</v>
      </c>
      <c r="E62" s="230">
        <f t="shared" si="30"/>
        <v>70</v>
      </c>
      <c r="F62" s="230">
        <f t="shared" si="31"/>
        <v>7.8796178754106014</v>
      </c>
      <c r="G62" s="312">
        <f t="shared" si="28"/>
        <v>5.7539958910348616</v>
      </c>
      <c r="H62" s="230">
        <f t="shared" si="32"/>
        <v>69.771415165394387</v>
      </c>
      <c r="I62" s="238" t="s">
        <v>313</v>
      </c>
      <c r="J62" s="314"/>
      <c r="L62" s="315"/>
      <c r="R62" s="2"/>
      <c r="S62" s="2"/>
      <c r="T62" s="2"/>
      <c r="W62" s="253"/>
      <c r="X62" s="245"/>
      <c r="Y62" s="254"/>
      <c r="Z62" s="255"/>
      <c r="AA62" s="20"/>
      <c r="AB62" s="20"/>
      <c r="AC62" s="20"/>
      <c r="AD62" s="20"/>
      <c r="AE62" s="247"/>
      <c r="AF62" s="253"/>
      <c r="AG62" s="245"/>
      <c r="AH62" s="254"/>
      <c r="AI62" s="255"/>
      <c r="AJ62" s="256"/>
      <c r="AK62" s="256"/>
      <c r="AL62" s="256"/>
      <c r="AM62" s="256"/>
    </row>
    <row r="63" spans="1:39" ht="18.75" thickTop="1">
      <c r="A63" s="239" t="s">
        <v>283</v>
      </c>
      <c r="B63" s="241">
        <v>100</v>
      </c>
      <c r="C63" s="240">
        <v>8</v>
      </c>
      <c r="D63" s="240">
        <v>10</v>
      </c>
      <c r="E63" s="242">
        <f>B63-15</f>
        <v>85</v>
      </c>
      <c r="F63" s="242">
        <f t="shared" ref="F63" si="36">(0.52*SQRT(D63)*E63^0.9*$B$27^0.8)/1000</f>
        <v>10.491774806064372</v>
      </c>
      <c r="G63" s="313">
        <f t="shared" ref="G63" si="37">MIN($B$29*$B$31*E63/1000,(2.3*SQRT($B$28*$B$29*$B$31))/1000+(F63/4),$B$29*$B$31*E63/1000*(SQRT(2+4*$B$28/($B$29*$B$31*E63^2))-1)+F63/4)</f>
        <v>8.0354591525640107</v>
      </c>
      <c r="H63" s="242">
        <f t="shared" ref="H63" si="38">C63^0.9*G63</f>
        <v>52.214567619942095</v>
      </c>
      <c r="I63" s="238" t="s">
        <v>313</v>
      </c>
      <c r="J63" s="314"/>
      <c r="L63" s="315"/>
      <c r="R63" s="2"/>
      <c r="S63" s="2"/>
      <c r="T63" s="2"/>
      <c r="W63" s="253"/>
      <c r="X63" s="245"/>
      <c r="Y63" s="254"/>
      <c r="Z63" s="255"/>
      <c r="AA63" s="20"/>
      <c r="AB63" s="20"/>
      <c r="AC63" s="20"/>
      <c r="AD63" s="20"/>
      <c r="AE63" s="247"/>
      <c r="AF63" s="253"/>
      <c r="AG63" s="245"/>
      <c r="AH63" s="254"/>
      <c r="AI63" s="255"/>
      <c r="AJ63" s="256"/>
      <c r="AK63" s="256"/>
      <c r="AL63" s="256"/>
      <c r="AM63" s="256"/>
    </row>
    <row r="64" spans="1:39" ht="15.75" customHeight="1">
      <c r="A64" s="239" t="s">
        <v>760</v>
      </c>
      <c r="B64" s="241">
        <v>100</v>
      </c>
      <c r="C64" s="240">
        <v>16</v>
      </c>
      <c r="D64" s="240">
        <v>10</v>
      </c>
      <c r="E64" s="242">
        <f t="shared" ref="E64:E71" si="39">B64-15</f>
        <v>85</v>
      </c>
      <c r="F64" s="242">
        <f t="shared" si="31"/>
        <v>10.491774806064372</v>
      </c>
      <c r="G64" s="313">
        <f t="shared" ref="G64:G71" si="40">MIN($B$29*$B$31*E64/1000,(2.3*SQRT($B$28*$B$29*$B$31))/1000+(F64/4),$B$29*$B$31*E64/1000*(SQRT(2+4*$B$28/($B$29*$B$31*E64^2))-1)+F64/4)</f>
        <v>8.0354591525640107</v>
      </c>
      <c r="H64" s="242">
        <f t="shared" si="32"/>
        <v>97.435828456471</v>
      </c>
      <c r="I64" s="238" t="s">
        <v>313</v>
      </c>
      <c r="J64" s="314"/>
      <c r="L64" s="315"/>
      <c r="R64" s="2"/>
      <c r="S64" s="2"/>
      <c r="T64" s="2"/>
      <c r="W64" s="253"/>
      <c r="X64" s="245"/>
      <c r="Y64" s="254"/>
      <c r="Z64" s="255"/>
      <c r="AA64" s="20"/>
      <c r="AB64" s="20"/>
      <c r="AC64" s="20"/>
      <c r="AD64" s="20"/>
      <c r="AE64" s="247"/>
      <c r="AF64" s="253"/>
      <c r="AG64" s="245"/>
      <c r="AH64" s="254"/>
      <c r="AI64" s="255"/>
      <c r="AJ64" s="261"/>
      <c r="AK64" s="261"/>
      <c r="AL64" s="261"/>
      <c r="AM64" s="261"/>
    </row>
    <row r="65" spans="1:39" ht="18.75" thickBot="1">
      <c r="A65" s="237" t="s">
        <v>284</v>
      </c>
      <c r="B65" s="228">
        <v>100</v>
      </c>
      <c r="C65" s="229">
        <v>16</v>
      </c>
      <c r="D65" s="229">
        <v>10</v>
      </c>
      <c r="E65" s="230">
        <f t="shared" si="39"/>
        <v>85</v>
      </c>
      <c r="F65" s="230">
        <f t="shared" si="31"/>
        <v>10.491774806064372</v>
      </c>
      <c r="G65" s="312">
        <f t="shared" si="40"/>
        <v>8.0354591525640107</v>
      </c>
      <c r="H65" s="230">
        <f t="shared" si="32"/>
        <v>97.435828456471</v>
      </c>
      <c r="I65" s="238" t="s">
        <v>313</v>
      </c>
      <c r="J65" s="314"/>
      <c r="L65" s="315"/>
      <c r="R65" s="2"/>
      <c r="S65" s="2"/>
      <c r="T65" s="2"/>
      <c r="W65" s="253"/>
      <c r="X65" s="245"/>
      <c r="Y65" s="254"/>
      <c r="Z65" s="255"/>
      <c r="AA65" s="20"/>
      <c r="AB65" s="20"/>
      <c r="AC65" s="20"/>
      <c r="AD65" s="20"/>
      <c r="AE65" s="247"/>
      <c r="AF65" s="253"/>
      <c r="AG65" s="245"/>
      <c r="AH65" s="254"/>
      <c r="AI65" s="255"/>
      <c r="AJ65" s="261"/>
      <c r="AK65" s="261"/>
      <c r="AL65" s="261"/>
      <c r="AM65" s="261"/>
    </row>
    <row r="66" spans="1:39" ht="18.75" thickTop="1">
      <c r="A66" s="239" t="s">
        <v>285</v>
      </c>
      <c r="B66" s="241">
        <v>100</v>
      </c>
      <c r="C66" s="240">
        <v>8</v>
      </c>
      <c r="D66" s="240">
        <v>10</v>
      </c>
      <c r="E66" s="242">
        <f t="shared" si="39"/>
        <v>85</v>
      </c>
      <c r="F66" s="242">
        <f t="shared" ref="F66" si="41">(0.52*SQRT(D66)*E66^0.9*$B$27^0.8)/1000</f>
        <v>10.491774806064372</v>
      </c>
      <c r="G66" s="313">
        <f t="shared" ref="G66" si="42">MIN($B$29*$B$31*E66/1000,(2.3*SQRT($B$28*$B$29*$B$31))/1000+(F66/4),$B$29*$B$31*E66/1000*(SQRT(2+4*$B$28/($B$29*$B$31*E66^2))-1)+F66/4)</f>
        <v>8.0354591525640107</v>
      </c>
      <c r="H66" s="242">
        <f t="shared" ref="H66" si="43">C66^0.9*G66</f>
        <v>52.214567619942095</v>
      </c>
      <c r="I66" s="238" t="s">
        <v>313</v>
      </c>
      <c r="J66" s="314"/>
      <c r="L66" s="315"/>
      <c r="R66" s="2"/>
      <c r="S66" s="2"/>
      <c r="T66" s="2"/>
      <c r="W66" s="253"/>
      <c r="X66" s="245"/>
      <c r="Y66" s="254"/>
      <c r="Z66" s="255"/>
      <c r="AA66" s="20"/>
      <c r="AB66" s="20"/>
      <c r="AC66" s="20"/>
      <c r="AD66" s="20"/>
      <c r="AE66" s="247"/>
      <c r="AF66" s="253"/>
      <c r="AG66" s="245"/>
      <c r="AH66" s="254"/>
      <c r="AI66" s="255"/>
      <c r="AJ66" s="261"/>
      <c r="AK66" s="261"/>
      <c r="AL66" s="261"/>
      <c r="AM66" s="261"/>
    </row>
    <row r="67" spans="1:39" ht="18">
      <c r="A67" s="239" t="s">
        <v>761</v>
      </c>
      <c r="B67" s="241">
        <v>100</v>
      </c>
      <c r="C67" s="240">
        <v>25</v>
      </c>
      <c r="D67" s="240">
        <v>10</v>
      </c>
      <c r="E67" s="242">
        <f t="shared" si="39"/>
        <v>85</v>
      </c>
      <c r="F67" s="242">
        <f t="shared" si="31"/>
        <v>10.491774806064372</v>
      </c>
      <c r="G67" s="313">
        <f t="shared" si="40"/>
        <v>8.0354591525640107</v>
      </c>
      <c r="H67" s="242">
        <f t="shared" si="32"/>
        <v>145.59843455228011</v>
      </c>
      <c r="I67" s="238" t="s">
        <v>313</v>
      </c>
      <c r="J67" s="314"/>
      <c r="L67" s="315"/>
      <c r="R67" s="2"/>
      <c r="S67" s="2"/>
      <c r="T67" s="2"/>
      <c r="W67" s="253"/>
      <c r="X67" s="245"/>
      <c r="Y67" s="254"/>
      <c r="Z67" s="255"/>
      <c r="AA67" s="20"/>
      <c r="AB67" s="20"/>
      <c r="AC67" s="20"/>
      <c r="AD67" s="20"/>
      <c r="AE67" s="247"/>
      <c r="AF67" s="253"/>
      <c r="AG67" s="245"/>
      <c r="AH67" s="254"/>
      <c r="AI67" s="255"/>
      <c r="AJ67" s="261"/>
      <c r="AK67" s="261"/>
      <c r="AL67" s="261"/>
      <c r="AM67" s="261"/>
    </row>
    <row r="68" spans="1:39" ht="18.75" thickBot="1">
      <c r="A68" s="237" t="s">
        <v>286</v>
      </c>
      <c r="B68" s="228">
        <v>100</v>
      </c>
      <c r="C68" s="229">
        <v>25</v>
      </c>
      <c r="D68" s="229">
        <v>10</v>
      </c>
      <c r="E68" s="230">
        <f t="shared" si="39"/>
        <v>85</v>
      </c>
      <c r="F68" s="230">
        <f t="shared" si="31"/>
        <v>10.491774806064372</v>
      </c>
      <c r="G68" s="312">
        <f t="shared" si="40"/>
        <v>8.0354591525640107</v>
      </c>
      <c r="H68" s="230">
        <f t="shared" si="32"/>
        <v>145.59843455228011</v>
      </c>
      <c r="I68" s="238" t="s">
        <v>313</v>
      </c>
      <c r="J68" s="314"/>
      <c r="L68" s="315"/>
      <c r="R68" s="2"/>
      <c r="S68" s="2"/>
      <c r="T68" s="2"/>
      <c r="W68" s="253"/>
      <c r="X68" s="245"/>
      <c r="Y68" s="254"/>
      <c r="Z68" s="255"/>
      <c r="AA68" s="20"/>
      <c r="AB68" s="20"/>
      <c r="AC68" s="20"/>
      <c r="AD68" s="20"/>
      <c r="AE68" s="247"/>
      <c r="AF68" s="253"/>
      <c r="AG68" s="245"/>
      <c r="AH68" s="254"/>
      <c r="AI68" s="255"/>
      <c r="AJ68" s="261"/>
      <c r="AK68" s="261"/>
      <c r="AL68" s="261"/>
      <c r="AM68" s="261"/>
    </row>
    <row r="69" spans="1:39" ht="18.75" thickTop="1">
      <c r="A69" s="239" t="s">
        <v>311</v>
      </c>
      <c r="B69" s="235">
        <v>100</v>
      </c>
      <c r="C69" s="234">
        <v>28</v>
      </c>
      <c r="D69" s="234">
        <v>10</v>
      </c>
      <c r="E69" s="236">
        <f t="shared" si="39"/>
        <v>85</v>
      </c>
      <c r="F69" s="236">
        <f t="shared" ref="F69" si="44">(0.52*SQRT(D69)*E69^0.9*$B$27^0.8)/1000</f>
        <v>10.491774806064372</v>
      </c>
      <c r="G69" s="310">
        <f t="shared" ref="G69" si="45">MIN($B$29*$B$31*E69/1000,(2.3*SQRT($B$28*$B$29*$B$31))/1000+(F69/4),$B$29*$B$31*E69/1000*(SQRT(2+4*$B$28/($B$29*$B$31*E69^2))-1)+F69/4)</f>
        <v>8.0354591525640107</v>
      </c>
      <c r="H69" s="236">
        <f t="shared" ref="H69" si="46">C69^0.9*G69</f>
        <v>161.23262545910589</v>
      </c>
      <c r="I69" s="238" t="s">
        <v>313</v>
      </c>
      <c r="J69" s="314"/>
      <c r="L69" s="315"/>
      <c r="R69" s="2"/>
      <c r="S69" s="2"/>
      <c r="T69" s="2"/>
      <c r="W69" s="253"/>
      <c r="X69" s="245"/>
      <c r="Y69" s="254"/>
      <c r="Z69" s="255"/>
      <c r="AA69" s="20"/>
      <c r="AB69" s="20"/>
      <c r="AC69" s="20"/>
      <c r="AD69" s="20"/>
      <c r="AE69" s="247"/>
      <c r="AF69" s="253"/>
      <c r="AG69" s="245"/>
      <c r="AH69" s="254"/>
      <c r="AI69" s="255"/>
      <c r="AJ69" s="261"/>
      <c r="AK69" s="261"/>
      <c r="AL69" s="261"/>
      <c r="AM69" s="261"/>
    </row>
    <row r="70" spans="1:39" ht="18">
      <c r="A70" s="239" t="s">
        <v>762</v>
      </c>
      <c r="B70" s="235">
        <v>100</v>
      </c>
      <c r="C70" s="234">
        <v>28</v>
      </c>
      <c r="D70" s="234">
        <v>10</v>
      </c>
      <c r="E70" s="236">
        <f t="shared" si="39"/>
        <v>85</v>
      </c>
      <c r="F70" s="236">
        <f t="shared" si="31"/>
        <v>10.491774806064372</v>
      </c>
      <c r="G70" s="310">
        <f t="shared" si="40"/>
        <v>8.0354591525640107</v>
      </c>
      <c r="H70" s="236">
        <f t="shared" si="32"/>
        <v>161.23262545910589</v>
      </c>
      <c r="I70" s="238" t="s">
        <v>313</v>
      </c>
      <c r="J70" s="314"/>
      <c r="L70" s="315"/>
      <c r="R70" s="2"/>
      <c r="S70" s="2"/>
      <c r="T70" s="2"/>
      <c r="W70" s="253"/>
      <c r="X70" s="245"/>
      <c r="Y70" s="254"/>
      <c r="Z70" s="255"/>
      <c r="AA70" s="20"/>
      <c r="AB70" s="20"/>
      <c r="AC70" s="20"/>
      <c r="AD70" s="20"/>
      <c r="AE70" s="247"/>
      <c r="AF70" s="253"/>
      <c r="AG70" s="245"/>
      <c r="AH70" s="254"/>
      <c r="AI70" s="255"/>
      <c r="AJ70" s="261"/>
      <c r="AK70" s="261"/>
      <c r="AL70" s="261"/>
      <c r="AM70" s="261"/>
    </row>
    <row r="71" spans="1:39" ht="23.25">
      <c r="A71" s="316" t="s">
        <v>312</v>
      </c>
      <c r="B71" s="303">
        <v>100</v>
      </c>
      <c r="C71" s="63">
        <v>28</v>
      </c>
      <c r="D71" s="63">
        <v>10</v>
      </c>
      <c r="E71" s="318">
        <f t="shared" si="39"/>
        <v>85</v>
      </c>
      <c r="F71" s="318">
        <f t="shared" si="31"/>
        <v>10.491774806064372</v>
      </c>
      <c r="G71" s="317">
        <f t="shared" si="40"/>
        <v>8.0354591525640107</v>
      </c>
      <c r="H71" s="318">
        <f t="shared" si="32"/>
        <v>161.23262545910589</v>
      </c>
      <c r="I71" s="322" t="s">
        <v>313</v>
      </c>
      <c r="J71" s="319"/>
      <c r="L71" s="320"/>
      <c r="P71" s="1"/>
      <c r="R71" s="2"/>
      <c r="S71" s="2"/>
      <c r="T71" s="2"/>
      <c r="W71" s="253"/>
      <c r="X71" s="245"/>
      <c r="Y71" s="254"/>
      <c r="Z71" s="255"/>
      <c r="AA71" s="20"/>
      <c r="AB71" s="20"/>
      <c r="AC71" s="20"/>
      <c r="AD71" s="20"/>
      <c r="AE71" s="247"/>
      <c r="AF71" s="253"/>
      <c r="AG71" s="245"/>
      <c r="AH71" s="254"/>
      <c r="AI71" s="255"/>
      <c r="AJ71" s="261"/>
      <c r="AK71" s="261"/>
      <c r="AL71" s="261"/>
      <c r="AM71" s="262"/>
    </row>
    <row r="72" spans="1:39" ht="15.75" customHeight="1">
      <c r="A72" s="3"/>
      <c r="B72" s="3"/>
      <c r="C72" s="77"/>
      <c r="N72" s="238"/>
      <c r="O72" s="238"/>
      <c r="Q72" s="762"/>
      <c r="R72" s="762"/>
      <c r="S72" s="762"/>
      <c r="T72" s="762"/>
      <c r="W72" s="253"/>
      <c r="X72" s="245"/>
      <c r="Y72" s="254"/>
      <c r="Z72" s="255"/>
      <c r="AA72" s="20"/>
      <c r="AB72" s="20"/>
      <c r="AC72" s="20"/>
      <c r="AD72" s="20"/>
      <c r="AE72" s="247"/>
      <c r="AF72" s="253"/>
      <c r="AG72" s="245"/>
      <c r="AH72" s="254"/>
      <c r="AI72" s="255"/>
      <c r="AJ72" s="256"/>
      <c r="AK72" s="256"/>
      <c r="AL72" s="256"/>
      <c r="AM72" s="256"/>
    </row>
    <row r="73" spans="1:39" ht="15.75" customHeight="1">
      <c r="A73" s="3"/>
      <c r="E73" t="s">
        <v>72</v>
      </c>
      <c r="Q73" s="619"/>
      <c r="R73" s="619"/>
      <c r="S73" s="619"/>
      <c r="T73" s="619"/>
      <c r="W73" s="253"/>
      <c r="X73" s="245"/>
      <c r="Y73" s="254"/>
      <c r="Z73" s="255"/>
      <c r="AA73" s="20"/>
      <c r="AB73" s="20"/>
      <c r="AC73" s="20"/>
      <c r="AD73" s="20"/>
      <c r="AE73" s="247"/>
      <c r="AF73" s="253"/>
      <c r="AG73" s="245"/>
      <c r="AH73" s="254"/>
      <c r="AI73" s="255"/>
      <c r="AJ73" s="256"/>
      <c r="AK73" s="256"/>
      <c r="AL73" s="256"/>
      <c r="AM73" s="256"/>
    </row>
    <row r="74" spans="1:39" ht="18">
      <c r="A74" s="4" t="s">
        <v>2</v>
      </c>
      <c r="B74" s="78" t="s">
        <v>61</v>
      </c>
      <c r="C74" s="78" t="s">
        <v>73</v>
      </c>
      <c r="D74" s="5" t="s">
        <v>74</v>
      </c>
      <c r="E74" s="78" t="s">
        <v>75</v>
      </c>
      <c r="F74" s="79" t="s">
        <v>85</v>
      </c>
      <c r="H74" s="277"/>
      <c r="P74" s="4" t="s">
        <v>2</v>
      </c>
      <c r="Q74" s="710" t="s">
        <v>314</v>
      </c>
      <c r="R74" s="711"/>
      <c r="S74" s="711"/>
      <c r="T74" s="711"/>
      <c r="U74" s="711"/>
      <c r="V74" s="712"/>
      <c r="W74" s="253"/>
      <c r="X74" s="245"/>
      <c r="Y74" s="254"/>
      <c r="Z74" s="255"/>
      <c r="AA74" s="20"/>
      <c r="AB74" s="20"/>
      <c r="AC74" s="20"/>
      <c r="AD74" s="20"/>
      <c r="AE74" s="247"/>
      <c r="AF74" s="253"/>
      <c r="AG74" s="245"/>
      <c r="AH74" s="254"/>
      <c r="AI74" s="255"/>
      <c r="AJ74" s="256"/>
      <c r="AK74" s="256"/>
      <c r="AL74" s="256"/>
      <c r="AM74" s="256"/>
    </row>
    <row r="75" spans="1:39">
      <c r="A75" s="8"/>
      <c r="B75" s="81" t="s">
        <v>17</v>
      </c>
      <c r="C75" s="82" t="s">
        <v>17</v>
      </c>
      <c r="D75" s="9" t="s">
        <v>78</v>
      </c>
      <c r="E75" s="82" t="s">
        <v>17</v>
      </c>
      <c r="F75" s="83" t="s">
        <v>17</v>
      </c>
      <c r="H75" s="278"/>
      <c r="P75" s="8"/>
      <c r="Q75" s="11">
        <v>0.6</v>
      </c>
      <c r="R75" s="11">
        <v>0.7</v>
      </c>
      <c r="S75" s="11">
        <v>0.8</v>
      </c>
      <c r="T75" s="11">
        <v>0.9</v>
      </c>
      <c r="U75" s="11">
        <v>1</v>
      </c>
      <c r="V75" s="11">
        <v>1.1000000000000001</v>
      </c>
      <c r="W75" s="253"/>
      <c r="X75" s="245"/>
      <c r="Y75" s="254"/>
      <c r="Z75" s="255"/>
      <c r="AA75" s="20"/>
      <c r="AB75" s="20"/>
      <c r="AC75" s="20"/>
      <c r="AD75" s="20"/>
      <c r="AE75" s="247"/>
      <c r="AF75" s="253"/>
      <c r="AG75" s="245"/>
      <c r="AH75" s="254"/>
      <c r="AI75" s="255"/>
      <c r="AJ75" s="256"/>
      <c r="AK75" s="256"/>
      <c r="AL75" s="256"/>
      <c r="AM75" s="263"/>
    </row>
    <row r="76" spans="1:39" ht="30">
      <c r="A76" s="281" t="s">
        <v>763</v>
      </c>
      <c r="B76" s="282">
        <f t="shared" ref="B76:B88" si="47">H37</f>
        <v>26.949266771153084</v>
      </c>
      <c r="C76" s="323">
        <v>60</v>
      </c>
      <c r="D76" s="282">
        <v>10.7</v>
      </c>
      <c r="E76" s="324">
        <f t="shared" ref="E76:E88" si="48">1/SQRT((1/H57)^2+(1/(D76*F57))^2)</f>
        <v>30.855559246041057</v>
      </c>
      <c r="F76" s="324">
        <f>MIN(B76,E76)</f>
        <v>26.949266771153084</v>
      </c>
      <c r="H76" s="278"/>
      <c r="P76" s="281" t="s">
        <v>763</v>
      </c>
      <c r="Q76" s="644">
        <f t="shared" ref="Q76:V90" si="49">MIN(Q$75*$B76/1.3,$C76/1,Q$75*$E76/1.3)</f>
        <v>12.438123125147577</v>
      </c>
      <c r="R76" s="644">
        <f t="shared" si="49"/>
        <v>14.511143646005506</v>
      </c>
      <c r="S76" s="644">
        <f t="shared" si="49"/>
        <v>16.584164166863435</v>
      </c>
      <c r="T76" s="644">
        <f t="shared" si="49"/>
        <v>18.657184687721365</v>
      </c>
      <c r="U76" s="644">
        <f t="shared" si="49"/>
        <v>20.730205208579296</v>
      </c>
      <c r="V76" s="644">
        <f t="shared" si="49"/>
        <v>22.803225729437226</v>
      </c>
      <c r="W76" s="253"/>
      <c r="X76" s="245"/>
      <c r="Y76" s="254"/>
      <c r="Z76" s="255"/>
      <c r="AA76" s="20"/>
      <c r="AB76" s="20"/>
      <c r="AC76" s="20"/>
      <c r="AD76" s="20"/>
      <c r="AE76" s="247"/>
      <c r="AF76" s="253"/>
      <c r="AG76" s="245"/>
      <c r="AH76" s="254"/>
      <c r="AI76" s="255"/>
      <c r="AJ76" s="256"/>
      <c r="AK76" s="256"/>
      <c r="AL76" s="256"/>
      <c r="AM76" s="263"/>
    </row>
    <row r="77" spans="1:39" ht="30">
      <c r="A77" s="281" t="s">
        <v>768</v>
      </c>
      <c r="B77" s="282">
        <f t="shared" si="47"/>
        <v>37.149991394525706</v>
      </c>
      <c r="C77" s="323">
        <v>60</v>
      </c>
      <c r="D77" s="282">
        <v>10.7</v>
      </c>
      <c r="E77" s="324">
        <f t="shared" si="48"/>
        <v>40.18125965399701</v>
      </c>
      <c r="F77" s="324">
        <f>MIN(B77,E77)</f>
        <v>37.149991394525706</v>
      </c>
      <c r="H77" s="279"/>
      <c r="P77" s="281" t="s">
        <v>768</v>
      </c>
      <c r="Q77" s="644">
        <f t="shared" si="49"/>
        <v>17.146149874396478</v>
      </c>
      <c r="R77" s="644">
        <f t="shared" si="49"/>
        <v>20.003841520129225</v>
      </c>
      <c r="S77" s="644">
        <f t="shared" si="49"/>
        <v>22.861533165861974</v>
      </c>
      <c r="T77" s="644">
        <f t="shared" si="49"/>
        <v>25.719224811594717</v>
      </c>
      <c r="U77" s="644">
        <f t="shared" si="49"/>
        <v>28.576916457327464</v>
      </c>
      <c r="V77" s="644">
        <f t="shared" si="49"/>
        <v>31.434608103060214</v>
      </c>
      <c r="W77" s="253"/>
      <c r="X77" s="245"/>
      <c r="Y77" s="254"/>
      <c r="Z77" s="255"/>
      <c r="AA77" s="20"/>
      <c r="AB77" s="20"/>
      <c r="AC77" s="20"/>
      <c r="AD77" s="20"/>
      <c r="AE77" s="247"/>
      <c r="AF77" s="253"/>
      <c r="AG77" s="245"/>
      <c r="AH77" s="254"/>
      <c r="AI77" s="255"/>
      <c r="AJ77" s="256"/>
      <c r="AK77" s="256"/>
      <c r="AL77" s="256"/>
      <c r="AM77" s="263"/>
    </row>
    <row r="78" spans="1:39" ht="30.75" thickBot="1">
      <c r="A78" s="288" t="s">
        <v>295</v>
      </c>
      <c r="B78" s="289">
        <f t="shared" si="47"/>
        <v>45.920027087622728</v>
      </c>
      <c r="C78" s="327">
        <v>60</v>
      </c>
      <c r="D78" s="289">
        <v>10.7</v>
      </c>
      <c r="E78" s="328">
        <f t="shared" si="48"/>
        <v>40.18125965399701</v>
      </c>
      <c r="F78" s="328">
        <f t="shared" ref="F78:F90" si="50">MIN(B78,E78)</f>
        <v>40.18125965399701</v>
      </c>
      <c r="H78" s="279"/>
      <c r="P78" s="288" t="s">
        <v>295</v>
      </c>
      <c r="Q78" s="645">
        <f t="shared" si="49"/>
        <v>18.545196763383235</v>
      </c>
      <c r="R78" s="645">
        <f t="shared" si="49"/>
        <v>21.636062890613772</v>
      </c>
      <c r="S78" s="645">
        <f t="shared" si="49"/>
        <v>24.726929017844313</v>
      </c>
      <c r="T78" s="645">
        <f t="shared" si="49"/>
        <v>27.817795145074854</v>
      </c>
      <c r="U78" s="645">
        <f t="shared" si="49"/>
        <v>30.908661272305391</v>
      </c>
      <c r="V78" s="645">
        <f t="shared" si="49"/>
        <v>33.999527399535936</v>
      </c>
      <c r="W78" s="253"/>
      <c r="X78" s="245"/>
      <c r="Y78" s="254"/>
      <c r="Z78" s="255"/>
      <c r="AA78" s="20"/>
      <c r="AB78" s="20"/>
      <c r="AC78" s="20"/>
      <c r="AD78" s="20"/>
      <c r="AE78" s="247"/>
      <c r="AF78" s="253"/>
      <c r="AG78" s="245"/>
      <c r="AH78" s="254"/>
      <c r="AI78" s="255"/>
      <c r="AJ78" s="256"/>
      <c r="AK78" s="256"/>
      <c r="AL78" s="256"/>
      <c r="AM78" s="263"/>
    </row>
    <row r="79" spans="1:39" ht="30.75" thickTop="1">
      <c r="A79" s="295" t="s">
        <v>764</v>
      </c>
      <c r="B79" s="331">
        <f t="shared" si="47"/>
        <v>30.390630186062658</v>
      </c>
      <c r="C79" s="332">
        <v>60</v>
      </c>
      <c r="D79" s="331">
        <v>27.8</v>
      </c>
      <c r="E79" s="333">
        <f t="shared" si="48"/>
        <v>36.856539602592946</v>
      </c>
      <c r="F79" s="333">
        <f t="shared" ref="F79" si="51">MIN(B79,E79)</f>
        <v>30.390630186062658</v>
      </c>
      <c r="H79" s="279"/>
      <c r="P79" s="295" t="s">
        <v>764</v>
      </c>
      <c r="Q79" s="646">
        <f t="shared" si="49"/>
        <v>14.026444701259686</v>
      </c>
      <c r="R79" s="646">
        <f t="shared" si="49"/>
        <v>16.36418548480297</v>
      </c>
      <c r="S79" s="646">
        <f t="shared" si="49"/>
        <v>18.701926268346252</v>
      </c>
      <c r="T79" s="646">
        <f t="shared" si="49"/>
        <v>21.039667051889534</v>
      </c>
      <c r="U79" s="646">
        <f t="shared" si="49"/>
        <v>23.377407835432813</v>
      </c>
      <c r="V79" s="646">
        <f t="shared" si="49"/>
        <v>25.715148618976098</v>
      </c>
      <c r="W79" s="253"/>
      <c r="X79" s="245"/>
      <c r="Y79" s="254"/>
      <c r="Z79" s="255"/>
      <c r="AA79" s="20"/>
      <c r="AB79" s="20"/>
      <c r="AC79" s="20"/>
      <c r="AD79" s="20"/>
      <c r="AE79" s="247"/>
      <c r="AF79" s="253"/>
      <c r="AG79" s="245"/>
      <c r="AH79" s="254"/>
      <c r="AI79" s="255"/>
      <c r="AJ79" s="256"/>
      <c r="AK79" s="256"/>
      <c r="AL79" s="256"/>
      <c r="AM79" s="263"/>
    </row>
    <row r="80" spans="1:39" ht="30">
      <c r="A80" s="295" t="s">
        <v>769</v>
      </c>
      <c r="B80" s="282">
        <f t="shared" si="47"/>
        <v>56.710921194381697</v>
      </c>
      <c r="C80" s="323">
        <v>60</v>
      </c>
      <c r="D80" s="282">
        <v>27.8</v>
      </c>
      <c r="E80" s="324">
        <f t="shared" si="48"/>
        <v>66.480609906200655</v>
      </c>
      <c r="F80" s="324">
        <f t="shared" si="50"/>
        <v>56.710921194381697</v>
      </c>
      <c r="H80" s="279"/>
      <c r="N80" s="103"/>
      <c r="O80" s="103"/>
      <c r="P80" s="295" t="s">
        <v>769</v>
      </c>
      <c r="Q80" s="646">
        <f t="shared" si="49"/>
        <v>26.174271320483861</v>
      </c>
      <c r="R80" s="646">
        <f t="shared" si="49"/>
        <v>30.536649873897833</v>
      </c>
      <c r="S80" s="646">
        <f t="shared" si="49"/>
        <v>34.899028427311819</v>
      </c>
      <c r="T80" s="646">
        <f t="shared" si="49"/>
        <v>39.261406980725788</v>
      </c>
      <c r="U80" s="646">
        <f t="shared" si="49"/>
        <v>43.623785534139763</v>
      </c>
      <c r="V80" s="646">
        <f t="shared" si="49"/>
        <v>47.986164087553746</v>
      </c>
      <c r="W80" s="253"/>
      <c r="X80" s="245"/>
      <c r="Y80" s="254"/>
      <c r="Z80" s="255"/>
      <c r="AA80" s="20"/>
      <c r="AB80" s="20"/>
      <c r="AC80" s="20"/>
      <c r="AD80" s="20"/>
      <c r="AE80" s="247"/>
      <c r="AF80" s="253"/>
      <c r="AG80" s="245"/>
      <c r="AH80" s="254"/>
      <c r="AI80" s="255"/>
      <c r="AJ80" s="256"/>
      <c r="AK80" s="256"/>
      <c r="AL80" s="256"/>
      <c r="AM80" s="263"/>
    </row>
    <row r="81" spans="1:39" ht="30.75" thickBot="1">
      <c r="A81" s="288" t="s">
        <v>297</v>
      </c>
      <c r="B81" s="289">
        <f t="shared" si="47"/>
        <v>70.098725185540317</v>
      </c>
      <c r="C81" s="327">
        <v>60</v>
      </c>
      <c r="D81" s="289">
        <v>27.8</v>
      </c>
      <c r="E81" s="328">
        <f t="shared" si="48"/>
        <v>66.480609906200655</v>
      </c>
      <c r="F81" s="328">
        <f t="shared" si="50"/>
        <v>66.480609906200655</v>
      </c>
      <c r="H81" s="279"/>
      <c r="N81" s="103"/>
      <c r="O81" s="103"/>
      <c r="P81" s="288" t="s">
        <v>297</v>
      </c>
      <c r="Q81" s="645">
        <f t="shared" si="49"/>
        <v>30.683358418246456</v>
      </c>
      <c r="R81" s="645">
        <f t="shared" si="49"/>
        <v>35.797251487954192</v>
      </c>
      <c r="S81" s="645">
        <f t="shared" si="49"/>
        <v>40.911144557661942</v>
      </c>
      <c r="T81" s="645">
        <f t="shared" si="49"/>
        <v>46.025037627369684</v>
      </c>
      <c r="U81" s="645">
        <f t="shared" si="49"/>
        <v>51.138930697077427</v>
      </c>
      <c r="V81" s="645">
        <f t="shared" si="49"/>
        <v>56.25282376678517</v>
      </c>
      <c r="W81" s="253"/>
      <c r="X81" s="245"/>
      <c r="Y81" s="254"/>
      <c r="Z81" s="255"/>
      <c r="AA81" s="20"/>
      <c r="AB81" s="20"/>
      <c r="AC81" s="20"/>
      <c r="AD81" s="20"/>
      <c r="AE81" s="247"/>
      <c r="AF81" s="253"/>
      <c r="AG81" s="245"/>
      <c r="AH81" s="254"/>
      <c r="AI81" s="255"/>
      <c r="AJ81" s="261"/>
      <c r="AK81" s="261"/>
      <c r="AL81" s="261"/>
      <c r="AM81" s="261"/>
    </row>
    <row r="82" spans="1:39" ht="30.75" thickTop="1">
      <c r="A82" s="295" t="s">
        <v>765</v>
      </c>
      <c r="B82" s="331">
        <f t="shared" si="47"/>
        <v>42.402011672418155</v>
      </c>
      <c r="C82" s="332">
        <v>99</v>
      </c>
      <c r="D82" s="331">
        <v>27.8</v>
      </c>
      <c r="E82" s="333">
        <f t="shared" si="48"/>
        <v>51.397478851467305</v>
      </c>
      <c r="F82" s="333">
        <f t="shared" ref="F82" si="52">MIN(B82,E82)</f>
        <v>42.402011672418155</v>
      </c>
      <c r="H82" s="279"/>
      <c r="N82" s="103"/>
      <c r="O82" s="103"/>
      <c r="P82" s="295" t="s">
        <v>765</v>
      </c>
      <c r="Q82" s="646">
        <f t="shared" si="49"/>
        <v>19.570159233423762</v>
      </c>
      <c r="R82" s="646">
        <f t="shared" si="49"/>
        <v>22.831852438994389</v>
      </c>
      <c r="S82" s="646">
        <f t="shared" si="49"/>
        <v>26.093545644565019</v>
      </c>
      <c r="T82" s="646">
        <f t="shared" si="49"/>
        <v>29.355238850135645</v>
      </c>
      <c r="U82" s="646">
        <f t="shared" si="49"/>
        <v>32.616932055706272</v>
      </c>
      <c r="V82" s="646">
        <f t="shared" si="49"/>
        <v>35.878625261276902</v>
      </c>
      <c r="W82" s="253"/>
      <c r="X82" s="245"/>
      <c r="Y82" s="254"/>
      <c r="Z82" s="255"/>
      <c r="AA82" s="20"/>
      <c r="AB82" s="20"/>
      <c r="AC82" s="20"/>
      <c r="AD82" s="20"/>
      <c r="AE82" s="247"/>
      <c r="AF82" s="253"/>
      <c r="AG82" s="245"/>
      <c r="AH82" s="254"/>
      <c r="AI82" s="255"/>
      <c r="AJ82" s="261"/>
      <c r="AK82" s="261"/>
      <c r="AL82" s="261"/>
      <c r="AM82" s="261"/>
    </row>
    <row r="83" spans="1:39" ht="30">
      <c r="A83" s="295" t="s">
        <v>770</v>
      </c>
      <c r="B83" s="282">
        <f t="shared" si="47"/>
        <v>79.124951595789881</v>
      </c>
      <c r="C83" s="323">
        <v>99</v>
      </c>
      <c r="D83" s="282">
        <v>27.8</v>
      </c>
      <c r="E83" s="324">
        <f t="shared" si="48"/>
        <v>92.415567140008505</v>
      </c>
      <c r="F83" s="324">
        <f t="shared" si="50"/>
        <v>79.124951595789881</v>
      </c>
      <c r="H83" s="279"/>
      <c r="N83" s="103"/>
      <c r="O83" s="103"/>
      <c r="P83" s="295" t="s">
        <v>770</v>
      </c>
      <c r="Q83" s="646">
        <f t="shared" si="49"/>
        <v>36.519208428826097</v>
      </c>
      <c r="R83" s="646">
        <f t="shared" si="49"/>
        <v>42.605743166963784</v>
      </c>
      <c r="S83" s="646">
        <f t="shared" si="49"/>
        <v>48.692277905101463</v>
      </c>
      <c r="T83" s="646">
        <f t="shared" si="49"/>
        <v>54.778812643239149</v>
      </c>
      <c r="U83" s="646">
        <f t="shared" si="49"/>
        <v>60.865347381376829</v>
      </c>
      <c r="V83" s="646">
        <f t="shared" si="49"/>
        <v>66.951882119514522</v>
      </c>
      <c r="W83" s="253"/>
      <c r="X83" s="245"/>
      <c r="Y83" s="254"/>
      <c r="Z83" s="255"/>
      <c r="AA83" s="20"/>
      <c r="AB83" s="20"/>
      <c r="AC83" s="20"/>
      <c r="AD83" s="20"/>
      <c r="AE83" s="247"/>
      <c r="AF83" s="253"/>
      <c r="AG83" s="245"/>
      <c r="AH83" s="254"/>
      <c r="AI83" s="255"/>
      <c r="AJ83" s="261"/>
      <c r="AK83" s="261"/>
      <c r="AL83" s="261"/>
      <c r="AM83" s="261"/>
    </row>
    <row r="84" spans="1:39" ht="30.75" thickBot="1">
      <c r="A84" s="288" t="s">
        <v>301</v>
      </c>
      <c r="B84" s="289">
        <f t="shared" si="47"/>
        <v>97.432194165047477</v>
      </c>
      <c r="C84" s="327">
        <v>99</v>
      </c>
      <c r="D84" s="289">
        <v>27.8</v>
      </c>
      <c r="E84" s="328">
        <f t="shared" si="48"/>
        <v>92.415567140008505</v>
      </c>
      <c r="F84" s="328">
        <f t="shared" si="50"/>
        <v>92.415567140008505</v>
      </c>
      <c r="H84" s="279"/>
      <c r="N84" s="103"/>
      <c r="O84" s="103"/>
      <c r="P84" s="288" t="s">
        <v>301</v>
      </c>
      <c r="Q84" s="645">
        <f t="shared" si="49"/>
        <v>42.653338680003927</v>
      </c>
      <c r="R84" s="645">
        <f t="shared" si="49"/>
        <v>49.762228460004579</v>
      </c>
      <c r="S84" s="645">
        <f t="shared" si="49"/>
        <v>56.871118240005231</v>
      </c>
      <c r="T84" s="645">
        <f t="shared" si="49"/>
        <v>63.980008020005883</v>
      </c>
      <c r="U84" s="645">
        <f t="shared" si="49"/>
        <v>71.088897800006535</v>
      </c>
      <c r="V84" s="645">
        <f t="shared" si="49"/>
        <v>78.197787580007201</v>
      </c>
      <c r="W84" s="253"/>
      <c r="X84" s="245"/>
      <c r="Y84" s="254"/>
      <c r="Z84" s="255"/>
      <c r="AA84" s="20"/>
      <c r="AB84" s="20"/>
      <c r="AC84" s="20"/>
      <c r="AD84" s="20"/>
      <c r="AE84" s="247"/>
      <c r="AF84" s="253"/>
      <c r="AG84" s="245"/>
      <c r="AH84" s="254"/>
      <c r="AI84" s="255"/>
      <c r="AJ84" s="261"/>
      <c r="AK84" s="261"/>
      <c r="AL84" s="261"/>
      <c r="AM84" s="261"/>
    </row>
    <row r="85" spans="1:39" ht="30.75" thickTop="1">
      <c r="A85" s="295" t="s">
        <v>766</v>
      </c>
      <c r="B85" s="296">
        <f t="shared" si="47"/>
        <v>42.402011672418155</v>
      </c>
      <c r="C85" s="340">
        <v>99</v>
      </c>
      <c r="D85" s="296">
        <v>68.400000000000006</v>
      </c>
      <c r="E85" s="341">
        <f t="shared" si="48"/>
        <v>52.076905395084687</v>
      </c>
      <c r="F85" s="341">
        <f t="shared" ref="F85" si="53">MIN(B85,E85)</f>
        <v>42.402011672418155</v>
      </c>
      <c r="H85" s="279"/>
      <c r="N85" s="103"/>
      <c r="O85" s="103"/>
      <c r="P85" s="295" t="s">
        <v>766</v>
      </c>
      <c r="Q85" s="646">
        <f t="shared" si="49"/>
        <v>19.570159233423762</v>
      </c>
      <c r="R85" s="646">
        <f t="shared" si="49"/>
        <v>22.831852438994389</v>
      </c>
      <c r="S85" s="646">
        <f t="shared" si="49"/>
        <v>26.093545644565019</v>
      </c>
      <c r="T85" s="646">
        <f t="shared" si="49"/>
        <v>29.355238850135645</v>
      </c>
      <c r="U85" s="646">
        <f t="shared" si="49"/>
        <v>32.616932055706272</v>
      </c>
      <c r="V85" s="646">
        <f t="shared" si="49"/>
        <v>35.878625261276902</v>
      </c>
      <c r="W85" s="253"/>
      <c r="X85" s="245"/>
      <c r="Y85" s="254"/>
      <c r="Z85" s="255"/>
      <c r="AA85" s="20"/>
      <c r="AB85" s="20"/>
      <c r="AC85" s="20"/>
      <c r="AD85" s="20"/>
      <c r="AE85" s="247"/>
      <c r="AF85" s="253"/>
      <c r="AG85" s="245"/>
      <c r="AH85" s="254"/>
      <c r="AI85" s="255"/>
      <c r="AJ85" s="261"/>
      <c r="AK85" s="261"/>
      <c r="AL85" s="261"/>
      <c r="AM85" s="261"/>
    </row>
    <row r="86" spans="1:39" ht="30">
      <c r="A86" s="295" t="s">
        <v>771</v>
      </c>
      <c r="B86" s="296">
        <f t="shared" si="47"/>
        <v>118.23647695999895</v>
      </c>
      <c r="C86" s="340">
        <v>99</v>
      </c>
      <c r="D86" s="296">
        <v>68.400000000000006</v>
      </c>
      <c r="E86" s="341">
        <f t="shared" si="48"/>
        <v>142.69127424794846</v>
      </c>
      <c r="F86" s="341">
        <f t="shared" si="50"/>
        <v>118.23647695999895</v>
      </c>
      <c r="H86" s="279"/>
      <c r="N86" s="103"/>
      <c r="O86" s="103"/>
      <c r="P86" s="295" t="s">
        <v>771</v>
      </c>
      <c r="Q86" s="646">
        <f t="shared" si="49"/>
        <v>54.570681673845669</v>
      </c>
      <c r="R86" s="646">
        <f t="shared" si="49"/>
        <v>63.665795286153283</v>
      </c>
      <c r="S86" s="646">
        <f t="shared" si="49"/>
        <v>72.760908898460897</v>
      </c>
      <c r="T86" s="646">
        <f t="shared" si="49"/>
        <v>81.856022510768497</v>
      </c>
      <c r="U86" s="646">
        <f t="shared" si="49"/>
        <v>90.951136123076111</v>
      </c>
      <c r="V86" s="646">
        <f t="shared" si="49"/>
        <v>99</v>
      </c>
      <c r="W86" s="253"/>
      <c r="X86" s="245"/>
      <c r="Y86" s="254"/>
      <c r="Z86" s="255"/>
      <c r="AA86" s="20"/>
      <c r="AB86" s="20"/>
      <c r="AC86" s="20"/>
      <c r="AD86" s="20"/>
      <c r="AE86" s="247"/>
      <c r="AF86" s="253"/>
      <c r="AG86" s="245"/>
      <c r="AH86" s="254"/>
      <c r="AI86" s="255"/>
      <c r="AJ86" s="261"/>
      <c r="AK86" s="261"/>
      <c r="AL86" s="261"/>
      <c r="AM86" s="261"/>
    </row>
    <row r="87" spans="1:39" ht="30.75" thickBot="1">
      <c r="A87" s="288" t="s">
        <v>304</v>
      </c>
      <c r="B87" s="289">
        <f t="shared" si="47"/>
        <v>145.59300382776783</v>
      </c>
      <c r="C87" s="327">
        <v>99</v>
      </c>
      <c r="D87" s="289">
        <v>68.400000000000006</v>
      </c>
      <c r="E87" s="328">
        <f t="shared" si="48"/>
        <v>142.69127424794846</v>
      </c>
      <c r="F87" s="328">
        <f t="shared" si="50"/>
        <v>142.69127424794846</v>
      </c>
      <c r="H87" s="279"/>
      <c r="N87" s="103"/>
      <c r="O87" s="103"/>
      <c r="P87" s="288" t="s">
        <v>304</v>
      </c>
      <c r="Q87" s="645">
        <f t="shared" si="49"/>
        <v>65.857511191360828</v>
      </c>
      <c r="R87" s="645">
        <f t="shared" si="49"/>
        <v>76.833763056587628</v>
      </c>
      <c r="S87" s="645">
        <f t="shared" si="49"/>
        <v>87.810014921814428</v>
      </c>
      <c r="T87" s="645">
        <f t="shared" si="49"/>
        <v>98.786266787041242</v>
      </c>
      <c r="U87" s="645">
        <f t="shared" si="49"/>
        <v>99</v>
      </c>
      <c r="V87" s="645">
        <f t="shared" si="49"/>
        <v>99</v>
      </c>
      <c r="W87" s="253"/>
      <c r="X87" s="245"/>
      <c r="Y87" s="254"/>
      <c r="Z87" s="255"/>
      <c r="AA87" s="20"/>
      <c r="AB87" s="20"/>
      <c r="AC87" s="20"/>
      <c r="AD87" s="20"/>
      <c r="AE87" s="247"/>
      <c r="AF87" s="253"/>
      <c r="AG87" s="245"/>
      <c r="AH87" s="254"/>
      <c r="AI87" s="255"/>
      <c r="AJ87" s="261"/>
      <c r="AK87" s="261"/>
      <c r="AL87" s="261"/>
      <c r="AM87" s="261"/>
    </row>
    <row r="88" spans="1:39" ht="45.75" thickTop="1">
      <c r="A88" s="281" t="s">
        <v>767</v>
      </c>
      <c r="B88" s="282">
        <f t="shared" si="47"/>
        <v>130.93257261945729</v>
      </c>
      <c r="C88" s="323">
        <v>180</v>
      </c>
      <c r="D88" s="282">
        <v>58</v>
      </c>
      <c r="E88" s="324">
        <f t="shared" si="48"/>
        <v>155.85472248368981</v>
      </c>
      <c r="F88" s="324">
        <f t="shared" ref="F88" si="54">MIN(B88,E88)</f>
        <v>130.93257261945729</v>
      </c>
      <c r="H88" s="279"/>
      <c r="N88" s="103"/>
      <c r="O88" s="103"/>
      <c r="P88" s="281" t="s">
        <v>767</v>
      </c>
      <c r="Q88" s="644">
        <f t="shared" si="49"/>
        <v>60.430418132057206</v>
      </c>
      <c r="R88" s="644">
        <f t="shared" si="49"/>
        <v>70.502154487400063</v>
      </c>
      <c r="S88" s="644">
        <f t="shared" si="49"/>
        <v>80.573890842742955</v>
      </c>
      <c r="T88" s="644">
        <f t="shared" si="49"/>
        <v>90.645627198085819</v>
      </c>
      <c r="U88" s="644">
        <f t="shared" si="49"/>
        <v>100.71736355342868</v>
      </c>
      <c r="V88" s="644">
        <f t="shared" si="49"/>
        <v>110.78909990877156</v>
      </c>
      <c r="W88" s="253"/>
      <c r="X88" s="245"/>
      <c r="Y88" s="254"/>
      <c r="Z88" s="255"/>
      <c r="AA88" s="20"/>
      <c r="AB88" s="20"/>
      <c r="AC88" s="20"/>
      <c r="AD88" s="20"/>
      <c r="AE88" s="247"/>
      <c r="AF88" s="253"/>
      <c r="AG88" s="245"/>
      <c r="AH88" s="254"/>
      <c r="AI88" s="255"/>
      <c r="AJ88" s="261"/>
      <c r="AK88" s="261"/>
      <c r="AL88" s="261"/>
      <c r="AM88" s="261"/>
    </row>
    <row r="89" spans="1:39" ht="44.45" customHeight="1">
      <c r="A89" s="281" t="s">
        <v>772</v>
      </c>
      <c r="B89" s="282">
        <f>H50+B91</f>
        <v>170.93257261945729</v>
      </c>
      <c r="C89" s="323">
        <v>180</v>
      </c>
      <c r="D89" s="282">
        <v>58</v>
      </c>
      <c r="E89" s="324">
        <f>1/SQRT((1/H70)^2+(1/(D89*F70))^2)+B91</f>
        <v>195.85472248368981</v>
      </c>
      <c r="F89" s="324">
        <f t="shared" si="50"/>
        <v>170.93257261945729</v>
      </c>
      <c r="P89" s="281" t="s">
        <v>772</v>
      </c>
      <c r="Q89" s="644">
        <f t="shared" si="49"/>
        <v>78.891956593595665</v>
      </c>
      <c r="R89" s="644">
        <f t="shared" si="49"/>
        <v>92.04061602586161</v>
      </c>
      <c r="S89" s="644">
        <f t="shared" si="49"/>
        <v>105.18927545812757</v>
      </c>
      <c r="T89" s="644">
        <f t="shared" si="49"/>
        <v>118.33793489039351</v>
      </c>
      <c r="U89" s="644">
        <f t="shared" si="49"/>
        <v>131.48659432265944</v>
      </c>
      <c r="V89" s="644">
        <f t="shared" si="49"/>
        <v>144.6352537549254</v>
      </c>
      <c r="W89" s="253"/>
      <c r="X89" s="245"/>
      <c r="Y89" s="254"/>
      <c r="Z89" s="255"/>
      <c r="AA89" s="20"/>
      <c r="AB89" s="20"/>
      <c r="AC89" s="20"/>
      <c r="AD89" s="20"/>
      <c r="AE89" s="247"/>
      <c r="AF89" s="253"/>
      <c r="AG89" s="245"/>
      <c r="AH89" s="254"/>
      <c r="AI89" s="255"/>
      <c r="AJ89" s="261"/>
      <c r="AK89" s="261"/>
      <c r="AL89" s="261"/>
      <c r="AM89" s="262"/>
    </row>
    <row r="90" spans="1:39" ht="45">
      <c r="A90" s="302" t="s">
        <v>306</v>
      </c>
      <c r="B90" s="303">
        <f>H51+B91</f>
        <v>201.2266115896989</v>
      </c>
      <c r="C90" s="323">
        <v>180</v>
      </c>
      <c r="D90" s="303">
        <v>58</v>
      </c>
      <c r="E90" s="318">
        <f>1/SQRT((1/H71)^2+(1/(D90*F71))^2)+B91</f>
        <v>195.85472248368981</v>
      </c>
      <c r="F90" s="318">
        <f t="shared" si="50"/>
        <v>195.85472248368981</v>
      </c>
      <c r="P90" s="302" t="s">
        <v>306</v>
      </c>
      <c r="Q90" s="647">
        <f t="shared" si="49"/>
        <v>90.394487300164513</v>
      </c>
      <c r="R90" s="647">
        <f t="shared" si="49"/>
        <v>105.46023518352528</v>
      </c>
      <c r="S90" s="647">
        <f t="shared" si="49"/>
        <v>120.52598306688604</v>
      </c>
      <c r="T90" s="647">
        <f t="shared" si="49"/>
        <v>135.59173095024678</v>
      </c>
      <c r="U90" s="647">
        <f t="shared" si="49"/>
        <v>150.65747883360754</v>
      </c>
      <c r="V90" s="647">
        <f t="shared" si="49"/>
        <v>165.7232267169683</v>
      </c>
      <c r="W90" s="253"/>
      <c r="X90" s="245"/>
      <c r="Y90" s="254"/>
      <c r="Z90" s="255"/>
      <c r="AA90" s="20"/>
      <c r="AB90" s="20"/>
      <c r="AC90" s="20"/>
      <c r="AD90" s="20"/>
      <c r="AE90" s="247"/>
      <c r="AF90" s="253"/>
      <c r="AG90" s="245"/>
      <c r="AH90" s="254"/>
      <c r="AI90" s="255"/>
      <c r="AJ90" s="261"/>
      <c r="AK90" s="261"/>
      <c r="AL90" s="261"/>
      <c r="AM90" s="262"/>
    </row>
    <row r="91" spans="1:39">
      <c r="A91" s="23" t="s">
        <v>316</v>
      </c>
      <c r="B91" s="34">
        <v>40</v>
      </c>
    </row>
    <row r="93" spans="1:39" ht="26.25">
      <c r="A93" s="264" t="s">
        <v>289</v>
      </c>
      <c r="B93" s="264"/>
    </row>
    <row r="95" spans="1:39" ht="18.75">
      <c r="A95" s="56" t="s">
        <v>84</v>
      </c>
      <c r="B95" s="56"/>
      <c r="E95" s="232"/>
      <c r="R95" s="2"/>
      <c r="S95" s="2"/>
      <c r="T95" s="2"/>
    </row>
    <row r="96" spans="1:39">
      <c r="A96" s="21" t="s">
        <v>37</v>
      </c>
      <c r="B96" t="str">
        <f>B26</f>
        <v>GL24h</v>
      </c>
      <c r="D96" s="232"/>
      <c r="R96" s="2"/>
      <c r="S96" s="2"/>
      <c r="T96" s="2"/>
    </row>
    <row r="97" spans="1:20">
      <c r="A97" s="23" t="s">
        <v>276</v>
      </c>
      <c r="B97" s="24">
        <f>VLOOKUP(B96,'RICON_RICON-S-EK_GIGANT_WALCO '!V7:W16,2,FALSE)</f>
        <v>385</v>
      </c>
      <c r="C97" t="s">
        <v>40</v>
      </c>
      <c r="R97" s="2"/>
      <c r="S97" s="2"/>
      <c r="T97" s="2"/>
    </row>
    <row r="98" spans="1:20" ht="18">
      <c r="A98" s="23" t="s">
        <v>62</v>
      </c>
      <c r="B98" s="53">
        <v>35000</v>
      </c>
      <c r="C98" s="53">
        <v>20000</v>
      </c>
      <c r="D98" t="s">
        <v>63</v>
      </c>
      <c r="R98" s="2"/>
      <c r="S98" s="2"/>
      <c r="T98" s="2"/>
    </row>
    <row r="99" spans="1:20">
      <c r="A99" s="23" t="s">
        <v>64</v>
      </c>
      <c r="B99" s="53">
        <v>10</v>
      </c>
      <c r="C99" s="53">
        <v>8</v>
      </c>
      <c r="D99" t="s">
        <v>65</v>
      </c>
      <c r="R99" s="2"/>
      <c r="S99" s="2"/>
      <c r="T99" s="2"/>
    </row>
    <row r="100" spans="1:20" ht="18">
      <c r="A100" s="23" t="s">
        <v>66</v>
      </c>
      <c r="B100" s="265">
        <f>0.033*$B$97*B99^-0.3</f>
        <v>6.3675838032344938</v>
      </c>
      <c r="C100" s="265">
        <f>0.033*$B$97*C99^-0.3</f>
        <v>6.808440920761802</v>
      </c>
      <c r="D100" t="s">
        <v>67</v>
      </c>
      <c r="R100" s="2"/>
      <c r="S100" s="2"/>
      <c r="T100" s="2"/>
    </row>
    <row r="101" spans="1:20" ht="18">
      <c r="A101" s="23" t="s">
        <v>68</v>
      </c>
      <c r="B101" s="76">
        <f>0.082*B99^-0.3*$B$97</f>
        <v>15.822480965612984</v>
      </c>
      <c r="C101" s="76">
        <f>0.082*C99^-0.3*$B$97</f>
        <v>16.917944106135387</v>
      </c>
      <c r="D101" t="s">
        <v>67</v>
      </c>
      <c r="R101" s="2"/>
      <c r="S101" s="2"/>
      <c r="T101" s="2"/>
    </row>
    <row r="102" spans="1:20">
      <c r="R102" s="2"/>
      <c r="S102" s="2"/>
      <c r="T102" s="2"/>
    </row>
    <row r="103" spans="1:20">
      <c r="A103" s="3"/>
      <c r="B103" s="3"/>
      <c r="E103" s="232"/>
      <c r="R103" s="2"/>
      <c r="S103" s="2"/>
      <c r="T103" s="2"/>
    </row>
    <row r="104" spans="1:20">
      <c r="A104" s="3"/>
      <c r="B104" s="3"/>
      <c r="R104" s="2"/>
      <c r="S104" s="2"/>
      <c r="T104" s="2"/>
    </row>
    <row r="105" spans="1:20" ht="18">
      <c r="A105" s="4" t="s">
        <v>2</v>
      </c>
      <c r="B105" s="5" t="s">
        <v>291</v>
      </c>
      <c r="C105" s="5" t="s">
        <v>43</v>
      </c>
      <c r="D105" s="5" t="s">
        <v>9</v>
      </c>
      <c r="E105" s="5" t="s">
        <v>44</v>
      </c>
      <c r="F105" s="5" t="s">
        <v>59</v>
      </c>
      <c r="G105" s="180" t="s">
        <v>60</v>
      </c>
      <c r="H105" s="5" t="s">
        <v>230</v>
      </c>
      <c r="I105" s="105"/>
      <c r="K105" s="105"/>
      <c r="L105" s="105"/>
      <c r="R105" s="2"/>
      <c r="S105" s="2"/>
      <c r="T105" s="2"/>
    </row>
    <row r="106" spans="1:20">
      <c r="A106" s="8"/>
      <c r="B106" s="9" t="s">
        <v>293</v>
      </c>
      <c r="C106" s="9" t="s">
        <v>19</v>
      </c>
      <c r="D106" s="9" t="s">
        <v>18</v>
      </c>
      <c r="E106" s="9" t="s">
        <v>18</v>
      </c>
      <c r="F106" s="9" t="s">
        <v>17</v>
      </c>
      <c r="G106" s="182" t="s">
        <v>17</v>
      </c>
      <c r="H106" s="62" t="s">
        <v>17</v>
      </c>
      <c r="I106" s="105"/>
      <c r="K106" s="105"/>
      <c r="L106" s="105"/>
      <c r="R106" s="2"/>
      <c r="S106" s="2"/>
      <c r="T106" s="2"/>
    </row>
    <row r="107" spans="1:20">
      <c r="A107" s="233" t="s">
        <v>279</v>
      </c>
      <c r="B107" s="235">
        <v>160</v>
      </c>
      <c r="C107" s="234">
        <v>10</v>
      </c>
      <c r="D107" s="234">
        <v>8</v>
      </c>
      <c r="E107" s="310">
        <f>B107-15</f>
        <v>145</v>
      </c>
      <c r="F107" s="310">
        <f>($F$118*0.52*SQRT(D107)*E107^0.9*$B$97^0.8)/1000</f>
        <v>4.5527036065307724</v>
      </c>
      <c r="G107" s="310">
        <f>MIN(2.3*SQRT($C$98*$C$100*$C$99)/1000+(F107/4),$C$99*$C$100*E107/1000,$C$99*$C$100*E107/1000*(SQRT(2+4*$C$98/($C$99*$C$100*E107^2))-1)+F107/4)</f>
        <v>3.5387309198176098</v>
      </c>
      <c r="H107" s="236">
        <f t="shared" ref="H107:H116" si="55">G107</f>
        <v>3.5387309198176098</v>
      </c>
      <c r="I107" s="343"/>
      <c r="K107" s="311"/>
      <c r="L107" s="311"/>
      <c r="R107" s="2"/>
      <c r="S107" s="2"/>
      <c r="T107" s="2"/>
    </row>
    <row r="108" spans="1:20" ht="15.75" thickBot="1">
      <c r="A108" s="237" t="s">
        <v>280</v>
      </c>
      <c r="B108" s="228">
        <v>240</v>
      </c>
      <c r="C108" s="266">
        <v>10</v>
      </c>
      <c r="D108" s="266">
        <v>8</v>
      </c>
      <c r="E108" s="344">
        <f t="shared" ref="E108:E110" si="56">B108-15</f>
        <v>225</v>
      </c>
      <c r="F108" s="344">
        <f t="shared" ref="F108:F116" si="57">($F$118*0.52*SQRT(D108)*E108^0.9*$B$97^0.8)/1000</f>
        <v>6.760867765807113</v>
      </c>
      <c r="G108" s="344">
        <f>MIN(2.3*SQRT($C$98*$C$100*$C$99)/1000+(F108/4),$C$99*$C$100*E108/1000,$C$99*$C$100*E108/1000*(SQRT(2+4*$C$98/($C$99*$C$100*E108^2))-1)+F108/4)</f>
        <v>4.0907719596366956</v>
      </c>
      <c r="H108" s="268">
        <f t="shared" si="55"/>
        <v>4.0907719596366956</v>
      </c>
      <c r="I108" s="343"/>
      <c r="K108" s="311"/>
      <c r="L108" s="311"/>
      <c r="R108" s="2"/>
      <c r="S108" s="2"/>
      <c r="T108" s="2"/>
    </row>
    <row r="109" spans="1:20" ht="15.75" thickTop="1">
      <c r="A109" s="257" t="s">
        <v>281</v>
      </c>
      <c r="B109" s="241">
        <v>160</v>
      </c>
      <c r="C109" s="258">
        <v>16</v>
      </c>
      <c r="D109" s="258">
        <v>8</v>
      </c>
      <c r="E109" s="321">
        <f t="shared" si="56"/>
        <v>145</v>
      </c>
      <c r="F109" s="321">
        <f t="shared" si="57"/>
        <v>4.5527036065307724</v>
      </c>
      <c r="G109" s="321">
        <f>MIN(2.3*SQRT($C$98*$C$100*$C$99)/1000+(F109/4),$C$99*$C$100*E109/1000,$C$99*$C$100*E109/1000*(SQRT(2+4*$C$98/($C$99*$C$100*E109^2))-1)+F109/4)</f>
        <v>3.5387309198176098</v>
      </c>
      <c r="H109" s="260">
        <f t="shared" si="55"/>
        <v>3.5387309198176098</v>
      </c>
      <c r="I109" s="122"/>
      <c r="K109" s="315"/>
      <c r="L109" s="315"/>
      <c r="R109" s="2"/>
      <c r="S109" s="2"/>
      <c r="T109" s="2"/>
    </row>
    <row r="110" spans="1:20" ht="15.75" thickBot="1">
      <c r="A110" s="237" t="s">
        <v>282</v>
      </c>
      <c r="B110" s="228">
        <v>240</v>
      </c>
      <c r="C110" s="229">
        <v>16</v>
      </c>
      <c r="D110" s="229">
        <v>8</v>
      </c>
      <c r="E110" s="312">
        <f t="shared" si="56"/>
        <v>225</v>
      </c>
      <c r="F110" s="312">
        <f t="shared" si="57"/>
        <v>6.760867765807113</v>
      </c>
      <c r="G110" s="312">
        <f>MIN(2.3*SQRT($C$98*$C$100*$C$99)/1000+(F110/4),$C$99*$C$100*E110/1000,$C$99*$C$100*E110/1000*(SQRT(2+4*$C$98/($C$99*$C$100*E110^2))-1)+F110/4)</f>
        <v>4.0907719596366956</v>
      </c>
      <c r="H110" s="230">
        <f t="shared" si="55"/>
        <v>4.0907719596366956</v>
      </c>
      <c r="I110" s="122"/>
      <c r="K110" s="315"/>
      <c r="L110" s="315"/>
      <c r="R110" s="2"/>
      <c r="S110" s="2"/>
      <c r="T110" s="2"/>
    </row>
    <row r="111" spans="1:20" ht="15.75" thickTop="1">
      <c r="A111" s="257" t="s">
        <v>283</v>
      </c>
      <c r="B111" s="241">
        <v>200</v>
      </c>
      <c r="C111" s="240">
        <v>16</v>
      </c>
      <c r="D111" s="240">
        <v>10</v>
      </c>
      <c r="E111" s="313">
        <f>B111-20</f>
        <v>180</v>
      </c>
      <c r="F111" s="313">
        <f t="shared" si="57"/>
        <v>6.1835579694324156</v>
      </c>
      <c r="G111" s="313">
        <f t="shared" ref="G111:G116" si="58">MIN(2.3*SQRT($B$98*$B$100*$B$99)/1000+(F111/4),$B$99*$B$100*E111/1000,$B$99*$B$100*E111/1000*(SQRT(2+4*$B$98/($B$99*$B$100*E111^2))-1)+F111/4)</f>
        <v>4.9794854807773392</v>
      </c>
      <c r="H111" s="242">
        <f t="shared" si="55"/>
        <v>4.9794854807773392</v>
      </c>
      <c r="I111" s="122"/>
      <c r="K111" s="315"/>
      <c r="L111" s="315"/>
      <c r="R111" s="2"/>
      <c r="S111" s="2"/>
      <c r="T111" s="2"/>
    </row>
    <row r="112" spans="1:20" ht="15.75" thickBot="1">
      <c r="A112" s="237" t="s">
        <v>284</v>
      </c>
      <c r="B112" s="228">
        <v>300</v>
      </c>
      <c r="C112" s="229">
        <v>16</v>
      </c>
      <c r="D112" s="229">
        <v>10</v>
      </c>
      <c r="E112" s="312">
        <f t="shared" ref="E112:E116" si="59">B112-20</f>
        <v>280</v>
      </c>
      <c r="F112" s="312">
        <f t="shared" si="57"/>
        <v>9.2031268937541277</v>
      </c>
      <c r="G112" s="312">
        <f t="shared" si="58"/>
        <v>5.7343777118577677</v>
      </c>
      <c r="H112" s="230">
        <f t="shared" si="55"/>
        <v>5.7343777118577677</v>
      </c>
      <c r="I112" s="122"/>
      <c r="K112" s="315"/>
      <c r="L112" s="315"/>
      <c r="R112" s="2"/>
      <c r="S112" s="2"/>
      <c r="T112" s="2"/>
    </row>
    <row r="113" spans="1:20" ht="15.75" thickTop="1">
      <c r="A113" s="239" t="s">
        <v>285</v>
      </c>
      <c r="B113" s="241">
        <v>200</v>
      </c>
      <c r="C113" s="240">
        <v>25</v>
      </c>
      <c r="D113" s="240">
        <v>10</v>
      </c>
      <c r="E113" s="313">
        <f t="shared" si="59"/>
        <v>180</v>
      </c>
      <c r="F113" s="313">
        <f t="shared" si="57"/>
        <v>6.1835579694324156</v>
      </c>
      <c r="G113" s="313">
        <f t="shared" si="58"/>
        <v>4.9794854807773392</v>
      </c>
      <c r="H113" s="242">
        <f t="shared" si="55"/>
        <v>4.9794854807773392</v>
      </c>
      <c r="I113" s="122"/>
      <c r="K113" s="315"/>
      <c r="L113" s="315"/>
      <c r="R113" s="2"/>
      <c r="S113" s="2"/>
      <c r="T113" s="2"/>
    </row>
    <row r="114" spans="1:20" ht="15.75" thickBot="1">
      <c r="A114" s="237" t="s">
        <v>286</v>
      </c>
      <c r="B114" s="228">
        <v>300</v>
      </c>
      <c r="C114" s="229">
        <v>25</v>
      </c>
      <c r="D114" s="229">
        <v>10</v>
      </c>
      <c r="E114" s="312">
        <f t="shared" si="59"/>
        <v>280</v>
      </c>
      <c r="F114" s="312">
        <f t="shared" si="57"/>
        <v>9.2031268937541277</v>
      </c>
      <c r="G114" s="312">
        <f t="shared" si="58"/>
        <v>5.7343777118577677</v>
      </c>
      <c r="H114" s="230">
        <f t="shared" si="55"/>
        <v>5.7343777118577677</v>
      </c>
      <c r="I114" s="122"/>
      <c r="K114" s="315"/>
      <c r="L114" s="315"/>
      <c r="R114" s="2"/>
      <c r="S114" s="2"/>
      <c r="T114" s="2"/>
    </row>
    <row r="115" spans="1:20" ht="15.75" thickTop="1">
      <c r="A115" s="345" t="s">
        <v>311</v>
      </c>
      <c r="B115" s="235">
        <v>200</v>
      </c>
      <c r="C115" s="234">
        <v>28</v>
      </c>
      <c r="D115" s="234">
        <v>10</v>
      </c>
      <c r="E115" s="310">
        <f t="shared" si="59"/>
        <v>180</v>
      </c>
      <c r="F115" s="310">
        <f t="shared" si="57"/>
        <v>6.1835579694324156</v>
      </c>
      <c r="G115" s="310">
        <f t="shared" si="58"/>
        <v>4.9794854807773392</v>
      </c>
      <c r="H115" s="236">
        <f t="shared" si="55"/>
        <v>4.9794854807773392</v>
      </c>
      <c r="I115" s="122"/>
      <c r="K115" s="315"/>
      <c r="L115" s="315"/>
      <c r="R115" s="2"/>
      <c r="S115" s="2"/>
      <c r="T115" s="2"/>
    </row>
    <row r="116" spans="1:20">
      <c r="A116" s="316" t="s">
        <v>312</v>
      </c>
      <c r="B116" s="303">
        <v>300</v>
      </c>
      <c r="C116" s="63">
        <v>28</v>
      </c>
      <c r="D116" s="63">
        <v>10</v>
      </c>
      <c r="E116" s="317">
        <f t="shared" si="59"/>
        <v>280</v>
      </c>
      <c r="F116" s="317">
        <f t="shared" si="57"/>
        <v>9.2031268937541277</v>
      </c>
      <c r="G116" s="317">
        <f t="shared" si="58"/>
        <v>5.7343777118577677</v>
      </c>
      <c r="H116" s="318">
        <f t="shared" si="55"/>
        <v>5.7343777118577677</v>
      </c>
      <c r="I116" s="72"/>
      <c r="K116" s="320"/>
      <c r="L116" s="320"/>
      <c r="R116" s="2"/>
      <c r="S116" s="2"/>
      <c r="T116" s="2"/>
    </row>
    <row r="117" spans="1:20">
      <c r="E117" s="23" t="s">
        <v>307</v>
      </c>
      <c r="F117" s="14">
        <v>0</v>
      </c>
      <c r="J117" s="320"/>
      <c r="R117" s="2"/>
      <c r="S117" s="2"/>
      <c r="T117" s="2"/>
    </row>
    <row r="118" spans="1:20">
      <c r="E118" s="23" t="s">
        <v>308</v>
      </c>
      <c r="F118" s="309">
        <f>IF(F117&gt;45,1,0.3+(0.7*F117)/45)</f>
        <v>0.3</v>
      </c>
      <c r="J118" s="320"/>
      <c r="R118" s="2"/>
      <c r="S118" s="2"/>
      <c r="T118" s="2"/>
    </row>
    <row r="119" spans="1:20">
      <c r="A119" s="3"/>
      <c r="B119" s="3"/>
      <c r="J119" s="320"/>
      <c r="R119" s="2"/>
      <c r="S119" s="2"/>
      <c r="T119" s="2"/>
    </row>
    <row r="120" spans="1:20" ht="18">
      <c r="A120" s="4" t="s">
        <v>2</v>
      </c>
      <c r="B120" s="4" t="s">
        <v>317</v>
      </c>
      <c r="C120" s="5" t="s">
        <v>169</v>
      </c>
      <c r="D120" s="5" t="s">
        <v>154</v>
      </c>
      <c r="E120" s="5" t="s">
        <v>159</v>
      </c>
      <c r="F120" s="5" t="s">
        <v>179</v>
      </c>
      <c r="G120" s="5" t="s">
        <v>157</v>
      </c>
      <c r="H120" s="180" t="s">
        <v>180</v>
      </c>
      <c r="I120" s="181"/>
      <c r="K120" s="165"/>
      <c r="L120" s="165"/>
      <c r="M120" s="165"/>
      <c r="R120" s="2"/>
      <c r="S120" s="2"/>
      <c r="T120" s="2"/>
    </row>
    <row r="121" spans="1:20">
      <c r="A121" s="8"/>
      <c r="B121" s="8"/>
      <c r="C121" s="62" t="s">
        <v>17</v>
      </c>
      <c r="D121" s="9" t="s">
        <v>19</v>
      </c>
      <c r="E121" s="9" t="s">
        <v>78</v>
      </c>
      <c r="F121" s="9" t="s">
        <v>78</v>
      </c>
      <c r="G121" s="9" t="s">
        <v>18</v>
      </c>
      <c r="H121" s="182" t="s">
        <v>17</v>
      </c>
      <c r="I121" s="181"/>
      <c r="K121" s="165"/>
      <c r="L121" s="165"/>
      <c r="M121" s="165"/>
      <c r="R121" s="2"/>
      <c r="S121" s="2"/>
      <c r="T121" s="2"/>
    </row>
    <row r="122" spans="1:20">
      <c r="A122" s="233" t="s">
        <v>279</v>
      </c>
      <c r="B122" s="233" t="s">
        <v>318</v>
      </c>
      <c r="C122" s="235">
        <f t="shared" ref="C122:C131" si="60">H107</f>
        <v>3.5387309198176098</v>
      </c>
      <c r="D122" s="234">
        <v>10</v>
      </c>
      <c r="E122" s="235">
        <v>313</v>
      </c>
      <c r="F122" s="236">
        <v>683</v>
      </c>
      <c r="G122" s="269">
        <v>0</v>
      </c>
      <c r="H122" s="270">
        <f>C122/(SQRT((1/D122+G122/E122)^2+(G122/F122)^2))</f>
        <v>35.387309198176098</v>
      </c>
      <c r="I122" s="185"/>
      <c r="K122" s="232"/>
      <c r="L122" s="232"/>
      <c r="M122" s="232"/>
      <c r="R122" s="2"/>
      <c r="S122" s="2"/>
      <c r="T122" s="2"/>
    </row>
    <row r="123" spans="1:20" ht="15.75" thickBot="1">
      <c r="A123" s="237" t="s">
        <v>280</v>
      </c>
      <c r="B123" s="237" t="s">
        <v>319</v>
      </c>
      <c r="C123" s="267">
        <f t="shared" si="60"/>
        <v>4.0907719596366956</v>
      </c>
      <c r="D123" s="266">
        <v>10</v>
      </c>
      <c r="E123" s="267">
        <v>313</v>
      </c>
      <c r="F123" s="268">
        <v>683</v>
      </c>
      <c r="G123" s="268">
        <f t="shared" ref="G123:G131" si="61">G122</f>
        <v>0</v>
      </c>
      <c r="H123" s="271">
        <f t="shared" ref="H123:H131" si="62">C123/(SQRT((1/D123+G123/E123)^2+(G123/F123)^2))</f>
        <v>40.907719596366952</v>
      </c>
      <c r="I123" s="185"/>
      <c r="K123" s="232"/>
      <c r="L123" s="232"/>
      <c r="M123" s="232"/>
      <c r="R123" s="2"/>
      <c r="S123" s="2"/>
      <c r="T123" s="2"/>
    </row>
    <row r="124" spans="1:20" ht="15.75" thickTop="1">
      <c r="A124" s="257" t="s">
        <v>281</v>
      </c>
      <c r="B124" s="233" t="s">
        <v>320</v>
      </c>
      <c r="C124" s="259">
        <f t="shared" si="60"/>
        <v>3.5387309198176098</v>
      </c>
      <c r="D124" s="258">
        <v>16</v>
      </c>
      <c r="E124" s="259">
        <v>590</v>
      </c>
      <c r="F124" s="260">
        <v>2061</v>
      </c>
      <c r="G124" s="260">
        <f t="shared" si="61"/>
        <v>0</v>
      </c>
      <c r="H124" s="258">
        <f t="shared" si="62"/>
        <v>56.619694717081757</v>
      </c>
      <c r="I124" s="185"/>
      <c r="K124" s="232"/>
      <c r="L124" s="232"/>
      <c r="M124" s="232"/>
      <c r="R124" s="2"/>
      <c r="S124" s="2"/>
      <c r="T124" s="2"/>
    </row>
    <row r="125" spans="1:20" ht="15.75" thickBot="1">
      <c r="A125" s="237" t="s">
        <v>282</v>
      </c>
      <c r="B125" s="237" t="s">
        <v>321</v>
      </c>
      <c r="C125" s="228">
        <f t="shared" si="60"/>
        <v>4.0907719596366956</v>
      </c>
      <c r="D125" s="229">
        <v>16</v>
      </c>
      <c r="E125" s="228">
        <v>590</v>
      </c>
      <c r="F125" s="230">
        <v>2061</v>
      </c>
      <c r="G125" s="230">
        <f t="shared" si="61"/>
        <v>0</v>
      </c>
      <c r="H125" s="229">
        <f t="shared" si="62"/>
        <v>65.45235135418713</v>
      </c>
      <c r="I125" s="185"/>
      <c r="K125" s="232"/>
      <c r="L125" s="232"/>
      <c r="M125" s="232"/>
      <c r="R125" s="2"/>
      <c r="S125" s="2"/>
      <c r="T125" s="2"/>
    </row>
    <row r="126" spans="1:20" ht="15.75" thickTop="1">
      <c r="A126" s="257" t="s">
        <v>283</v>
      </c>
      <c r="B126" s="233" t="s">
        <v>322</v>
      </c>
      <c r="C126" s="241">
        <f t="shared" si="60"/>
        <v>4.9794854807773392</v>
      </c>
      <c r="D126" s="240">
        <v>16</v>
      </c>
      <c r="E126" s="241">
        <v>665</v>
      </c>
      <c r="F126" s="242">
        <v>1678</v>
      </c>
      <c r="G126" s="242">
        <f t="shared" si="61"/>
        <v>0</v>
      </c>
      <c r="H126" s="240">
        <f t="shared" si="62"/>
        <v>79.671767692437427</v>
      </c>
      <c r="I126" s="185"/>
      <c r="K126" s="232"/>
      <c r="L126" s="232"/>
      <c r="M126" s="232"/>
      <c r="R126" s="2"/>
      <c r="S126" s="2"/>
      <c r="T126" s="2"/>
    </row>
    <row r="127" spans="1:20" ht="15.75" thickBot="1">
      <c r="A127" s="237" t="s">
        <v>284</v>
      </c>
      <c r="B127" s="237" t="s">
        <v>323</v>
      </c>
      <c r="C127" s="228">
        <f t="shared" si="60"/>
        <v>5.7343777118577677</v>
      </c>
      <c r="D127" s="229">
        <v>16</v>
      </c>
      <c r="E127" s="228">
        <v>665</v>
      </c>
      <c r="F127" s="230">
        <v>1678</v>
      </c>
      <c r="G127" s="230">
        <f t="shared" si="61"/>
        <v>0</v>
      </c>
      <c r="H127" s="229">
        <f t="shared" si="62"/>
        <v>91.750043389724283</v>
      </c>
      <c r="I127" s="185"/>
      <c r="K127" s="232"/>
      <c r="L127" s="232"/>
      <c r="M127" s="232"/>
      <c r="R127" s="2"/>
      <c r="S127" s="2"/>
      <c r="T127" s="2"/>
    </row>
    <row r="128" spans="1:20" ht="15.75" thickTop="1">
      <c r="A128" s="239" t="s">
        <v>285</v>
      </c>
      <c r="B128" s="233" t="s">
        <v>324</v>
      </c>
      <c r="C128" s="241">
        <f t="shared" si="60"/>
        <v>4.9794854807773392</v>
      </c>
      <c r="D128" s="240">
        <v>25</v>
      </c>
      <c r="E128" s="241">
        <v>1284</v>
      </c>
      <c r="F128" s="242">
        <v>5189</v>
      </c>
      <c r="G128" s="242">
        <f t="shared" si="61"/>
        <v>0</v>
      </c>
      <c r="H128" s="240">
        <f t="shared" si="62"/>
        <v>124.48713701943348</v>
      </c>
      <c r="I128" s="185"/>
      <c r="K128" s="232"/>
      <c r="L128" s="232"/>
      <c r="M128" s="232"/>
      <c r="R128" s="2"/>
      <c r="S128" s="2"/>
      <c r="T128" s="2"/>
    </row>
    <row r="129" spans="1:20" ht="15.75" thickBot="1">
      <c r="A129" s="237" t="s">
        <v>286</v>
      </c>
      <c r="B129" s="237" t="s">
        <v>325</v>
      </c>
      <c r="C129" s="228">
        <f t="shared" si="60"/>
        <v>5.7343777118577677</v>
      </c>
      <c r="D129" s="229">
        <v>25</v>
      </c>
      <c r="E129" s="228">
        <v>1284</v>
      </c>
      <c r="F129" s="230">
        <v>5189</v>
      </c>
      <c r="G129" s="230">
        <f t="shared" si="61"/>
        <v>0</v>
      </c>
      <c r="H129" s="229">
        <f t="shared" si="62"/>
        <v>143.3594427964442</v>
      </c>
      <c r="I129" s="185"/>
      <c r="K129" s="232"/>
      <c r="L129" s="232"/>
      <c r="M129" s="232"/>
      <c r="R129" s="2"/>
      <c r="S129" s="2"/>
      <c r="T129" s="2"/>
    </row>
    <row r="130" spans="1:20" ht="15.75" thickTop="1">
      <c r="A130" s="345" t="s">
        <v>311</v>
      </c>
      <c r="B130" s="346" t="s">
        <v>326</v>
      </c>
      <c r="C130" s="235">
        <f t="shared" si="60"/>
        <v>4.9794854807773392</v>
      </c>
      <c r="D130" s="234">
        <v>28</v>
      </c>
      <c r="E130" s="235">
        <v>1581</v>
      </c>
      <c r="F130" s="236">
        <v>5189</v>
      </c>
      <c r="G130" s="236">
        <f t="shared" si="61"/>
        <v>0</v>
      </c>
      <c r="H130" s="234">
        <f t="shared" si="62"/>
        <v>139.42559346176552</v>
      </c>
      <c r="I130" s="118"/>
      <c r="K130" s="232"/>
      <c r="L130" s="232"/>
      <c r="M130" s="232"/>
      <c r="R130" s="2"/>
      <c r="S130" s="2"/>
      <c r="T130" s="2"/>
    </row>
    <row r="131" spans="1:20" ht="30">
      <c r="A131" s="316" t="s">
        <v>312</v>
      </c>
      <c r="B131" s="347" t="s">
        <v>327</v>
      </c>
      <c r="C131" s="303">
        <f t="shared" si="60"/>
        <v>5.7343777118577677</v>
      </c>
      <c r="D131" s="63">
        <v>28</v>
      </c>
      <c r="E131" s="303">
        <v>1581</v>
      </c>
      <c r="F131" s="318">
        <v>5189</v>
      </c>
      <c r="G131" s="318">
        <f t="shared" si="61"/>
        <v>0</v>
      </c>
      <c r="H131" s="63">
        <f t="shared" si="62"/>
        <v>160.5625759320175</v>
      </c>
      <c r="I131" s="118"/>
      <c r="K131" s="232"/>
      <c r="L131" s="232"/>
      <c r="M131" s="232"/>
      <c r="R131" s="2"/>
      <c r="S131" s="2"/>
      <c r="T131" s="2"/>
    </row>
    <row r="132" spans="1:20">
      <c r="A132" s="3"/>
      <c r="B132" s="3"/>
      <c r="C132" s="118"/>
      <c r="D132" s="118"/>
      <c r="E132" s="172"/>
      <c r="F132" s="232"/>
      <c r="G132" s="232"/>
      <c r="H132" s="118"/>
      <c r="I132" s="118"/>
      <c r="K132" s="232"/>
      <c r="L132" s="232"/>
      <c r="M132" s="232"/>
      <c r="R132" s="2"/>
      <c r="S132" s="2"/>
      <c r="T132" s="2"/>
    </row>
    <row r="133" spans="1:20">
      <c r="R133" s="2"/>
      <c r="S133" s="2"/>
      <c r="T133" s="2"/>
    </row>
    <row r="134" spans="1:20" ht="18">
      <c r="A134" s="4" t="s">
        <v>2</v>
      </c>
      <c r="B134" s="5" t="s">
        <v>291</v>
      </c>
      <c r="C134" s="5" t="s">
        <v>43</v>
      </c>
      <c r="D134" s="5" t="s">
        <v>9</v>
      </c>
      <c r="E134" s="5" t="s">
        <v>44</v>
      </c>
      <c r="F134" s="5" t="s">
        <v>69</v>
      </c>
      <c r="G134" s="180" t="s">
        <v>70</v>
      </c>
      <c r="H134" s="5" t="s">
        <v>231</v>
      </c>
      <c r="I134" s="105"/>
      <c r="K134" s="105"/>
      <c r="L134" s="105"/>
      <c r="R134" s="2"/>
      <c r="S134" s="2"/>
      <c r="T134" s="2"/>
    </row>
    <row r="135" spans="1:20">
      <c r="A135" s="8"/>
      <c r="B135" s="9" t="s">
        <v>292</v>
      </c>
      <c r="C135" s="9" t="s">
        <v>19</v>
      </c>
      <c r="D135" s="9" t="s">
        <v>18</v>
      </c>
      <c r="E135" s="9" t="s">
        <v>18</v>
      </c>
      <c r="F135" s="9" t="s">
        <v>17</v>
      </c>
      <c r="G135" s="182" t="s">
        <v>17</v>
      </c>
      <c r="H135" s="62" t="s">
        <v>17</v>
      </c>
      <c r="I135" s="105"/>
      <c r="K135" s="105"/>
      <c r="L135" s="105"/>
      <c r="R135" s="2"/>
      <c r="S135" s="2"/>
      <c r="T135" s="2"/>
    </row>
    <row r="136" spans="1:20">
      <c r="A136" s="233" t="s">
        <v>279</v>
      </c>
      <c r="B136" s="235">
        <v>80</v>
      </c>
      <c r="C136" s="234">
        <v>10</v>
      </c>
      <c r="D136" s="234">
        <v>8</v>
      </c>
      <c r="E136" s="236">
        <f t="shared" ref="E136:E139" si="63">B136-10</f>
        <v>70</v>
      </c>
      <c r="F136" s="236">
        <f t="shared" ref="F136:F145" si="64">(0.52*SQRT(D136)*E136^0.9*$B$97^0.8)/1000</f>
        <v>7.8796178754106014</v>
      </c>
      <c r="G136" s="310">
        <f>MIN(2.3*SQRT($C$98*$C$101*$C$99)/1000+(F136/4),$C$99*$C$101*E136/1000,$C$99*$C$101*E136/1000*(SQRT(2+4*$C$98/($C$99*$C$101*E136^2))-1)+F136/4)</f>
        <v>5.7539958910348616</v>
      </c>
      <c r="H136" s="236">
        <f t="shared" ref="H136:H145" si="65">G136</f>
        <v>5.7539958910348616</v>
      </c>
      <c r="I136" s="343"/>
      <c r="K136" s="311"/>
      <c r="L136" s="311"/>
      <c r="R136" s="2"/>
      <c r="S136" s="2"/>
      <c r="T136" s="2"/>
    </row>
    <row r="137" spans="1:20" ht="15.75" thickBot="1">
      <c r="A137" s="237" t="s">
        <v>280</v>
      </c>
      <c r="B137" s="228">
        <v>80</v>
      </c>
      <c r="C137" s="266">
        <v>10</v>
      </c>
      <c r="D137" s="266">
        <v>8</v>
      </c>
      <c r="E137" s="268">
        <f t="shared" si="63"/>
        <v>70</v>
      </c>
      <c r="F137" s="268">
        <f t="shared" si="64"/>
        <v>7.8796178754106014</v>
      </c>
      <c r="G137" s="344">
        <f>MIN(2.3*SQRT($C$98*$C$101*$C$99)/1000+(F137/4),$C$99*$C$101*E137/1000,$C$99*$C$101*E137/1000*(SQRT(2+4*$C$98/($C$99*$C$101*E137^2))-1)+F137/4)</f>
        <v>5.7539958910348616</v>
      </c>
      <c r="H137" s="268">
        <f t="shared" si="65"/>
        <v>5.7539958910348616</v>
      </c>
      <c r="I137" s="343"/>
      <c r="K137" s="311"/>
      <c r="L137" s="311"/>
      <c r="R137" s="2"/>
      <c r="S137" s="2"/>
      <c r="T137" s="2"/>
    </row>
    <row r="138" spans="1:20" ht="15.75" thickTop="1">
      <c r="A138" s="257" t="s">
        <v>281</v>
      </c>
      <c r="B138" s="241">
        <v>80</v>
      </c>
      <c r="C138" s="258">
        <v>16</v>
      </c>
      <c r="D138" s="258">
        <v>8</v>
      </c>
      <c r="E138" s="260">
        <f t="shared" si="63"/>
        <v>70</v>
      </c>
      <c r="F138" s="260">
        <f t="shared" si="64"/>
        <v>7.8796178754106014</v>
      </c>
      <c r="G138" s="321">
        <f>MIN(2.3*SQRT($C$98*$C$101*$C$99)/1000+(F138/4),$C$99*$C$101*E138/1000,$C$99*$C$101*E138/1000*(SQRT(2+4*$C$98/($C$99*$C$101*E138^2))-1)+F138/4)</f>
        <v>5.7539958910348616</v>
      </c>
      <c r="H138" s="260">
        <f t="shared" si="65"/>
        <v>5.7539958910348616</v>
      </c>
      <c r="I138" s="122"/>
      <c r="K138" s="315"/>
      <c r="L138" s="315"/>
      <c r="R138" s="2"/>
      <c r="S138" s="2"/>
      <c r="T138" s="2"/>
    </row>
    <row r="139" spans="1:20" ht="15.75" thickBot="1">
      <c r="A139" s="237" t="s">
        <v>282</v>
      </c>
      <c r="B139" s="228">
        <v>80</v>
      </c>
      <c r="C139" s="229">
        <v>16</v>
      </c>
      <c r="D139" s="229">
        <v>8</v>
      </c>
      <c r="E139" s="230">
        <f t="shared" si="63"/>
        <v>70</v>
      </c>
      <c r="F139" s="230">
        <f t="shared" si="64"/>
        <v>7.8796178754106014</v>
      </c>
      <c r="G139" s="312">
        <f>MIN(2.3*SQRT($C$98*$C$101*$C$99)/1000+(F139/4),$C$99*$C$101*E139/1000,$C$99*$C$101*E139/1000*(SQRT(2+4*$C$98/($C$99*$C$101*E139^2))-1)+F139/4)</f>
        <v>5.7539958910348616</v>
      </c>
      <c r="H139" s="230">
        <f t="shared" si="65"/>
        <v>5.7539958910348616</v>
      </c>
      <c r="I139" s="122"/>
      <c r="K139" s="315"/>
      <c r="L139" s="315"/>
      <c r="R139" s="2"/>
      <c r="S139" s="2"/>
      <c r="T139" s="2"/>
    </row>
    <row r="140" spans="1:20" ht="15.75" thickTop="1">
      <c r="A140" s="257" t="s">
        <v>283</v>
      </c>
      <c r="B140" s="241">
        <v>100</v>
      </c>
      <c r="C140" s="240">
        <v>16</v>
      </c>
      <c r="D140" s="240">
        <v>10</v>
      </c>
      <c r="E140" s="242">
        <f>B140-15</f>
        <v>85</v>
      </c>
      <c r="F140" s="242">
        <f t="shared" si="64"/>
        <v>10.491774806064372</v>
      </c>
      <c r="G140" s="313">
        <f t="shared" ref="G140:G145" si="66">MIN(2.3*SQRT($B$98*$B$101*$B$99)/1000+(F140/4),$B$99*$B$101*E140/1000,$B$99*$B$101*E140/1000*(SQRT(2+4*$B$98/($B$99*$B$101*E140^2))-1)+F140/4)</f>
        <v>8.0354591525640107</v>
      </c>
      <c r="H140" s="242">
        <f t="shared" si="65"/>
        <v>8.0354591525640107</v>
      </c>
      <c r="I140" s="122"/>
      <c r="K140" s="315"/>
      <c r="L140" s="315"/>
      <c r="R140" s="2"/>
      <c r="S140" s="2"/>
      <c r="T140" s="2"/>
    </row>
    <row r="141" spans="1:20" ht="15.75" thickBot="1">
      <c r="A141" s="237" t="s">
        <v>284</v>
      </c>
      <c r="B141" s="228">
        <v>100</v>
      </c>
      <c r="C141" s="229">
        <v>16</v>
      </c>
      <c r="D141" s="229">
        <v>10</v>
      </c>
      <c r="E141" s="230">
        <f t="shared" ref="E141:E145" si="67">B141-15</f>
        <v>85</v>
      </c>
      <c r="F141" s="230">
        <f t="shared" si="64"/>
        <v>10.491774806064372</v>
      </c>
      <c r="G141" s="312">
        <f t="shared" si="66"/>
        <v>8.0354591525640107</v>
      </c>
      <c r="H141" s="230">
        <f t="shared" si="65"/>
        <v>8.0354591525640107</v>
      </c>
      <c r="I141" s="122"/>
      <c r="K141" s="315"/>
      <c r="L141" s="315"/>
      <c r="R141" s="2"/>
      <c r="S141" s="2"/>
      <c r="T141" s="2"/>
    </row>
    <row r="142" spans="1:20" ht="15.75" thickTop="1">
      <c r="A142" s="239" t="s">
        <v>285</v>
      </c>
      <c r="B142" s="241">
        <v>100</v>
      </c>
      <c r="C142" s="240">
        <v>25</v>
      </c>
      <c r="D142" s="240">
        <v>10</v>
      </c>
      <c r="E142" s="242">
        <f t="shared" si="67"/>
        <v>85</v>
      </c>
      <c r="F142" s="242">
        <f t="shared" si="64"/>
        <v>10.491774806064372</v>
      </c>
      <c r="G142" s="313">
        <f t="shared" si="66"/>
        <v>8.0354591525640107</v>
      </c>
      <c r="H142" s="242">
        <f t="shared" si="65"/>
        <v>8.0354591525640107</v>
      </c>
      <c r="I142" s="122"/>
      <c r="K142" s="315"/>
      <c r="L142" s="315"/>
      <c r="R142" s="2"/>
      <c r="S142" s="2"/>
      <c r="T142" s="2"/>
    </row>
    <row r="143" spans="1:20" ht="15.75" thickBot="1">
      <c r="A143" s="237" t="s">
        <v>286</v>
      </c>
      <c r="B143" s="228">
        <v>100</v>
      </c>
      <c r="C143" s="229">
        <v>25</v>
      </c>
      <c r="D143" s="229">
        <v>10</v>
      </c>
      <c r="E143" s="230">
        <f t="shared" si="67"/>
        <v>85</v>
      </c>
      <c r="F143" s="230">
        <f t="shared" si="64"/>
        <v>10.491774806064372</v>
      </c>
      <c r="G143" s="312">
        <f t="shared" si="66"/>
        <v>8.0354591525640107</v>
      </c>
      <c r="H143" s="230">
        <f t="shared" si="65"/>
        <v>8.0354591525640107</v>
      </c>
      <c r="I143" s="122"/>
      <c r="K143" s="315"/>
      <c r="L143" s="315"/>
      <c r="R143" s="2"/>
      <c r="S143" s="2"/>
      <c r="T143" s="2"/>
    </row>
    <row r="144" spans="1:20" ht="15.75" thickTop="1">
      <c r="A144" s="345" t="s">
        <v>311</v>
      </c>
      <c r="B144" s="235">
        <v>100</v>
      </c>
      <c r="C144" s="234">
        <v>28</v>
      </c>
      <c r="D144" s="234">
        <v>10</v>
      </c>
      <c r="E144" s="236">
        <f t="shared" si="67"/>
        <v>85</v>
      </c>
      <c r="F144" s="236">
        <f t="shared" si="64"/>
        <v>10.491774806064372</v>
      </c>
      <c r="G144" s="310">
        <f t="shared" si="66"/>
        <v>8.0354591525640107</v>
      </c>
      <c r="H144" s="236">
        <f t="shared" si="65"/>
        <v>8.0354591525640107</v>
      </c>
      <c r="I144" s="122"/>
      <c r="K144" s="315"/>
      <c r="L144" s="315"/>
      <c r="R144" s="2"/>
      <c r="S144" s="2"/>
      <c r="T144" s="2"/>
    </row>
    <row r="145" spans="1:20">
      <c r="A145" s="316" t="s">
        <v>312</v>
      </c>
      <c r="B145" s="303">
        <v>100</v>
      </c>
      <c r="C145" s="63">
        <v>28</v>
      </c>
      <c r="D145" s="63">
        <v>10</v>
      </c>
      <c r="E145" s="318">
        <f t="shared" si="67"/>
        <v>85</v>
      </c>
      <c r="F145" s="318">
        <f t="shared" si="64"/>
        <v>10.491774806064372</v>
      </c>
      <c r="G145" s="317">
        <f t="shared" si="66"/>
        <v>8.0354591525640107</v>
      </c>
      <c r="H145" s="318">
        <f t="shared" si="65"/>
        <v>8.0354591525640107</v>
      </c>
      <c r="I145" s="72"/>
      <c r="K145" s="320"/>
      <c r="L145" s="320"/>
      <c r="R145" s="2"/>
      <c r="S145" s="2"/>
      <c r="T145" s="2"/>
    </row>
    <row r="146" spans="1:20">
      <c r="M146" s="187"/>
      <c r="R146" s="2"/>
      <c r="S146" s="2"/>
      <c r="T146" s="2"/>
    </row>
    <row r="147" spans="1:20">
      <c r="R147" s="2"/>
      <c r="S147" s="2"/>
      <c r="T147" s="2"/>
    </row>
    <row r="148" spans="1:20" ht="18">
      <c r="A148" s="4" t="s">
        <v>2</v>
      </c>
      <c r="B148" s="4" t="s">
        <v>328</v>
      </c>
      <c r="C148" s="5" t="s">
        <v>185</v>
      </c>
      <c r="D148" s="5" t="s">
        <v>232</v>
      </c>
      <c r="E148" s="5" t="s">
        <v>154</v>
      </c>
      <c r="F148" s="5" t="s">
        <v>159</v>
      </c>
      <c r="G148" s="5" t="s">
        <v>179</v>
      </c>
      <c r="H148" s="5" t="s">
        <v>233</v>
      </c>
      <c r="I148" s="5" t="s">
        <v>161</v>
      </c>
      <c r="J148" s="5" t="s">
        <v>189</v>
      </c>
      <c r="R148" s="2"/>
      <c r="S148" s="2"/>
      <c r="T148" s="2"/>
    </row>
    <row r="149" spans="1:20">
      <c r="A149" s="8"/>
      <c r="B149" s="8"/>
      <c r="C149" s="62" t="s">
        <v>17</v>
      </c>
      <c r="D149" s="62" t="s">
        <v>17</v>
      </c>
      <c r="E149" s="9" t="s">
        <v>19</v>
      </c>
      <c r="F149" s="9" t="s">
        <v>78</v>
      </c>
      <c r="G149" s="9" t="s">
        <v>78</v>
      </c>
      <c r="H149" s="9" t="s">
        <v>78</v>
      </c>
      <c r="I149" s="9" t="s">
        <v>18</v>
      </c>
      <c r="J149" s="9" t="s">
        <v>17</v>
      </c>
      <c r="R149" s="2"/>
      <c r="S149" s="2"/>
      <c r="T149" s="2"/>
    </row>
    <row r="150" spans="1:20">
      <c r="A150" s="233" t="s">
        <v>279</v>
      </c>
      <c r="B150" s="233" t="s">
        <v>329</v>
      </c>
      <c r="C150" s="235">
        <f t="shared" ref="C150:C159" si="68">H136</f>
        <v>5.7539958910348616</v>
      </c>
      <c r="D150" s="235">
        <f>(C136*F136)/(C136)</f>
        <v>7.8796178754106005</v>
      </c>
      <c r="E150" s="234">
        <v>10</v>
      </c>
      <c r="F150" s="348">
        <v>313</v>
      </c>
      <c r="G150" s="236">
        <v>683</v>
      </c>
      <c r="H150" s="349">
        <v>8.25</v>
      </c>
      <c r="I150" s="235">
        <f>G122</f>
        <v>0</v>
      </c>
      <c r="J150" s="235">
        <f t="shared" ref="J150:J159" si="69">C150/(SQRT((1/E150+I150/F150)^2+(I150/G150)^2+(C150/(H150*D150))^2))</f>
        <v>43.086078650436022</v>
      </c>
      <c r="R150" s="2"/>
      <c r="S150" s="2"/>
      <c r="T150" s="2"/>
    </row>
    <row r="151" spans="1:20" ht="15.75" thickBot="1">
      <c r="A151" s="237" t="s">
        <v>280</v>
      </c>
      <c r="B151" s="237" t="s">
        <v>329</v>
      </c>
      <c r="C151" s="267">
        <f t="shared" si="68"/>
        <v>5.7539958910348616</v>
      </c>
      <c r="D151" s="267">
        <f>(C137*F137)/(C137)</f>
        <v>7.8796178754106005</v>
      </c>
      <c r="E151" s="266">
        <v>10</v>
      </c>
      <c r="F151" s="272">
        <v>313</v>
      </c>
      <c r="G151" s="268">
        <v>683</v>
      </c>
      <c r="H151" s="273">
        <v>8.25</v>
      </c>
      <c r="I151" s="267">
        <f t="shared" ref="I151:I159" si="70">I150</f>
        <v>0</v>
      </c>
      <c r="J151" s="267">
        <f t="shared" si="69"/>
        <v>43.086078650436022</v>
      </c>
      <c r="R151" s="2"/>
      <c r="S151" s="2"/>
      <c r="T151" s="2"/>
    </row>
    <row r="152" spans="1:20" ht="15.75" thickTop="1">
      <c r="A152" s="257" t="s">
        <v>281</v>
      </c>
      <c r="B152" s="233" t="s">
        <v>330</v>
      </c>
      <c r="C152" s="259">
        <f t="shared" si="68"/>
        <v>5.7539958910348616</v>
      </c>
      <c r="D152" s="259">
        <f t="shared" ref="D152:D159" si="71">(C138*F138)/(C138)</f>
        <v>7.8796178754106014</v>
      </c>
      <c r="E152" s="258">
        <v>16</v>
      </c>
      <c r="F152" s="350">
        <v>590</v>
      </c>
      <c r="G152" s="260">
        <v>2061</v>
      </c>
      <c r="H152" s="351">
        <v>13</v>
      </c>
      <c r="I152" s="259">
        <f t="shared" si="70"/>
        <v>0</v>
      </c>
      <c r="J152" s="259">
        <f t="shared" si="69"/>
        <v>68.472977152923534</v>
      </c>
      <c r="R152" s="2"/>
      <c r="S152" s="2"/>
      <c r="T152" s="2"/>
    </row>
    <row r="153" spans="1:20" ht="15.75" thickBot="1">
      <c r="A153" s="237" t="s">
        <v>282</v>
      </c>
      <c r="B153" s="237" t="s">
        <v>330</v>
      </c>
      <c r="C153" s="228">
        <f t="shared" si="68"/>
        <v>5.7539958910348616</v>
      </c>
      <c r="D153" s="228">
        <f t="shared" si="71"/>
        <v>7.8796178754106014</v>
      </c>
      <c r="E153" s="229">
        <v>16</v>
      </c>
      <c r="F153" s="274">
        <v>590</v>
      </c>
      <c r="G153" s="230">
        <v>2061</v>
      </c>
      <c r="H153" s="275">
        <v>13</v>
      </c>
      <c r="I153" s="228">
        <f t="shared" si="70"/>
        <v>0</v>
      </c>
      <c r="J153" s="228">
        <f t="shared" si="69"/>
        <v>68.472977152923534</v>
      </c>
      <c r="R153" s="2"/>
      <c r="S153" s="2"/>
      <c r="T153" s="2"/>
    </row>
    <row r="154" spans="1:20" ht="15.75" thickTop="1">
      <c r="A154" s="257" t="s">
        <v>283</v>
      </c>
      <c r="B154" s="233" t="s">
        <v>331</v>
      </c>
      <c r="C154" s="241">
        <f t="shared" si="68"/>
        <v>8.0354591525640107</v>
      </c>
      <c r="D154" s="241">
        <f t="shared" si="71"/>
        <v>10.491774806064372</v>
      </c>
      <c r="E154" s="240">
        <v>16</v>
      </c>
      <c r="F154" s="352">
        <v>665</v>
      </c>
      <c r="G154" s="242">
        <v>1678</v>
      </c>
      <c r="H154" s="353">
        <v>17.3</v>
      </c>
      <c r="I154" s="241">
        <f t="shared" si="70"/>
        <v>0</v>
      </c>
      <c r="J154" s="241">
        <f t="shared" si="69"/>
        <v>104.91426865436597</v>
      </c>
      <c r="R154" s="2"/>
      <c r="S154" s="2"/>
      <c r="T154" s="2"/>
    </row>
    <row r="155" spans="1:20" ht="15.75" thickBot="1">
      <c r="A155" s="237" t="s">
        <v>284</v>
      </c>
      <c r="B155" s="237" t="s">
        <v>331</v>
      </c>
      <c r="C155" s="228">
        <f t="shared" si="68"/>
        <v>8.0354591525640107</v>
      </c>
      <c r="D155" s="228">
        <f t="shared" si="71"/>
        <v>10.491774806064372</v>
      </c>
      <c r="E155" s="229">
        <v>16</v>
      </c>
      <c r="F155" s="274">
        <v>665</v>
      </c>
      <c r="G155" s="230">
        <v>1678</v>
      </c>
      <c r="H155" s="275">
        <v>17.3</v>
      </c>
      <c r="I155" s="228">
        <f t="shared" si="70"/>
        <v>0</v>
      </c>
      <c r="J155" s="228">
        <f t="shared" si="69"/>
        <v>104.91426865436597</v>
      </c>
      <c r="R155" s="2"/>
      <c r="S155" s="2"/>
      <c r="T155" s="2"/>
    </row>
    <row r="156" spans="1:20" ht="15.75" thickTop="1">
      <c r="A156" s="239" t="s">
        <v>285</v>
      </c>
      <c r="B156" s="233" t="s">
        <v>332</v>
      </c>
      <c r="C156" s="241">
        <f t="shared" si="68"/>
        <v>8.0354591525640107</v>
      </c>
      <c r="D156" s="241">
        <f t="shared" si="71"/>
        <v>10.491774806064372</v>
      </c>
      <c r="E156" s="240">
        <v>25</v>
      </c>
      <c r="F156" s="352">
        <v>1284</v>
      </c>
      <c r="G156" s="242">
        <v>5189</v>
      </c>
      <c r="H156" s="353">
        <v>26.8</v>
      </c>
      <c r="I156" s="241">
        <f t="shared" si="70"/>
        <v>0</v>
      </c>
      <c r="J156" s="241">
        <f t="shared" si="69"/>
        <v>163.4559716110634</v>
      </c>
      <c r="R156" s="2"/>
      <c r="S156" s="2"/>
      <c r="T156" s="2"/>
    </row>
    <row r="157" spans="1:20" ht="15.75" thickBot="1">
      <c r="A157" s="237" t="s">
        <v>286</v>
      </c>
      <c r="B157" s="237" t="s">
        <v>332</v>
      </c>
      <c r="C157" s="228">
        <f t="shared" si="68"/>
        <v>8.0354591525640107</v>
      </c>
      <c r="D157" s="228">
        <f t="shared" si="71"/>
        <v>10.491774806064372</v>
      </c>
      <c r="E157" s="229">
        <v>25</v>
      </c>
      <c r="F157" s="274">
        <v>1284</v>
      </c>
      <c r="G157" s="230">
        <v>5189</v>
      </c>
      <c r="H157" s="275">
        <v>26.8</v>
      </c>
      <c r="I157" s="228">
        <f t="shared" si="70"/>
        <v>0</v>
      </c>
      <c r="J157" s="228">
        <f t="shared" si="69"/>
        <v>163.4559716110634</v>
      </c>
      <c r="R157" s="2"/>
      <c r="S157" s="2"/>
      <c r="T157" s="2"/>
    </row>
    <row r="158" spans="1:20" ht="15.75" thickTop="1">
      <c r="A158" s="345" t="s">
        <v>311</v>
      </c>
      <c r="B158" s="346" t="s">
        <v>333</v>
      </c>
      <c r="C158" s="241">
        <f t="shared" si="68"/>
        <v>8.0354591525640107</v>
      </c>
      <c r="D158" s="241">
        <f t="shared" si="71"/>
        <v>10.491774806064372</v>
      </c>
      <c r="E158" s="240">
        <v>28</v>
      </c>
      <c r="F158" s="352">
        <v>1581</v>
      </c>
      <c r="G158" s="242">
        <v>7226</v>
      </c>
      <c r="H158" s="353">
        <v>24</v>
      </c>
      <c r="I158" s="241">
        <f t="shared" si="70"/>
        <v>0</v>
      </c>
      <c r="J158" s="241">
        <f t="shared" si="69"/>
        <v>167.77465457907084</v>
      </c>
      <c r="R158" s="2"/>
      <c r="S158" s="2"/>
      <c r="T158" s="2"/>
    </row>
    <row r="159" spans="1:20" ht="30">
      <c r="A159" s="316" t="s">
        <v>312</v>
      </c>
      <c r="B159" s="347" t="s">
        <v>334</v>
      </c>
      <c r="C159" s="34">
        <f t="shared" si="68"/>
        <v>8.0354591525640107</v>
      </c>
      <c r="D159" s="34">
        <f t="shared" si="71"/>
        <v>10.491774806064372</v>
      </c>
      <c r="E159" s="66">
        <v>28</v>
      </c>
      <c r="F159" s="276">
        <v>1581</v>
      </c>
      <c r="G159" s="243">
        <v>7226</v>
      </c>
      <c r="H159" s="184">
        <v>24</v>
      </c>
      <c r="I159" s="34">
        <f t="shared" si="70"/>
        <v>0</v>
      </c>
      <c r="J159" s="34">
        <f t="shared" si="69"/>
        <v>167.77465457907084</v>
      </c>
      <c r="R159" s="2"/>
      <c r="S159" s="2"/>
      <c r="T159" s="2"/>
    </row>
    <row r="160" spans="1:20">
      <c r="R160" s="2"/>
      <c r="S160" s="2"/>
      <c r="T160" s="2"/>
    </row>
    <row r="161" spans="1:23">
      <c r="A161" s="3"/>
      <c r="B161" s="77"/>
      <c r="E161" t="s">
        <v>72</v>
      </c>
      <c r="G161" s="3"/>
      <c r="Q161" s="767"/>
      <c r="R161" s="767"/>
      <c r="S161" s="767"/>
      <c r="T161" s="767"/>
    </row>
    <row r="162" spans="1:23" ht="18">
      <c r="A162" s="4" t="s">
        <v>2</v>
      </c>
      <c r="B162" s="78" t="s">
        <v>163</v>
      </c>
      <c r="C162" s="78" t="s">
        <v>164</v>
      </c>
      <c r="D162" s="78" t="s">
        <v>234</v>
      </c>
      <c r="E162" s="79" t="s">
        <v>235</v>
      </c>
      <c r="G162" s="277"/>
      <c r="P162" s="4" t="s">
        <v>2</v>
      </c>
      <c r="Q162" s="710" t="s">
        <v>290</v>
      </c>
      <c r="R162" s="711"/>
      <c r="S162" s="711"/>
      <c r="T162" s="711"/>
      <c r="U162" s="712"/>
    </row>
    <row r="163" spans="1:23">
      <c r="A163" s="8"/>
      <c r="B163" s="81" t="s">
        <v>17</v>
      </c>
      <c r="C163" s="82" t="s">
        <v>17</v>
      </c>
      <c r="D163" s="82" t="s">
        <v>17</v>
      </c>
      <c r="E163" s="83" t="s">
        <v>17</v>
      </c>
      <c r="G163" s="278"/>
      <c r="P163" s="8"/>
      <c r="Q163" s="11">
        <v>0.6</v>
      </c>
      <c r="R163" s="11">
        <v>0.7</v>
      </c>
      <c r="S163" s="11">
        <v>0.8</v>
      </c>
      <c r="T163" s="11">
        <v>0.9</v>
      </c>
      <c r="U163" s="11">
        <v>1</v>
      </c>
    </row>
    <row r="164" spans="1:23" ht="30">
      <c r="A164" s="281" t="s">
        <v>294</v>
      </c>
      <c r="B164" s="283">
        <f t="shared" ref="B164:B173" si="72">H122</f>
        <v>35.387309198176098</v>
      </c>
      <c r="C164" s="323">
        <v>34</v>
      </c>
      <c r="D164" s="282">
        <f t="shared" ref="D164:D173" si="73">J150</f>
        <v>43.086078650436022</v>
      </c>
      <c r="E164" s="324">
        <f t="shared" ref="E164:E173" si="74">MIN(B164,D164)</f>
        <v>35.387309198176098</v>
      </c>
      <c r="G164" s="279"/>
      <c r="K164" s="103"/>
      <c r="N164" s="3"/>
      <c r="O164" s="3"/>
      <c r="P164" s="281" t="s">
        <v>294</v>
      </c>
      <c r="Q164" s="325">
        <f t="shared" ref="Q164:U173" si="75">MIN(Q$163*$B164/1.3,$C164/1,Q$163*$D164/1.3)</f>
        <v>16.332604245312044</v>
      </c>
      <c r="R164" s="325">
        <f t="shared" si="75"/>
        <v>19.054704952864054</v>
      </c>
      <c r="S164" s="325">
        <f t="shared" si="75"/>
        <v>21.776805660416059</v>
      </c>
      <c r="T164" s="326">
        <f t="shared" si="75"/>
        <v>24.498906367968068</v>
      </c>
      <c r="U164" s="326">
        <f t="shared" si="75"/>
        <v>27.221007075520074</v>
      </c>
      <c r="V164" s="354"/>
      <c r="W164" s="3"/>
    </row>
    <row r="165" spans="1:23" ht="30.75" thickBot="1">
      <c r="A165" s="288" t="s">
        <v>295</v>
      </c>
      <c r="B165" s="290">
        <f t="shared" si="72"/>
        <v>40.907719596366952</v>
      </c>
      <c r="C165" s="327">
        <v>34</v>
      </c>
      <c r="D165" s="289">
        <f t="shared" si="73"/>
        <v>43.086078650436022</v>
      </c>
      <c r="E165" s="328">
        <f t="shared" si="74"/>
        <v>40.907719596366952</v>
      </c>
      <c r="G165" s="279"/>
      <c r="K165" s="103"/>
      <c r="N165" s="3"/>
      <c r="O165" s="3"/>
      <c r="P165" s="288" t="s">
        <v>295</v>
      </c>
      <c r="Q165" s="329">
        <f t="shared" si="75"/>
        <v>18.880485967553977</v>
      </c>
      <c r="R165" s="329">
        <f t="shared" si="75"/>
        <v>22.027233628812972</v>
      </c>
      <c r="S165" s="329">
        <f t="shared" si="75"/>
        <v>25.173981290071971</v>
      </c>
      <c r="T165" s="330">
        <f t="shared" si="75"/>
        <v>28.320728951330963</v>
      </c>
      <c r="U165" s="330">
        <f t="shared" si="75"/>
        <v>31.467476612589962</v>
      </c>
      <c r="V165" s="354"/>
      <c r="W165" s="3"/>
    </row>
    <row r="166" spans="1:23" ht="30.75" thickTop="1">
      <c r="A166" s="295" t="s">
        <v>296</v>
      </c>
      <c r="B166" s="297">
        <f t="shared" si="72"/>
        <v>56.619694717081757</v>
      </c>
      <c r="C166" s="340">
        <v>34</v>
      </c>
      <c r="D166" s="296">
        <f t="shared" si="73"/>
        <v>68.472977152923534</v>
      </c>
      <c r="E166" s="341">
        <f t="shared" si="74"/>
        <v>56.619694717081757</v>
      </c>
      <c r="G166" s="279"/>
      <c r="K166" s="103"/>
      <c r="N166" s="3"/>
      <c r="O166" s="3"/>
      <c r="P166" s="295" t="s">
        <v>296</v>
      </c>
      <c r="Q166" s="334">
        <f t="shared" si="75"/>
        <v>26.132166792499273</v>
      </c>
      <c r="R166" s="334">
        <f t="shared" si="75"/>
        <v>30.487527924582484</v>
      </c>
      <c r="S166" s="334">
        <f t="shared" si="75"/>
        <v>34</v>
      </c>
      <c r="T166" s="335">
        <f t="shared" si="75"/>
        <v>34</v>
      </c>
      <c r="U166" s="335">
        <f t="shared" si="75"/>
        <v>34</v>
      </c>
      <c r="V166" s="354"/>
      <c r="W166" s="3"/>
    </row>
    <row r="167" spans="1:23" ht="30.75" thickBot="1">
      <c r="A167" s="288" t="s">
        <v>297</v>
      </c>
      <c r="B167" s="290">
        <f t="shared" si="72"/>
        <v>65.45235135418713</v>
      </c>
      <c r="C167" s="327">
        <v>34</v>
      </c>
      <c r="D167" s="289">
        <f t="shared" si="73"/>
        <v>68.472977152923534</v>
      </c>
      <c r="E167" s="328">
        <f t="shared" si="74"/>
        <v>65.45235135418713</v>
      </c>
      <c r="G167" s="279"/>
      <c r="K167" s="103"/>
      <c r="N167" s="3"/>
      <c r="O167" s="3"/>
      <c r="P167" s="288" t="s">
        <v>297</v>
      </c>
      <c r="Q167" s="336">
        <f t="shared" si="75"/>
        <v>30.208777548086367</v>
      </c>
      <c r="R167" s="336">
        <f t="shared" si="75"/>
        <v>34</v>
      </c>
      <c r="S167" s="336">
        <f t="shared" si="75"/>
        <v>34</v>
      </c>
      <c r="T167" s="337">
        <f t="shared" si="75"/>
        <v>34</v>
      </c>
      <c r="U167" s="337">
        <f t="shared" si="75"/>
        <v>34</v>
      </c>
      <c r="V167" s="354"/>
      <c r="W167" s="3"/>
    </row>
    <row r="168" spans="1:23" ht="30.75" thickTop="1">
      <c r="A168" s="295" t="s">
        <v>299</v>
      </c>
      <c r="B168" s="297">
        <f t="shared" si="72"/>
        <v>79.671767692437427</v>
      </c>
      <c r="C168" s="340">
        <v>50</v>
      </c>
      <c r="D168" s="296">
        <f t="shared" si="73"/>
        <v>104.91426865436597</v>
      </c>
      <c r="E168" s="341">
        <f t="shared" si="74"/>
        <v>79.671767692437427</v>
      </c>
      <c r="G168" s="279"/>
      <c r="K168" s="103"/>
      <c r="N168" s="3"/>
      <c r="O168" s="3"/>
      <c r="P168" s="295" t="s">
        <v>299</v>
      </c>
      <c r="Q168" s="338">
        <f t="shared" si="75"/>
        <v>36.771585088817275</v>
      </c>
      <c r="R168" s="338">
        <f t="shared" si="75"/>
        <v>42.900182603620152</v>
      </c>
      <c r="S168" s="338">
        <f t="shared" si="75"/>
        <v>49.028780118423029</v>
      </c>
      <c r="T168" s="339">
        <f t="shared" si="75"/>
        <v>50</v>
      </c>
      <c r="U168" s="339">
        <f t="shared" si="75"/>
        <v>50</v>
      </c>
      <c r="V168" s="354"/>
      <c r="W168" s="3"/>
    </row>
    <row r="169" spans="1:23" ht="30.75" thickBot="1">
      <c r="A169" s="288" t="s">
        <v>301</v>
      </c>
      <c r="B169" s="290">
        <f t="shared" si="72"/>
        <v>91.750043389724283</v>
      </c>
      <c r="C169" s="327">
        <v>50</v>
      </c>
      <c r="D169" s="289">
        <f t="shared" si="73"/>
        <v>104.91426865436597</v>
      </c>
      <c r="E169" s="328">
        <f t="shared" si="74"/>
        <v>91.750043389724283</v>
      </c>
      <c r="G169" s="279"/>
      <c r="K169" s="103"/>
      <c r="N169" s="3"/>
      <c r="O169" s="3"/>
      <c r="P169" s="288" t="s">
        <v>301</v>
      </c>
      <c r="Q169" s="336">
        <f t="shared" si="75"/>
        <v>42.346173872180437</v>
      </c>
      <c r="R169" s="336">
        <f t="shared" si="75"/>
        <v>49.403869517543846</v>
      </c>
      <c r="S169" s="336">
        <f t="shared" si="75"/>
        <v>50</v>
      </c>
      <c r="T169" s="337">
        <f t="shared" si="75"/>
        <v>50</v>
      </c>
      <c r="U169" s="337">
        <f t="shared" si="75"/>
        <v>50</v>
      </c>
      <c r="V169" s="354"/>
      <c r="W169" s="3"/>
    </row>
    <row r="170" spans="1:23" ht="30.75" thickTop="1">
      <c r="A170" s="295" t="s">
        <v>303</v>
      </c>
      <c r="B170" s="297">
        <f t="shared" si="72"/>
        <v>124.48713701943348</v>
      </c>
      <c r="C170" s="340">
        <v>50</v>
      </c>
      <c r="D170" s="296">
        <f t="shared" si="73"/>
        <v>163.4559716110634</v>
      </c>
      <c r="E170" s="341">
        <f t="shared" si="74"/>
        <v>124.48713701943348</v>
      </c>
      <c r="G170" s="279"/>
      <c r="K170" s="103"/>
      <c r="N170" s="3"/>
      <c r="O170" s="3"/>
      <c r="P170" s="295" t="s">
        <v>303</v>
      </c>
      <c r="Q170" s="338">
        <f t="shared" si="75"/>
        <v>50</v>
      </c>
      <c r="R170" s="338">
        <f t="shared" si="75"/>
        <v>50</v>
      </c>
      <c r="S170" s="338">
        <f t="shared" si="75"/>
        <v>50</v>
      </c>
      <c r="T170" s="339">
        <f t="shared" si="75"/>
        <v>50</v>
      </c>
      <c r="U170" s="339">
        <f t="shared" si="75"/>
        <v>50</v>
      </c>
      <c r="V170" s="354"/>
      <c r="W170" s="3"/>
    </row>
    <row r="171" spans="1:23" ht="30.75" thickBot="1">
      <c r="A171" s="288" t="s">
        <v>304</v>
      </c>
      <c r="B171" s="290">
        <f t="shared" si="72"/>
        <v>143.3594427964442</v>
      </c>
      <c r="C171" s="327">
        <v>50</v>
      </c>
      <c r="D171" s="289">
        <f t="shared" si="73"/>
        <v>163.4559716110634</v>
      </c>
      <c r="E171" s="328">
        <f t="shared" si="74"/>
        <v>143.3594427964442</v>
      </c>
      <c r="G171" s="279"/>
      <c r="K171" s="103"/>
      <c r="N171" s="3"/>
      <c r="O171" s="3"/>
      <c r="P171" s="288" t="s">
        <v>304</v>
      </c>
      <c r="Q171" s="336">
        <f t="shared" si="75"/>
        <v>50</v>
      </c>
      <c r="R171" s="336">
        <f t="shared" si="75"/>
        <v>50</v>
      </c>
      <c r="S171" s="336">
        <f t="shared" si="75"/>
        <v>50</v>
      </c>
      <c r="T171" s="337">
        <f t="shared" si="75"/>
        <v>50</v>
      </c>
      <c r="U171" s="337">
        <f t="shared" si="75"/>
        <v>50</v>
      </c>
      <c r="V171" s="354"/>
      <c r="W171" s="3"/>
    </row>
    <row r="172" spans="1:23" ht="30.75" thickTop="1">
      <c r="A172" s="295" t="s">
        <v>305</v>
      </c>
      <c r="B172" s="297">
        <f t="shared" si="72"/>
        <v>139.42559346176552</v>
      </c>
      <c r="C172" s="340">
        <v>50</v>
      </c>
      <c r="D172" s="296">
        <f t="shared" si="73"/>
        <v>167.77465457907084</v>
      </c>
      <c r="E172" s="341">
        <f t="shared" si="74"/>
        <v>139.42559346176552</v>
      </c>
      <c r="P172" s="295" t="s">
        <v>305</v>
      </c>
      <c r="Q172" s="338">
        <f t="shared" si="75"/>
        <v>50</v>
      </c>
      <c r="R172" s="338">
        <f t="shared" si="75"/>
        <v>50</v>
      </c>
      <c r="S172" s="338">
        <f t="shared" si="75"/>
        <v>50</v>
      </c>
      <c r="T172" s="339">
        <f t="shared" si="75"/>
        <v>50</v>
      </c>
      <c r="U172" s="339">
        <f t="shared" si="75"/>
        <v>50</v>
      </c>
      <c r="V172" s="354"/>
      <c r="W172" s="3"/>
    </row>
    <row r="173" spans="1:23" ht="45">
      <c r="A173" s="302" t="s">
        <v>306</v>
      </c>
      <c r="B173" s="63">
        <f t="shared" si="72"/>
        <v>160.5625759320175</v>
      </c>
      <c r="C173" s="323">
        <v>50</v>
      </c>
      <c r="D173" s="303">
        <f t="shared" si="73"/>
        <v>167.77465457907084</v>
      </c>
      <c r="E173" s="318">
        <f t="shared" si="74"/>
        <v>160.5625759320175</v>
      </c>
      <c r="P173" s="302" t="s">
        <v>306</v>
      </c>
      <c r="Q173" s="355">
        <f t="shared" si="75"/>
        <v>50</v>
      </c>
      <c r="R173" s="355">
        <f t="shared" si="75"/>
        <v>50</v>
      </c>
      <c r="S173" s="355">
        <f t="shared" si="75"/>
        <v>50</v>
      </c>
      <c r="T173" s="356">
        <f t="shared" si="75"/>
        <v>50</v>
      </c>
      <c r="U173" s="356">
        <f t="shared" si="75"/>
        <v>50</v>
      </c>
      <c r="V173" s="357"/>
    </row>
  </sheetData>
  <sheetProtection algorithmName="SHA-512" hashValue="OW5vNFqDwSJJX0e+WhydY9W9rUuGq1Qz7qYUlUhK7kvTK5iE1weTuj/g/QRKSRS8rcXA9BMRPWBj+w1FAMY5pg==" saltValue="xRsStMFz8ECK1UKU0SXsGQ==" spinCount="100000" sheet="1" objects="1" scenarios="1" selectLockedCells="1"/>
  <customSheetViews>
    <customSheetView guid="{88029C9E-0AAA-4AEA-8FBA-3530118F01BF}">
      <selection activeCell="D22" sqref="D22"/>
      <pageMargins left="0.7" right="0.7" top="0.78740157499999996" bottom="0.78740157499999996" header="0.3" footer="0.3"/>
    </customSheetView>
  </customSheetViews>
  <mergeCells count="6">
    <mergeCell ref="Q162:U162"/>
    <mergeCell ref="Q4:T4"/>
    <mergeCell ref="Q72:T72"/>
    <mergeCell ref="Q161:T161"/>
    <mergeCell ref="Q74:V74"/>
    <mergeCell ref="Q5:V5"/>
  </mergeCells>
  <pageMargins left="0.70866141732283472" right="0.70866141732283472" top="0.78740157480314965" bottom="0.78740157480314965" header="0.31496062992125984" footer="0.31496062992125984"/>
  <pageSetup paperSize="9" scale="30" fitToHeight="2" orientation="landscape" r:id="rId1"/>
  <rowBreaks count="1" manualBreakCount="1">
    <brk id="92" max="16383" man="1"/>
  </rowBreaks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7</xdr:col>
                <xdr:colOff>704850</xdr:colOff>
                <xdr:row>18</xdr:row>
                <xdr:rowOff>85725</xdr:rowOff>
              </from>
              <to>
                <xdr:col>11</xdr:col>
                <xdr:colOff>542925</xdr:colOff>
                <xdr:row>19</xdr:row>
                <xdr:rowOff>114300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progId="Equation.3" shapeId="3074" r:id="rId6">
          <objectPr defaultSize="0" autoPict="0" r:id="rId7">
            <anchor moveWithCells="1">
              <from>
                <xdr:col>4</xdr:col>
                <xdr:colOff>28575</xdr:colOff>
                <xdr:row>30</xdr:row>
                <xdr:rowOff>9525</xdr:rowOff>
              </from>
              <to>
                <xdr:col>5</xdr:col>
                <xdr:colOff>676275</xdr:colOff>
                <xdr:row>30</xdr:row>
                <xdr:rowOff>190500</xdr:rowOff>
              </to>
            </anchor>
          </objectPr>
        </oleObject>
      </mc:Choice>
      <mc:Fallback>
        <oleObject progId="Equation.3" shapeId="3074" r:id="rId6"/>
      </mc:Fallback>
    </mc:AlternateContent>
    <mc:AlternateContent xmlns:mc="http://schemas.openxmlformats.org/markup-compatibility/2006">
      <mc:Choice Requires="x14">
        <oleObject progId="Equation.3" shapeId="3075" r:id="rId8">
          <objectPr defaultSize="0" autoPict="0" r:id="rId9">
            <anchor moveWithCells="1">
              <from>
                <xdr:col>4</xdr:col>
                <xdr:colOff>19050</xdr:colOff>
                <xdr:row>28</xdr:row>
                <xdr:rowOff>95250</xdr:rowOff>
              </from>
              <to>
                <xdr:col>5</xdr:col>
                <xdr:colOff>638175</xdr:colOff>
                <xdr:row>29</xdr:row>
                <xdr:rowOff>161925</xdr:rowOff>
              </to>
            </anchor>
          </objectPr>
        </oleObject>
      </mc:Choice>
      <mc:Fallback>
        <oleObject progId="Equation.3" shapeId="3075" r:id="rId8"/>
      </mc:Fallback>
    </mc:AlternateContent>
    <mc:AlternateContent xmlns:mc="http://schemas.openxmlformats.org/markup-compatibility/2006">
      <mc:Choice Requires="x14">
        <oleObject progId="Equation.3" shapeId="3076" r:id="rId10">
          <objectPr defaultSize="0" autoPict="0" r:id="rId9">
            <anchor moveWithCells="1">
              <from>
                <xdr:col>4</xdr:col>
                <xdr:colOff>28575</xdr:colOff>
                <xdr:row>98</xdr:row>
                <xdr:rowOff>123825</xdr:rowOff>
              </from>
              <to>
                <xdr:col>5</xdr:col>
                <xdr:colOff>647700</xdr:colOff>
                <xdr:row>99</xdr:row>
                <xdr:rowOff>190500</xdr:rowOff>
              </to>
            </anchor>
          </objectPr>
        </oleObject>
      </mc:Choice>
      <mc:Fallback>
        <oleObject progId="Equation.3" shapeId="3076" r:id="rId10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utoPict="0" r:id="rId7">
            <anchor moveWithCells="1">
              <from>
                <xdr:col>4</xdr:col>
                <xdr:colOff>28575</xdr:colOff>
                <xdr:row>100</xdr:row>
                <xdr:rowOff>28575</xdr:rowOff>
              </from>
              <to>
                <xdr:col>5</xdr:col>
                <xdr:colOff>676275</xdr:colOff>
                <xdr:row>101</xdr:row>
                <xdr:rowOff>0</xdr:rowOff>
              </to>
            </anchor>
          </objectPr>
        </oleObject>
      </mc:Choice>
      <mc:Fallback>
        <oleObject progId="Equation.3" shapeId="3077" r:id="rId11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598"/>
  <sheetViews>
    <sheetView showGridLines="0" showRowColHeaders="0" topLeftCell="A25" workbookViewId="0">
      <selection activeCell="L422" sqref="L422"/>
    </sheetView>
  </sheetViews>
  <sheetFormatPr baseColWidth="10" defaultRowHeight="15"/>
  <cols>
    <col min="1" max="1" width="26.140625" customWidth="1"/>
    <col min="7" max="7" width="13.28515625" customWidth="1"/>
    <col min="8" max="8" width="12.42578125" customWidth="1"/>
    <col min="14" max="14" width="13.85546875" customWidth="1"/>
    <col min="15" max="15" width="24" customWidth="1"/>
    <col min="16" max="16" width="13.42578125" style="2" customWidth="1"/>
    <col min="17" max="17" width="14.140625" style="2" customWidth="1"/>
    <col min="18" max="19" width="11.42578125" style="2" customWidth="1"/>
    <col min="21" max="21" width="12" customWidth="1"/>
    <col min="22" max="22" width="12.5703125" customWidth="1"/>
    <col min="23" max="23" width="18.85546875" customWidth="1"/>
    <col min="25" max="28" width="13" customWidth="1"/>
    <col min="31" max="31" width="12.85546875" bestFit="1" customWidth="1"/>
    <col min="36" max="37" width="17" customWidth="1"/>
    <col min="39" max="42" width="13.5703125" customWidth="1"/>
    <col min="45" max="45" width="12.85546875" bestFit="1" customWidth="1"/>
  </cols>
  <sheetData>
    <row r="1" spans="1:23" ht="26.25">
      <c r="A1" s="1" t="s">
        <v>335</v>
      </c>
    </row>
    <row r="2" spans="1:23">
      <c r="M2" s="3"/>
    </row>
    <row r="3" spans="1:23" ht="1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336</v>
      </c>
      <c r="L3" s="6" t="s">
        <v>13</v>
      </c>
      <c r="M3" s="358"/>
      <c r="O3" s="4" t="s">
        <v>2</v>
      </c>
      <c r="P3" s="710" t="s">
        <v>14</v>
      </c>
      <c r="Q3" s="711"/>
      <c r="R3" s="711"/>
      <c r="S3" s="711"/>
      <c r="T3" s="712"/>
      <c r="V3" s="4" t="s">
        <v>15</v>
      </c>
      <c r="W3" s="4" t="s">
        <v>16</v>
      </c>
    </row>
    <row r="4" spans="1:23">
      <c r="A4" s="8" t="s">
        <v>337</v>
      </c>
      <c r="B4" s="9" t="s">
        <v>17</v>
      </c>
      <c r="C4" s="9" t="s">
        <v>18</v>
      </c>
      <c r="D4" s="9" t="s">
        <v>18</v>
      </c>
      <c r="E4" s="9" t="s">
        <v>19</v>
      </c>
      <c r="F4" s="9" t="s">
        <v>18</v>
      </c>
      <c r="G4" s="9" t="s">
        <v>18</v>
      </c>
      <c r="H4" s="9" t="s">
        <v>18</v>
      </c>
      <c r="I4" s="9" t="s">
        <v>17</v>
      </c>
      <c r="J4" s="9" t="s">
        <v>17</v>
      </c>
      <c r="K4" s="9" t="s">
        <v>17</v>
      </c>
      <c r="L4" s="10" t="s">
        <v>17</v>
      </c>
      <c r="M4" s="358"/>
      <c r="O4" s="8" t="s">
        <v>337</v>
      </c>
      <c r="P4" s="11">
        <v>0.6</v>
      </c>
      <c r="Q4" s="11">
        <v>0.7</v>
      </c>
      <c r="R4" s="11">
        <v>0.8</v>
      </c>
      <c r="S4" s="11">
        <v>0.9</v>
      </c>
      <c r="T4" s="11">
        <v>1</v>
      </c>
      <c r="V4" s="8" t="s">
        <v>20</v>
      </c>
      <c r="W4" s="8" t="s">
        <v>21</v>
      </c>
    </row>
    <row r="5" spans="1:23" ht="45">
      <c r="A5" s="396" t="s">
        <v>385</v>
      </c>
      <c r="B5" s="397">
        <f>5.9*175/235</f>
        <v>4.3936170212765955</v>
      </c>
      <c r="C5" s="398">
        <v>34</v>
      </c>
      <c r="D5" s="398">
        <f t="shared" ref="D5:D15" si="0">C5/2</f>
        <v>17</v>
      </c>
      <c r="E5" s="398">
        <v>2</v>
      </c>
      <c r="F5" s="398">
        <v>35</v>
      </c>
      <c r="G5" s="398">
        <v>65</v>
      </c>
      <c r="H5" s="398">
        <v>8</v>
      </c>
      <c r="I5" s="399">
        <f t="shared" ref="I5:I26" si="1">(0.52*SQRT(H5)*(F5)^0.9*$B$35^0.8)/1000</f>
        <v>4.2225826668958426</v>
      </c>
      <c r="J5" s="138">
        <f t="shared" ref="J5:J26" si="2">($J$33*0.52*SQRT(H5)*G5^0.9*$B$35^0.8)/1000</f>
        <v>2.2113638026311735</v>
      </c>
      <c r="K5" s="439">
        <v>15.1</v>
      </c>
      <c r="L5" s="440">
        <f t="shared" ref="L5:L32" si="3">E5*MIN(B5,I5,J5)</f>
        <v>4.422727605262347</v>
      </c>
      <c r="M5" s="115"/>
      <c r="O5" s="396" t="s">
        <v>385</v>
      </c>
      <c r="P5" s="403">
        <f t="shared" ref="P5:T14" si="4">$E5*MIN($B5/$B$33,$I5*P$4/$L$33,$J5*P$4/$L$33,$K5/$K$33)</f>
        <v>2.0412588947364676</v>
      </c>
      <c r="Q5" s="403">
        <f t="shared" si="4"/>
        <v>2.3814687105258789</v>
      </c>
      <c r="R5" s="403">
        <f t="shared" si="4"/>
        <v>2.7216785263152903</v>
      </c>
      <c r="S5" s="403">
        <f t="shared" si="4"/>
        <v>3.0618883421047021</v>
      </c>
      <c r="T5" s="403">
        <f t="shared" si="4"/>
        <v>3.402098157894113</v>
      </c>
      <c r="V5" s="14" t="s">
        <v>22</v>
      </c>
      <c r="W5" s="15">
        <v>350</v>
      </c>
    </row>
    <row r="6" spans="1:23" ht="45">
      <c r="A6" s="396" t="s">
        <v>386</v>
      </c>
      <c r="B6" s="397">
        <f t="shared" ref="B6:B15" si="5">5.9*175/235</f>
        <v>4.3936170212765955</v>
      </c>
      <c r="C6" s="398">
        <v>54</v>
      </c>
      <c r="D6" s="398">
        <f t="shared" si="0"/>
        <v>27</v>
      </c>
      <c r="E6" s="398">
        <v>2</v>
      </c>
      <c r="F6" s="398">
        <v>35</v>
      </c>
      <c r="G6" s="398">
        <v>65</v>
      </c>
      <c r="H6" s="398">
        <v>8</v>
      </c>
      <c r="I6" s="399">
        <f t="shared" si="1"/>
        <v>4.2225826668958426</v>
      </c>
      <c r="J6" s="138">
        <f t="shared" si="2"/>
        <v>2.2113638026311735</v>
      </c>
      <c r="K6" s="138">
        <f>$K$5</f>
        <v>15.1</v>
      </c>
      <c r="L6" s="440">
        <f t="shared" si="3"/>
        <v>4.422727605262347</v>
      </c>
      <c r="M6" s="115"/>
      <c r="N6" s="19"/>
      <c r="O6" s="396" t="s">
        <v>386</v>
      </c>
      <c r="P6" s="403">
        <f t="shared" si="4"/>
        <v>2.0412588947364676</v>
      </c>
      <c r="Q6" s="403">
        <f t="shared" si="4"/>
        <v>2.3814687105258789</v>
      </c>
      <c r="R6" s="403">
        <f t="shared" si="4"/>
        <v>2.7216785263152903</v>
      </c>
      <c r="S6" s="403">
        <f t="shared" si="4"/>
        <v>3.0618883421047021</v>
      </c>
      <c r="T6" s="403">
        <f t="shared" si="4"/>
        <v>3.402098157894113</v>
      </c>
      <c r="V6" s="14" t="s">
        <v>23</v>
      </c>
      <c r="W6" s="15">
        <v>380</v>
      </c>
    </row>
    <row r="7" spans="1:23" ht="45">
      <c r="A7" s="396" t="s">
        <v>387</v>
      </c>
      <c r="B7" s="397">
        <f t="shared" si="5"/>
        <v>4.3936170212765955</v>
      </c>
      <c r="C7" s="398">
        <v>74</v>
      </c>
      <c r="D7" s="398">
        <f t="shared" si="0"/>
        <v>37</v>
      </c>
      <c r="E7" s="398">
        <v>2</v>
      </c>
      <c r="F7" s="398">
        <v>35</v>
      </c>
      <c r="G7" s="398">
        <v>65</v>
      </c>
      <c r="H7" s="398">
        <v>8</v>
      </c>
      <c r="I7" s="399">
        <f t="shared" si="1"/>
        <v>4.2225826668958426</v>
      </c>
      <c r="J7" s="138">
        <f t="shared" si="2"/>
        <v>2.2113638026311735</v>
      </c>
      <c r="K7" s="138">
        <f t="shared" ref="K7:K30" si="6">$K$5</f>
        <v>15.1</v>
      </c>
      <c r="L7" s="440">
        <f t="shared" si="3"/>
        <v>4.422727605262347</v>
      </c>
      <c r="M7" s="115"/>
      <c r="O7" s="396" t="s">
        <v>387</v>
      </c>
      <c r="P7" s="403">
        <f t="shared" si="4"/>
        <v>2.0412588947364676</v>
      </c>
      <c r="Q7" s="403">
        <f t="shared" si="4"/>
        <v>2.3814687105258789</v>
      </c>
      <c r="R7" s="403">
        <f t="shared" si="4"/>
        <v>2.7216785263152903</v>
      </c>
      <c r="S7" s="403">
        <f t="shared" si="4"/>
        <v>3.0618883421047021</v>
      </c>
      <c r="T7" s="403">
        <f t="shared" si="4"/>
        <v>3.402098157894113</v>
      </c>
      <c r="V7" s="14" t="s">
        <v>24</v>
      </c>
      <c r="W7" s="15">
        <v>365</v>
      </c>
    </row>
    <row r="8" spans="1:23" ht="45">
      <c r="A8" s="396" t="s">
        <v>388</v>
      </c>
      <c r="B8" s="397">
        <f t="shared" si="5"/>
        <v>4.3936170212765955</v>
      </c>
      <c r="C8" s="398">
        <v>94</v>
      </c>
      <c r="D8" s="398">
        <f t="shared" si="0"/>
        <v>47</v>
      </c>
      <c r="E8" s="398">
        <v>2</v>
      </c>
      <c r="F8" s="398">
        <v>35</v>
      </c>
      <c r="G8" s="398">
        <v>65</v>
      </c>
      <c r="H8" s="398">
        <v>8</v>
      </c>
      <c r="I8" s="399">
        <f t="shared" si="1"/>
        <v>4.2225826668958426</v>
      </c>
      <c r="J8" s="138">
        <f t="shared" si="2"/>
        <v>2.2113638026311735</v>
      </c>
      <c r="K8" s="138">
        <f t="shared" si="6"/>
        <v>15.1</v>
      </c>
      <c r="L8" s="440">
        <f t="shared" si="3"/>
        <v>4.422727605262347</v>
      </c>
      <c r="M8" s="115"/>
      <c r="O8" s="396" t="s">
        <v>388</v>
      </c>
      <c r="P8" s="403">
        <f t="shared" si="4"/>
        <v>2.0412588947364676</v>
      </c>
      <c r="Q8" s="403">
        <f t="shared" si="4"/>
        <v>2.3814687105258789</v>
      </c>
      <c r="R8" s="403">
        <f t="shared" si="4"/>
        <v>2.7216785263152903</v>
      </c>
      <c r="S8" s="403">
        <f t="shared" si="4"/>
        <v>3.0618883421047021</v>
      </c>
      <c r="T8" s="403">
        <f t="shared" si="4"/>
        <v>3.402098157894113</v>
      </c>
      <c r="V8" s="14" t="s">
        <v>25</v>
      </c>
      <c r="W8" s="15">
        <v>385</v>
      </c>
    </row>
    <row r="9" spans="1:23" ht="45">
      <c r="A9" s="396" t="s">
        <v>389</v>
      </c>
      <c r="B9" s="397">
        <f t="shared" si="5"/>
        <v>4.3936170212765955</v>
      </c>
      <c r="C9" s="398">
        <v>114</v>
      </c>
      <c r="D9" s="398">
        <f t="shared" si="0"/>
        <v>57</v>
      </c>
      <c r="E9" s="398">
        <v>2</v>
      </c>
      <c r="F9" s="398">
        <v>35</v>
      </c>
      <c r="G9" s="398">
        <v>65</v>
      </c>
      <c r="H9" s="398">
        <v>8</v>
      </c>
      <c r="I9" s="399">
        <f t="shared" si="1"/>
        <v>4.2225826668958426</v>
      </c>
      <c r="J9" s="138">
        <f t="shared" si="2"/>
        <v>2.2113638026311735</v>
      </c>
      <c r="K9" s="138">
        <f t="shared" si="6"/>
        <v>15.1</v>
      </c>
      <c r="L9" s="440">
        <f t="shared" si="3"/>
        <v>4.422727605262347</v>
      </c>
      <c r="M9" s="115"/>
      <c r="O9" s="396" t="s">
        <v>389</v>
      </c>
      <c r="P9" s="403">
        <f t="shared" si="4"/>
        <v>2.0412588947364676</v>
      </c>
      <c r="Q9" s="403">
        <f t="shared" si="4"/>
        <v>2.3814687105258789</v>
      </c>
      <c r="R9" s="403">
        <f t="shared" si="4"/>
        <v>2.7216785263152903</v>
      </c>
      <c r="S9" s="403">
        <f t="shared" si="4"/>
        <v>3.0618883421047021</v>
      </c>
      <c r="T9" s="403">
        <f t="shared" si="4"/>
        <v>3.402098157894113</v>
      </c>
      <c r="V9" s="14" t="s">
        <v>26</v>
      </c>
      <c r="W9" s="15">
        <v>425</v>
      </c>
    </row>
    <row r="10" spans="1:23" ht="45">
      <c r="A10" s="396" t="s">
        <v>390</v>
      </c>
      <c r="B10" s="397">
        <f t="shared" si="5"/>
        <v>4.3936170212765955</v>
      </c>
      <c r="C10" s="398">
        <v>134</v>
      </c>
      <c r="D10" s="398">
        <f t="shared" si="0"/>
        <v>67</v>
      </c>
      <c r="E10" s="398">
        <v>2</v>
      </c>
      <c r="F10" s="398">
        <v>35</v>
      </c>
      <c r="G10" s="398">
        <v>65</v>
      </c>
      <c r="H10" s="398">
        <v>8</v>
      </c>
      <c r="I10" s="399">
        <f t="shared" si="1"/>
        <v>4.2225826668958426</v>
      </c>
      <c r="J10" s="138">
        <f t="shared" si="2"/>
        <v>2.2113638026311735</v>
      </c>
      <c r="K10" s="138">
        <f t="shared" si="6"/>
        <v>15.1</v>
      </c>
      <c r="L10" s="440">
        <f t="shared" si="3"/>
        <v>4.422727605262347</v>
      </c>
      <c r="M10" s="115"/>
      <c r="O10" s="396" t="s">
        <v>390</v>
      </c>
      <c r="P10" s="403">
        <f t="shared" si="4"/>
        <v>2.0412588947364676</v>
      </c>
      <c r="Q10" s="403">
        <f t="shared" si="4"/>
        <v>2.3814687105258789</v>
      </c>
      <c r="R10" s="403">
        <f t="shared" si="4"/>
        <v>2.7216785263152903</v>
      </c>
      <c r="S10" s="403">
        <f t="shared" si="4"/>
        <v>3.0618883421047021</v>
      </c>
      <c r="T10" s="403">
        <f t="shared" si="4"/>
        <v>3.402098157894113</v>
      </c>
      <c r="V10" s="14" t="s">
        <v>27</v>
      </c>
      <c r="W10" s="15">
        <v>390</v>
      </c>
    </row>
    <row r="11" spans="1:23" ht="45">
      <c r="A11" s="396" t="s">
        <v>391</v>
      </c>
      <c r="B11" s="397">
        <f t="shared" si="5"/>
        <v>4.3936170212765955</v>
      </c>
      <c r="C11" s="398">
        <v>134</v>
      </c>
      <c r="D11" s="398">
        <f t="shared" si="0"/>
        <v>67</v>
      </c>
      <c r="E11" s="398">
        <f>C11/(C11-D11)</f>
        <v>2</v>
      </c>
      <c r="F11" s="398">
        <v>35</v>
      </c>
      <c r="G11" s="398">
        <v>65</v>
      </c>
      <c r="H11" s="398">
        <v>8</v>
      </c>
      <c r="I11" s="399">
        <f t="shared" si="1"/>
        <v>4.2225826668958426</v>
      </c>
      <c r="J11" s="138">
        <f t="shared" si="2"/>
        <v>2.2113638026311735</v>
      </c>
      <c r="K11" s="138">
        <f t="shared" si="6"/>
        <v>15.1</v>
      </c>
      <c r="L11" s="440">
        <f t="shared" si="3"/>
        <v>4.422727605262347</v>
      </c>
      <c r="M11" s="115"/>
      <c r="O11" s="396" t="s">
        <v>391</v>
      </c>
      <c r="P11" s="403">
        <f t="shared" si="4"/>
        <v>2.0412588947364676</v>
      </c>
      <c r="Q11" s="403">
        <f t="shared" si="4"/>
        <v>2.3814687105258789</v>
      </c>
      <c r="R11" s="403">
        <f t="shared" si="4"/>
        <v>2.7216785263152903</v>
      </c>
      <c r="S11" s="403">
        <f t="shared" si="4"/>
        <v>3.0618883421047021</v>
      </c>
      <c r="T11" s="403">
        <f t="shared" si="4"/>
        <v>3.402098157894113</v>
      </c>
      <c r="V11" s="14" t="s">
        <v>298</v>
      </c>
      <c r="W11" s="15">
        <v>430</v>
      </c>
    </row>
    <row r="12" spans="1:23" ht="45">
      <c r="A12" s="396" t="s">
        <v>392</v>
      </c>
      <c r="B12" s="397">
        <f t="shared" si="5"/>
        <v>4.3936170212765955</v>
      </c>
      <c r="C12" s="398">
        <v>174</v>
      </c>
      <c r="D12" s="398">
        <f t="shared" si="0"/>
        <v>87</v>
      </c>
      <c r="E12" s="398">
        <f>C12/(C12-D12)</f>
        <v>2</v>
      </c>
      <c r="F12" s="398">
        <v>35</v>
      </c>
      <c r="G12" s="398">
        <v>65</v>
      </c>
      <c r="H12" s="398">
        <v>8</v>
      </c>
      <c r="I12" s="399">
        <f t="shared" si="1"/>
        <v>4.2225826668958426</v>
      </c>
      <c r="J12" s="138">
        <f t="shared" si="2"/>
        <v>2.2113638026311735</v>
      </c>
      <c r="K12" s="138">
        <f t="shared" si="6"/>
        <v>15.1</v>
      </c>
      <c r="L12" s="440">
        <f t="shared" si="3"/>
        <v>4.422727605262347</v>
      </c>
      <c r="M12" s="115"/>
      <c r="O12" s="396" t="s">
        <v>392</v>
      </c>
      <c r="P12" s="403">
        <f t="shared" si="4"/>
        <v>2.0412588947364676</v>
      </c>
      <c r="Q12" s="403">
        <f t="shared" si="4"/>
        <v>2.3814687105258789</v>
      </c>
      <c r="R12" s="403">
        <f t="shared" si="4"/>
        <v>2.7216785263152903</v>
      </c>
      <c r="S12" s="403">
        <f t="shared" si="4"/>
        <v>3.0618883421047021</v>
      </c>
      <c r="T12" s="403">
        <f t="shared" si="4"/>
        <v>3.402098157894113</v>
      </c>
      <c r="V12" s="14" t="s">
        <v>300</v>
      </c>
      <c r="W12" s="15">
        <v>400</v>
      </c>
    </row>
    <row r="13" spans="1:23" ht="45">
      <c r="A13" s="396" t="s">
        <v>393</v>
      </c>
      <c r="B13" s="397">
        <f t="shared" si="5"/>
        <v>4.3936170212765955</v>
      </c>
      <c r="C13" s="398">
        <v>214</v>
      </c>
      <c r="D13" s="398">
        <f t="shared" si="0"/>
        <v>107</v>
      </c>
      <c r="E13" s="398">
        <f>C13/(C13-D13)</f>
        <v>2</v>
      </c>
      <c r="F13" s="398">
        <v>35</v>
      </c>
      <c r="G13" s="398">
        <v>65</v>
      </c>
      <c r="H13" s="398">
        <v>8</v>
      </c>
      <c r="I13" s="399">
        <f t="shared" si="1"/>
        <v>4.2225826668958426</v>
      </c>
      <c r="J13" s="138">
        <f t="shared" si="2"/>
        <v>2.2113638026311735</v>
      </c>
      <c r="K13" s="138">
        <f t="shared" si="6"/>
        <v>15.1</v>
      </c>
      <c r="L13" s="440">
        <f t="shared" si="3"/>
        <v>4.422727605262347</v>
      </c>
      <c r="M13" s="115"/>
      <c r="O13" s="396" t="s">
        <v>393</v>
      </c>
      <c r="P13" s="403">
        <f t="shared" si="4"/>
        <v>2.0412588947364676</v>
      </c>
      <c r="Q13" s="403">
        <f t="shared" si="4"/>
        <v>2.3814687105258789</v>
      </c>
      <c r="R13" s="403">
        <f t="shared" si="4"/>
        <v>2.7216785263152903</v>
      </c>
      <c r="S13" s="403">
        <f t="shared" si="4"/>
        <v>3.0618883421047021</v>
      </c>
      <c r="T13" s="403">
        <f t="shared" si="4"/>
        <v>3.402098157894113</v>
      </c>
      <c r="V13" s="14" t="s">
        <v>302</v>
      </c>
      <c r="W13" s="15">
        <v>440</v>
      </c>
    </row>
    <row r="14" spans="1:23" ht="45">
      <c r="A14" s="396" t="s">
        <v>394</v>
      </c>
      <c r="B14" s="397">
        <f t="shared" si="5"/>
        <v>4.3936170212765955</v>
      </c>
      <c r="C14" s="398">
        <v>254</v>
      </c>
      <c r="D14" s="398">
        <f t="shared" si="0"/>
        <v>127</v>
      </c>
      <c r="E14" s="398">
        <f>C14/(C14-D14)</f>
        <v>2</v>
      </c>
      <c r="F14" s="398">
        <v>35</v>
      </c>
      <c r="G14" s="398">
        <v>65</v>
      </c>
      <c r="H14" s="398">
        <v>8</v>
      </c>
      <c r="I14" s="399">
        <f t="shared" si="1"/>
        <v>4.2225826668958426</v>
      </c>
      <c r="J14" s="138">
        <f t="shared" si="2"/>
        <v>2.2113638026311735</v>
      </c>
      <c r="K14" s="138">
        <f t="shared" si="6"/>
        <v>15.1</v>
      </c>
      <c r="L14" s="440">
        <f t="shared" si="3"/>
        <v>4.422727605262347</v>
      </c>
      <c r="M14" s="115"/>
      <c r="O14" s="396" t="s">
        <v>394</v>
      </c>
      <c r="P14" s="403">
        <f t="shared" si="4"/>
        <v>2.0412588947364676</v>
      </c>
      <c r="Q14" s="403">
        <f t="shared" si="4"/>
        <v>2.3814687105258789</v>
      </c>
      <c r="R14" s="403">
        <f t="shared" si="4"/>
        <v>2.7216785263152903</v>
      </c>
      <c r="S14" s="403">
        <f t="shared" si="4"/>
        <v>3.0618883421047021</v>
      </c>
      <c r="T14" s="403">
        <f t="shared" si="4"/>
        <v>3.402098157894113</v>
      </c>
      <c r="V14" s="247"/>
      <c r="W14" s="105"/>
    </row>
    <row r="15" spans="1:23" ht="45.75" thickBot="1">
      <c r="A15" s="438" t="s">
        <v>395</v>
      </c>
      <c r="B15" s="441">
        <f t="shared" si="5"/>
        <v>4.3936170212765955</v>
      </c>
      <c r="C15" s="442">
        <v>294</v>
      </c>
      <c r="D15" s="442">
        <f t="shared" si="0"/>
        <v>147</v>
      </c>
      <c r="E15" s="442">
        <f>C15/(C15-D15)</f>
        <v>2</v>
      </c>
      <c r="F15" s="442">
        <v>35</v>
      </c>
      <c r="G15" s="442">
        <v>65</v>
      </c>
      <c r="H15" s="442">
        <v>8</v>
      </c>
      <c r="I15" s="443">
        <f t="shared" si="1"/>
        <v>4.2225826668958426</v>
      </c>
      <c r="J15" s="444">
        <f t="shared" si="2"/>
        <v>2.2113638026311735</v>
      </c>
      <c r="K15" s="444">
        <f t="shared" si="6"/>
        <v>15.1</v>
      </c>
      <c r="L15" s="445">
        <f t="shared" si="3"/>
        <v>4.422727605262347</v>
      </c>
      <c r="M15" s="115"/>
      <c r="O15" s="438" t="s">
        <v>395</v>
      </c>
      <c r="P15" s="472">
        <f t="shared" ref="P15:T26" si="7">$E15*MIN($B15/$B$33,$I15*P$4/$L$33,$J15*P$4/$L$33,$K15/$K$33)</f>
        <v>2.0412588947364676</v>
      </c>
      <c r="Q15" s="472">
        <f t="shared" si="7"/>
        <v>2.3814687105258789</v>
      </c>
      <c r="R15" s="472">
        <f t="shared" si="7"/>
        <v>2.7216785263152903</v>
      </c>
      <c r="S15" s="472">
        <f t="shared" si="7"/>
        <v>3.0618883421047021</v>
      </c>
      <c r="T15" s="472">
        <f t="shared" si="7"/>
        <v>3.402098157894113</v>
      </c>
      <c r="V15" s="247"/>
      <c r="W15" s="105"/>
    </row>
    <row r="16" spans="1:23" ht="45.75" thickTop="1">
      <c r="A16" s="411" t="s">
        <v>396</v>
      </c>
      <c r="B16" s="412">
        <v>4.0999999999999996</v>
      </c>
      <c r="C16" s="413">
        <v>40</v>
      </c>
      <c r="D16" s="413">
        <f>C16/2</f>
        <v>20</v>
      </c>
      <c r="E16" s="413">
        <v>2</v>
      </c>
      <c r="F16" s="413">
        <v>35</v>
      </c>
      <c r="G16" s="413">
        <v>65</v>
      </c>
      <c r="H16" s="413">
        <v>8</v>
      </c>
      <c r="I16" s="414">
        <f t="shared" si="1"/>
        <v>4.2225826668958426</v>
      </c>
      <c r="J16" s="415">
        <f t="shared" si="2"/>
        <v>2.2113638026311735</v>
      </c>
      <c r="K16" s="415">
        <f t="shared" si="6"/>
        <v>15.1</v>
      </c>
      <c r="L16" s="416">
        <f t="shared" si="3"/>
        <v>4.422727605262347</v>
      </c>
      <c r="M16" s="115"/>
      <c r="O16" s="411" t="s">
        <v>396</v>
      </c>
      <c r="P16" s="417">
        <f t="shared" si="7"/>
        <v>2.0412588947364676</v>
      </c>
      <c r="Q16" s="417">
        <f t="shared" si="7"/>
        <v>2.3814687105258789</v>
      </c>
      <c r="R16" s="417">
        <f t="shared" si="7"/>
        <v>2.7216785263152903</v>
      </c>
      <c r="S16" s="417">
        <f t="shared" si="7"/>
        <v>3.0618883421047021</v>
      </c>
      <c r="T16" s="417">
        <f t="shared" si="7"/>
        <v>3.402098157894113</v>
      </c>
    </row>
    <row r="17" spans="1:21" ht="45">
      <c r="A17" s="396" t="s">
        <v>397</v>
      </c>
      <c r="B17" s="412">
        <v>4.0999999999999996</v>
      </c>
      <c r="C17" s="398">
        <v>60</v>
      </c>
      <c r="D17" s="398">
        <f t="shared" ref="D17:D30" si="8">C17/2</f>
        <v>30</v>
      </c>
      <c r="E17" s="398">
        <v>2</v>
      </c>
      <c r="F17" s="398">
        <v>35</v>
      </c>
      <c r="G17" s="398">
        <v>65</v>
      </c>
      <c r="H17" s="398">
        <v>8</v>
      </c>
      <c r="I17" s="399">
        <f t="shared" si="1"/>
        <v>4.2225826668958426</v>
      </c>
      <c r="J17" s="138">
        <f t="shared" si="2"/>
        <v>2.2113638026311735</v>
      </c>
      <c r="K17" s="138">
        <f t="shared" si="6"/>
        <v>15.1</v>
      </c>
      <c r="L17" s="440">
        <f t="shared" si="3"/>
        <v>4.422727605262347</v>
      </c>
      <c r="M17" s="115"/>
      <c r="O17" s="396" t="s">
        <v>397</v>
      </c>
      <c r="P17" s="403">
        <f t="shared" si="7"/>
        <v>2.0412588947364676</v>
      </c>
      <c r="Q17" s="403">
        <f t="shared" si="7"/>
        <v>2.3814687105258789</v>
      </c>
      <c r="R17" s="403">
        <f t="shared" si="7"/>
        <v>2.7216785263152903</v>
      </c>
      <c r="S17" s="403">
        <f t="shared" si="7"/>
        <v>3.0618883421047021</v>
      </c>
      <c r="T17" s="403">
        <f t="shared" si="7"/>
        <v>3.402098157894113</v>
      </c>
      <c r="U17" s="20"/>
    </row>
    <row r="18" spans="1:21" ht="45">
      <c r="A18" s="396" t="s">
        <v>398</v>
      </c>
      <c r="B18" s="412">
        <v>4.0999999999999996</v>
      </c>
      <c r="C18" s="398">
        <v>80</v>
      </c>
      <c r="D18" s="398">
        <f t="shared" si="8"/>
        <v>40</v>
      </c>
      <c r="E18" s="398">
        <v>2</v>
      </c>
      <c r="F18" s="398">
        <v>35</v>
      </c>
      <c r="G18" s="398">
        <v>65</v>
      </c>
      <c r="H18" s="398">
        <v>8</v>
      </c>
      <c r="I18" s="399">
        <f t="shared" si="1"/>
        <v>4.2225826668958426</v>
      </c>
      <c r="J18" s="138">
        <f t="shared" si="2"/>
        <v>2.2113638026311735</v>
      </c>
      <c r="K18" s="138">
        <f t="shared" si="6"/>
        <v>15.1</v>
      </c>
      <c r="L18" s="440">
        <f t="shared" si="3"/>
        <v>4.422727605262347</v>
      </c>
      <c r="M18" s="115"/>
      <c r="O18" s="396" t="s">
        <v>398</v>
      </c>
      <c r="P18" s="403">
        <f t="shared" si="7"/>
        <v>2.0412588947364676</v>
      </c>
      <c r="Q18" s="403">
        <f t="shared" si="7"/>
        <v>2.3814687105258789</v>
      </c>
      <c r="R18" s="403">
        <f t="shared" si="7"/>
        <v>2.7216785263152903</v>
      </c>
      <c r="S18" s="403">
        <f t="shared" si="7"/>
        <v>3.0618883421047021</v>
      </c>
      <c r="T18" s="403">
        <f t="shared" si="7"/>
        <v>3.402098157894113</v>
      </c>
    </row>
    <row r="19" spans="1:21" ht="45">
      <c r="A19" s="396" t="s">
        <v>399</v>
      </c>
      <c r="B19" s="412">
        <v>4.0999999999999996</v>
      </c>
      <c r="C19" s="398">
        <v>100</v>
      </c>
      <c r="D19" s="398">
        <f t="shared" si="8"/>
        <v>50</v>
      </c>
      <c r="E19" s="398">
        <v>2</v>
      </c>
      <c r="F19" s="398">
        <v>35</v>
      </c>
      <c r="G19" s="398">
        <v>65</v>
      </c>
      <c r="H19" s="398">
        <v>8</v>
      </c>
      <c r="I19" s="399">
        <f t="shared" si="1"/>
        <v>4.2225826668958426</v>
      </c>
      <c r="J19" s="138">
        <f t="shared" si="2"/>
        <v>2.2113638026311735</v>
      </c>
      <c r="K19" s="138">
        <f t="shared" si="6"/>
        <v>15.1</v>
      </c>
      <c r="L19" s="440">
        <f t="shared" si="3"/>
        <v>4.422727605262347</v>
      </c>
      <c r="M19" s="115"/>
      <c r="O19" s="396" t="s">
        <v>399</v>
      </c>
      <c r="P19" s="403">
        <f t="shared" si="7"/>
        <v>2.0412588947364676</v>
      </c>
      <c r="Q19" s="403">
        <f t="shared" si="7"/>
        <v>2.3814687105258789</v>
      </c>
      <c r="R19" s="403">
        <f t="shared" si="7"/>
        <v>2.7216785263152903</v>
      </c>
      <c r="S19" s="403">
        <f t="shared" si="7"/>
        <v>3.0618883421047021</v>
      </c>
      <c r="T19" s="403">
        <f t="shared" si="7"/>
        <v>3.402098157894113</v>
      </c>
    </row>
    <row r="20" spans="1:21" ht="45">
      <c r="A20" s="396" t="s">
        <v>400</v>
      </c>
      <c r="B20" s="412">
        <v>4.0999999999999996</v>
      </c>
      <c r="C20" s="398">
        <v>120</v>
      </c>
      <c r="D20" s="398">
        <f t="shared" si="8"/>
        <v>60</v>
      </c>
      <c r="E20" s="398">
        <v>2</v>
      </c>
      <c r="F20" s="398">
        <v>35</v>
      </c>
      <c r="G20" s="398">
        <v>65</v>
      </c>
      <c r="H20" s="398">
        <v>8</v>
      </c>
      <c r="I20" s="399">
        <f t="shared" si="1"/>
        <v>4.2225826668958426</v>
      </c>
      <c r="J20" s="138">
        <f t="shared" si="2"/>
        <v>2.2113638026311735</v>
      </c>
      <c r="K20" s="138">
        <f t="shared" si="6"/>
        <v>15.1</v>
      </c>
      <c r="L20" s="440">
        <f t="shared" si="3"/>
        <v>4.422727605262347</v>
      </c>
      <c r="M20" s="115"/>
      <c r="O20" s="396" t="s">
        <v>400</v>
      </c>
      <c r="P20" s="403">
        <f t="shared" si="7"/>
        <v>2.0412588947364676</v>
      </c>
      <c r="Q20" s="403">
        <f t="shared" si="7"/>
        <v>2.3814687105258789</v>
      </c>
      <c r="R20" s="403">
        <f t="shared" si="7"/>
        <v>2.7216785263152903</v>
      </c>
      <c r="S20" s="403">
        <f t="shared" si="7"/>
        <v>3.0618883421047021</v>
      </c>
      <c r="T20" s="403">
        <f t="shared" si="7"/>
        <v>3.402098157894113</v>
      </c>
    </row>
    <row r="21" spans="1:21" ht="45">
      <c r="A21" s="396" t="s">
        <v>401</v>
      </c>
      <c r="B21" s="412">
        <v>4.0999999999999996</v>
      </c>
      <c r="C21" s="398">
        <v>140</v>
      </c>
      <c r="D21" s="398">
        <f t="shared" si="8"/>
        <v>70</v>
      </c>
      <c r="E21" s="398">
        <v>2</v>
      </c>
      <c r="F21" s="398">
        <v>35</v>
      </c>
      <c r="G21" s="398">
        <v>65</v>
      </c>
      <c r="H21" s="398">
        <v>8</v>
      </c>
      <c r="I21" s="399">
        <f t="shared" si="1"/>
        <v>4.2225826668958426</v>
      </c>
      <c r="J21" s="138">
        <f t="shared" si="2"/>
        <v>2.2113638026311735</v>
      </c>
      <c r="K21" s="138">
        <f t="shared" si="6"/>
        <v>15.1</v>
      </c>
      <c r="L21" s="440">
        <f t="shared" si="3"/>
        <v>4.422727605262347</v>
      </c>
      <c r="M21" s="115"/>
      <c r="O21" s="396" t="s">
        <v>401</v>
      </c>
      <c r="P21" s="403">
        <f t="shared" si="7"/>
        <v>2.0412588947364676</v>
      </c>
      <c r="Q21" s="403">
        <f t="shared" si="7"/>
        <v>2.3814687105258789</v>
      </c>
      <c r="R21" s="403">
        <f t="shared" si="7"/>
        <v>2.7216785263152903</v>
      </c>
      <c r="S21" s="403">
        <f t="shared" si="7"/>
        <v>3.0618883421047021</v>
      </c>
      <c r="T21" s="403">
        <f t="shared" si="7"/>
        <v>3.402098157894113</v>
      </c>
    </row>
    <row r="22" spans="1:21" ht="45">
      <c r="A22" s="396" t="s">
        <v>402</v>
      </c>
      <c r="B22" s="412">
        <v>4.0999999999999996</v>
      </c>
      <c r="C22" s="398">
        <v>140</v>
      </c>
      <c r="D22" s="398">
        <f t="shared" si="8"/>
        <v>70</v>
      </c>
      <c r="E22" s="398">
        <f>C22/(C22-D22)</f>
        <v>2</v>
      </c>
      <c r="F22" s="398">
        <v>35</v>
      </c>
      <c r="G22" s="398">
        <v>65</v>
      </c>
      <c r="H22" s="398">
        <v>8</v>
      </c>
      <c r="I22" s="399">
        <f t="shared" si="1"/>
        <v>4.2225826668958426</v>
      </c>
      <c r="J22" s="138">
        <f t="shared" si="2"/>
        <v>2.2113638026311735</v>
      </c>
      <c r="K22" s="138">
        <f t="shared" si="6"/>
        <v>15.1</v>
      </c>
      <c r="L22" s="440">
        <f t="shared" si="3"/>
        <v>4.422727605262347</v>
      </c>
      <c r="M22" s="115"/>
      <c r="O22" s="396" t="s">
        <v>402</v>
      </c>
      <c r="P22" s="403">
        <f t="shared" si="7"/>
        <v>2.0412588947364676</v>
      </c>
      <c r="Q22" s="403">
        <f t="shared" si="7"/>
        <v>2.3814687105258789</v>
      </c>
      <c r="R22" s="403">
        <f t="shared" si="7"/>
        <v>2.7216785263152903</v>
      </c>
      <c r="S22" s="403">
        <f t="shared" si="7"/>
        <v>3.0618883421047021</v>
      </c>
      <c r="T22" s="403">
        <f t="shared" si="7"/>
        <v>3.402098157894113</v>
      </c>
    </row>
    <row r="23" spans="1:21" ht="45">
      <c r="A23" s="396" t="s">
        <v>403</v>
      </c>
      <c r="B23" s="412">
        <v>4.0999999999999996</v>
      </c>
      <c r="C23" s="398">
        <v>180</v>
      </c>
      <c r="D23" s="398">
        <f t="shared" si="8"/>
        <v>90</v>
      </c>
      <c r="E23" s="398">
        <f>C23/(C23-D23)</f>
        <v>2</v>
      </c>
      <c r="F23" s="398">
        <v>35</v>
      </c>
      <c r="G23" s="398">
        <v>65</v>
      </c>
      <c r="H23" s="398">
        <v>8</v>
      </c>
      <c r="I23" s="399">
        <f t="shared" si="1"/>
        <v>4.2225826668958426</v>
      </c>
      <c r="J23" s="138">
        <f t="shared" si="2"/>
        <v>2.2113638026311735</v>
      </c>
      <c r="K23" s="138">
        <f t="shared" si="6"/>
        <v>15.1</v>
      </c>
      <c r="L23" s="440">
        <f t="shared" si="3"/>
        <v>4.422727605262347</v>
      </c>
      <c r="M23" s="115"/>
      <c r="N23" s="360"/>
      <c r="O23" s="396" t="s">
        <v>403</v>
      </c>
      <c r="P23" s="403">
        <f t="shared" si="7"/>
        <v>2.0412588947364676</v>
      </c>
      <c r="Q23" s="403">
        <f t="shared" si="7"/>
        <v>2.3814687105258789</v>
      </c>
      <c r="R23" s="403">
        <f t="shared" si="7"/>
        <v>2.7216785263152903</v>
      </c>
      <c r="S23" s="403">
        <f t="shared" si="7"/>
        <v>3.0618883421047021</v>
      </c>
      <c r="T23" s="403">
        <f t="shared" si="7"/>
        <v>3.402098157894113</v>
      </c>
    </row>
    <row r="24" spans="1:21" ht="45">
      <c r="A24" s="396" t="s">
        <v>404</v>
      </c>
      <c r="B24" s="412">
        <v>4.0999999999999996</v>
      </c>
      <c r="C24" s="398">
        <v>220</v>
      </c>
      <c r="D24" s="398">
        <f t="shared" si="8"/>
        <v>110</v>
      </c>
      <c r="E24" s="398">
        <f>C24/(C24-D24)</f>
        <v>2</v>
      </c>
      <c r="F24" s="398">
        <v>35</v>
      </c>
      <c r="G24" s="398">
        <v>65</v>
      </c>
      <c r="H24" s="398">
        <v>8</v>
      </c>
      <c r="I24" s="399">
        <f t="shared" si="1"/>
        <v>4.2225826668958426</v>
      </c>
      <c r="J24" s="138">
        <f t="shared" si="2"/>
        <v>2.2113638026311735</v>
      </c>
      <c r="K24" s="138">
        <f t="shared" si="6"/>
        <v>15.1</v>
      </c>
      <c r="L24" s="440">
        <f t="shared" si="3"/>
        <v>4.422727605262347</v>
      </c>
      <c r="M24" s="115"/>
      <c r="N24" s="360"/>
      <c r="O24" s="396" t="s">
        <v>404</v>
      </c>
      <c r="P24" s="403">
        <f t="shared" si="7"/>
        <v>2.0412588947364676</v>
      </c>
      <c r="Q24" s="403">
        <f t="shared" si="7"/>
        <v>2.3814687105258789</v>
      </c>
      <c r="R24" s="403">
        <f t="shared" si="7"/>
        <v>2.7216785263152903</v>
      </c>
      <c r="S24" s="403">
        <f t="shared" si="7"/>
        <v>3.0618883421047021</v>
      </c>
      <c r="T24" s="403">
        <f t="shared" si="7"/>
        <v>3.402098157894113</v>
      </c>
      <c r="U24" s="20"/>
    </row>
    <row r="25" spans="1:21" ht="45">
      <c r="A25" s="396" t="s">
        <v>405</v>
      </c>
      <c r="B25" s="412">
        <v>4.0999999999999996</v>
      </c>
      <c r="C25" s="413">
        <v>260</v>
      </c>
      <c r="D25" s="413">
        <f t="shared" si="8"/>
        <v>130</v>
      </c>
      <c r="E25" s="413">
        <f>C25/(C25-D25)</f>
        <v>2</v>
      </c>
      <c r="F25" s="413">
        <v>35</v>
      </c>
      <c r="G25" s="413">
        <v>65</v>
      </c>
      <c r="H25" s="413">
        <v>8</v>
      </c>
      <c r="I25" s="414">
        <f t="shared" si="1"/>
        <v>4.2225826668958426</v>
      </c>
      <c r="J25" s="138">
        <f t="shared" si="2"/>
        <v>2.2113638026311735</v>
      </c>
      <c r="K25" s="138">
        <f t="shared" si="6"/>
        <v>15.1</v>
      </c>
      <c r="L25" s="440">
        <f t="shared" si="3"/>
        <v>4.422727605262347</v>
      </c>
      <c r="M25" s="115"/>
      <c r="O25" s="396" t="s">
        <v>405</v>
      </c>
      <c r="P25" s="403">
        <f t="shared" si="7"/>
        <v>2.0412588947364676</v>
      </c>
      <c r="Q25" s="403">
        <f t="shared" si="7"/>
        <v>2.3814687105258789</v>
      </c>
      <c r="R25" s="403">
        <f t="shared" si="7"/>
        <v>2.7216785263152903</v>
      </c>
      <c r="S25" s="403">
        <f t="shared" si="7"/>
        <v>3.0618883421047021</v>
      </c>
      <c r="T25" s="403">
        <f t="shared" si="7"/>
        <v>3.402098157894113</v>
      </c>
      <c r="U25" s="20"/>
    </row>
    <row r="26" spans="1:21" ht="45.75" thickBot="1">
      <c r="A26" s="396" t="s">
        <v>406</v>
      </c>
      <c r="B26" s="441">
        <v>4.0999999999999996</v>
      </c>
      <c r="C26" s="442">
        <v>300</v>
      </c>
      <c r="D26" s="442">
        <f t="shared" si="8"/>
        <v>150</v>
      </c>
      <c r="E26" s="442">
        <f>C26/(C26-D26)</f>
        <v>2</v>
      </c>
      <c r="F26" s="442">
        <v>35</v>
      </c>
      <c r="G26" s="442">
        <v>65</v>
      </c>
      <c r="H26" s="442">
        <v>8</v>
      </c>
      <c r="I26" s="443">
        <f t="shared" si="1"/>
        <v>4.2225826668958426</v>
      </c>
      <c r="J26" s="444">
        <f t="shared" si="2"/>
        <v>2.2113638026311735</v>
      </c>
      <c r="K26" s="444">
        <f t="shared" si="6"/>
        <v>15.1</v>
      </c>
      <c r="L26" s="445">
        <f t="shared" si="3"/>
        <v>4.422727605262347</v>
      </c>
      <c r="M26" s="115"/>
      <c r="O26" s="438" t="s">
        <v>406</v>
      </c>
      <c r="P26" s="472">
        <f t="shared" si="7"/>
        <v>2.0412588947364676</v>
      </c>
      <c r="Q26" s="472">
        <f t="shared" si="7"/>
        <v>2.3814687105258789</v>
      </c>
      <c r="R26" s="472">
        <f t="shared" si="7"/>
        <v>2.7216785263152903</v>
      </c>
      <c r="S26" s="472">
        <f t="shared" si="7"/>
        <v>3.0618883421047021</v>
      </c>
      <c r="T26" s="472">
        <f t="shared" si="7"/>
        <v>3.402098157894113</v>
      </c>
      <c r="U26" s="20"/>
    </row>
    <row r="27" spans="1:21" ht="45.75" thickTop="1">
      <c r="A27" s="411" t="s">
        <v>790</v>
      </c>
      <c r="B27" s="412">
        <v>2.6</v>
      </c>
      <c r="C27" s="398">
        <v>80</v>
      </c>
      <c r="D27" s="398">
        <f t="shared" si="8"/>
        <v>40</v>
      </c>
      <c r="E27" s="398">
        <v>2</v>
      </c>
      <c r="F27" s="398">
        <v>35</v>
      </c>
      <c r="G27" s="398">
        <v>65</v>
      </c>
      <c r="H27" s="398">
        <v>8</v>
      </c>
      <c r="I27" s="399">
        <f t="shared" ref="I27:I30" si="9">(0.52*SQRT(H27)*(F27)^0.9*$B$35^0.8)/1000</f>
        <v>4.2225826668958426</v>
      </c>
      <c r="J27" s="138">
        <f t="shared" ref="J27:J30" si="10">($J$33*0.52*SQRT(H27)*G27^0.9*$B$35^0.8)/1000</f>
        <v>2.2113638026311735</v>
      </c>
      <c r="K27" s="138">
        <f t="shared" si="6"/>
        <v>15.1</v>
      </c>
      <c r="L27" s="440">
        <f t="shared" si="3"/>
        <v>4.422727605262347</v>
      </c>
      <c r="M27" s="115"/>
      <c r="O27" s="411" t="s">
        <v>790</v>
      </c>
      <c r="P27" s="403">
        <f t="shared" ref="P27:T30" si="11">$E27*MIN($B27/$B$33,$I27*P$4/$L$33,$J27*P$4/$L$33,$K27/$K$33)</f>
        <v>2.0412588947364676</v>
      </c>
      <c r="Q27" s="403">
        <f t="shared" si="11"/>
        <v>2.3814687105258789</v>
      </c>
      <c r="R27" s="403">
        <f t="shared" si="11"/>
        <v>2.7216785263152903</v>
      </c>
      <c r="S27" s="403">
        <f t="shared" si="11"/>
        <v>3.0618883421047021</v>
      </c>
      <c r="T27" s="403">
        <f t="shared" si="11"/>
        <v>3.402098157894113</v>
      </c>
      <c r="U27" s="679"/>
    </row>
    <row r="28" spans="1:21" ht="45">
      <c r="A28" s="396" t="s">
        <v>791</v>
      </c>
      <c r="B28" s="412">
        <v>2.6</v>
      </c>
      <c r="C28" s="398">
        <v>100</v>
      </c>
      <c r="D28" s="398">
        <f t="shared" si="8"/>
        <v>50</v>
      </c>
      <c r="E28" s="398">
        <v>2</v>
      </c>
      <c r="F28" s="398">
        <v>35</v>
      </c>
      <c r="G28" s="398">
        <v>65</v>
      </c>
      <c r="H28" s="398">
        <v>8</v>
      </c>
      <c r="I28" s="399">
        <f t="shared" si="9"/>
        <v>4.2225826668958426</v>
      </c>
      <c r="J28" s="138">
        <f t="shared" si="10"/>
        <v>2.2113638026311735</v>
      </c>
      <c r="K28" s="138">
        <f t="shared" si="6"/>
        <v>15.1</v>
      </c>
      <c r="L28" s="440">
        <f t="shared" si="3"/>
        <v>4.422727605262347</v>
      </c>
      <c r="M28" s="115"/>
      <c r="O28" s="396" t="s">
        <v>791</v>
      </c>
      <c r="P28" s="403">
        <f t="shared" si="11"/>
        <v>2.0412588947364676</v>
      </c>
      <c r="Q28" s="403">
        <f t="shared" si="11"/>
        <v>2.3814687105258789</v>
      </c>
      <c r="R28" s="403">
        <f t="shared" si="11"/>
        <v>2.7216785263152903</v>
      </c>
      <c r="S28" s="403">
        <f t="shared" si="11"/>
        <v>3.0618883421047021</v>
      </c>
      <c r="T28" s="403">
        <f t="shared" si="11"/>
        <v>3.402098157894113</v>
      </c>
      <c r="U28" s="679"/>
    </row>
    <row r="29" spans="1:21" ht="45">
      <c r="A29" s="396" t="s">
        <v>792</v>
      </c>
      <c r="B29" s="412">
        <v>2.6</v>
      </c>
      <c r="C29" s="398">
        <v>120</v>
      </c>
      <c r="D29" s="398">
        <f t="shared" si="8"/>
        <v>60</v>
      </c>
      <c r="E29" s="398">
        <v>2</v>
      </c>
      <c r="F29" s="398">
        <v>35</v>
      </c>
      <c r="G29" s="398">
        <v>65</v>
      </c>
      <c r="H29" s="398">
        <v>8</v>
      </c>
      <c r="I29" s="399">
        <f t="shared" si="9"/>
        <v>4.2225826668958426</v>
      </c>
      <c r="J29" s="138">
        <f t="shared" si="10"/>
        <v>2.2113638026311735</v>
      </c>
      <c r="K29" s="138">
        <f t="shared" si="6"/>
        <v>15.1</v>
      </c>
      <c r="L29" s="440">
        <f t="shared" si="3"/>
        <v>4.422727605262347</v>
      </c>
      <c r="M29" s="115"/>
      <c r="O29" s="396" t="s">
        <v>792</v>
      </c>
      <c r="P29" s="403">
        <f t="shared" si="11"/>
        <v>2.0412588947364676</v>
      </c>
      <c r="Q29" s="403">
        <f t="shared" si="11"/>
        <v>2.3814687105258789</v>
      </c>
      <c r="R29" s="403">
        <f t="shared" si="11"/>
        <v>2.7216785263152903</v>
      </c>
      <c r="S29" s="403">
        <f t="shared" si="11"/>
        <v>3.0618883421047021</v>
      </c>
      <c r="T29" s="403">
        <f t="shared" si="11"/>
        <v>3.402098157894113</v>
      </c>
      <c r="U29" s="679"/>
    </row>
    <row r="30" spans="1:21" ht="45.75" thickBot="1">
      <c r="A30" s="438" t="s">
        <v>793</v>
      </c>
      <c r="B30" s="441">
        <v>2.6</v>
      </c>
      <c r="C30" s="442">
        <v>140</v>
      </c>
      <c r="D30" s="442">
        <f t="shared" si="8"/>
        <v>70</v>
      </c>
      <c r="E30" s="442">
        <v>2</v>
      </c>
      <c r="F30" s="442">
        <v>35</v>
      </c>
      <c r="G30" s="442">
        <v>65</v>
      </c>
      <c r="H30" s="442">
        <v>8</v>
      </c>
      <c r="I30" s="443">
        <f t="shared" si="9"/>
        <v>4.2225826668958426</v>
      </c>
      <c r="J30" s="444">
        <f t="shared" si="10"/>
        <v>2.2113638026311735</v>
      </c>
      <c r="K30" s="444">
        <f t="shared" si="6"/>
        <v>15.1</v>
      </c>
      <c r="L30" s="445">
        <f t="shared" si="3"/>
        <v>4.422727605262347</v>
      </c>
      <c r="M30" s="115"/>
      <c r="O30" s="438" t="s">
        <v>793</v>
      </c>
      <c r="P30" s="472">
        <f t="shared" si="11"/>
        <v>2.0412588947364676</v>
      </c>
      <c r="Q30" s="472">
        <f t="shared" si="11"/>
        <v>2.3814687105258789</v>
      </c>
      <c r="R30" s="472">
        <f t="shared" si="11"/>
        <v>2.7216785263152903</v>
      </c>
      <c r="S30" s="472">
        <f t="shared" si="11"/>
        <v>3.0618883421047021</v>
      </c>
      <c r="T30" s="472">
        <f t="shared" si="11"/>
        <v>3.402098157894113</v>
      </c>
      <c r="U30" s="679"/>
    </row>
    <row r="31" spans="1:21" ht="45.75" thickTop="1">
      <c r="A31" s="411" t="s">
        <v>407</v>
      </c>
      <c r="B31" s="412">
        <v>2.6</v>
      </c>
      <c r="C31" s="413">
        <f>70-15</f>
        <v>55</v>
      </c>
      <c r="D31" s="413">
        <f>C31/2</f>
        <v>27.5</v>
      </c>
      <c r="E31" s="413">
        <v>2</v>
      </c>
      <c r="F31" s="413">
        <v>35</v>
      </c>
      <c r="G31" s="413">
        <v>65</v>
      </c>
      <c r="H31" s="413">
        <v>5</v>
      </c>
      <c r="I31" s="414">
        <f>(0.52*SQRT(H31)*(F31)^0.9*$B$35^0.8)/1000</f>
        <v>3.3382447089347353</v>
      </c>
      <c r="J31" s="415">
        <f>($J$33*0.52*SQRT(H31)*G31^0.9*$B$35^0.8)/1000</f>
        <v>1.7482365878913895</v>
      </c>
      <c r="K31" s="446">
        <v>5.9</v>
      </c>
      <c r="L31" s="416">
        <f t="shared" si="3"/>
        <v>3.4964731757827789</v>
      </c>
      <c r="M31" s="115"/>
      <c r="O31" s="411" t="s">
        <v>407</v>
      </c>
      <c r="P31" s="417">
        <f t="shared" ref="P31:T32" si="12">$E31*MIN($B31/$B$33,$I31*P$4/$L$33,$J31*P$4/$L$33,$K31/$K$33)</f>
        <v>1.6137568503612825</v>
      </c>
      <c r="Q31" s="417">
        <f t="shared" si="12"/>
        <v>1.8827163254214963</v>
      </c>
      <c r="R31" s="417">
        <f t="shared" si="12"/>
        <v>2.1516758004817103</v>
      </c>
      <c r="S31" s="417">
        <f t="shared" si="12"/>
        <v>2.4206352755419238</v>
      </c>
      <c r="T31" s="417">
        <f t="shared" si="12"/>
        <v>2.6895947506021374</v>
      </c>
    </row>
    <row r="32" spans="1:21" ht="45">
      <c r="A32" s="411" t="s">
        <v>408</v>
      </c>
      <c r="B32" s="397">
        <v>2.6</v>
      </c>
      <c r="C32" s="398">
        <f>66-15</f>
        <v>51</v>
      </c>
      <c r="D32" s="398">
        <f>C32/2</f>
        <v>25.5</v>
      </c>
      <c r="E32" s="398">
        <v>2</v>
      </c>
      <c r="F32" s="398">
        <v>35</v>
      </c>
      <c r="G32" s="398">
        <v>65</v>
      </c>
      <c r="H32" s="398">
        <v>5</v>
      </c>
      <c r="I32" s="399">
        <f>(0.52*SQRT(H32)*(F32)^0.9*$B$35^0.8)/1000</f>
        <v>3.3382447089347353</v>
      </c>
      <c r="J32" s="138">
        <f>($J$33*0.52*SQRT(H32)*G32^0.9*$B$35^0.8)/1000</f>
        <v>1.7482365878913895</v>
      </c>
      <c r="K32" s="446">
        <f>7.5*175/235</f>
        <v>5.5851063829787231</v>
      </c>
      <c r="L32" s="440">
        <f t="shared" si="3"/>
        <v>3.4964731757827789</v>
      </c>
      <c r="M32" s="115"/>
      <c r="O32" s="411" t="s">
        <v>408</v>
      </c>
      <c r="P32" s="403">
        <f t="shared" si="12"/>
        <v>1.6137568503612825</v>
      </c>
      <c r="Q32" s="403">
        <f t="shared" si="12"/>
        <v>1.8827163254214963</v>
      </c>
      <c r="R32" s="403">
        <f t="shared" si="12"/>
        <v>2.1516758004817103</v>
      </c>
      <c r="S32" s="403">
        <f t="shared" si="12"/>
        <v>2.4206352755419238</v>
      </c>
      <c r="T32" s="403">
        <f t="shared" si="12"/>
        <v>2.6895947506021374</v>
      </c>
    </row>
    <row r="33" spans="1:32">
      <c r="A33" s="361" t="s">
        <v>338</v>
      </c>
      <c r="B33" s="362">
        <v>1</v>
      </c>
      <c r="I33" s="390" t="s">
        <v>355</v>
      </c>
      <c r="J33" s="14">
        <v>0.3</v>
      </c>
      <c r="K33" s="14">
        <v>1.25</v>
      </c>
      <c r="L33" s="14">
        <v>1.3</v>
      </c>
      <c r="M33" s="473" t="s">
        <v>409</v>
      </c>
    </row>
    <row r="34" spans="1:32">
      <c r="A34" s="21" t="s">
        <v>37</v>
      </c>
      <c r="B34" s="22" t="s">
        <v>25</v>
      </c>
      <c r="V34" s="363"/>
      <c r="W34" s="363"/>
      <c r="X34" s="363"/>
      <c r="Y34" s="105"/>
      <c r="Z34" s="105"/>
      <c r="AA34" s="247"/>
      <c r="AB34" s="247"/>
      <c r="AC34" s="247"/>
      <c r="AD34" s="247"/>
      <c r="AE34" s="247"/>
      <c r="AF34" s="247"/>
    </row>
    <row r="35" spans="1:32" ht="18">
      <c r="A35" s="23" t="s">
        <v>39</v>
      </c>
      <c r="B35" s="24">
        <f>VLOOKUP(B34,V5:W13,2,FALSE)</f>
        <v>385</v>
      </c>
      <c r="C35" t="s">
        <v>40</v>
      </c>
      <c r="V35" s="363"/>
      <c r="W35" s="363"/>
      <c r="X35" s="363"/>
      <c r="Y35" s="363"/>
      <c r="Z35" s="363"/>
      <c r="AA35" s="247"/>
      <c r="AB35" s="363"/>
      <c r="AC35" s="363"/>
      <c r="AD35" s="363"/>
      <c r="AE35" s="363"/>
      <c r="AF35" s="363"/>
    </row>
    <row r="36" spans="1:32">
      <c r="V36" s="247"/>
      <c r="W36" s="105"/>
      <c r="X36" s="105"/>
      <c r="Y36" s="105"/>
      <c r="Z36" s="105"/>
      <c r="AA36" s="247"/>
      <c r="AB36" s="247"/>
      <c r="AC36" s="105"/>
      <c r="AD36" s="105"/>
      <c r="AE36" s="105"/>
      <c r="AF36" s="105"/>
    </row>
    <row r="37" spans="1:32" ht="18">
      <c r="A37" s="4" t="s">
        <v>2</v>
      </c>
      <c r="B37" s="5" t="s">
        <v>3</v>
      </c>
      <c r="C37" s="5" t="s">
        <v>43</v>
      </c>
      <c r="D37" s="5" t="s">
        <v>9</v>
      </c>
      <c r="E37" s="5" t="s">
        <v>44</v>
      </c>
      <c r="F37" s="5" t="s">
        <v>45</v>
      </c>
      <c r="G37" s="5" t="s">
        <v>12</v>
      </c>
      <c r="H37" s="5" t="s">
        <v>9</v>
      </c>
      <c r="I37" s="5" t="s">
        <v>46</v>
      </c>
      <c r="J37" s="5" t="s">
        <v>47</v>
      </c>
      <c r="K37" s="6" t="s">
        <v>48</v>
      </c>
      <c r="L37" s="773"/>
      <c r="O37" s="4" t="s">
        <v>2</v>
      </c>
      <c r="P37" s="710" t="s">
        <v>14</v>
      </c>
      <c r="Q37" s="711"/>
      <c r="R37" s="711"/>
      <c r="S37" s="711"/>
      <c r="T37" s="712"/>
      <c r="V37" s="247"/>
      <c r="W37" s="20"/>
      <c r="X37" s="20"/>
      <c r="Y37" s="20"/>
      <c r="Z37" s="20"/>
      <c r="AA37" s="247"/>
      <c r="AB37" s="247"/>
      <c r="AC37" s="20"/>
      <c r="AD37" s="20"/>
      <c r="AE37" s="20"/>
      <c r="AF37" s="20"/>
    </row>
    <row r="38" spans="1:32">
      <c r="A38" s="8"/>
      <c r="B38" s="9" t="s">
        <v>17</v>
      </c>
      <c r="C38" s="9" t="s">
        <v>19</v>
      </c>
      <c r="D38" s="9" t="s">
        <v>18</v>
      </c>
      <c r="E38" s="9" t="s">
        <v>18</v>
      </c>
      <c r="F38" s="9" t="s">
        <v>17</v>
      </c>
      <c r="G38" s="9" t="s">
        <v>17</v>
      </c>
      <c r="H38" s="9" t="s">
        <v>18</v>
      </c>
      <c r="I38" s="9" t="s">
        <v>18</v>
      </c>
      <c r="J38" s="9" t="s">
        <v>17</v>
      </c>
      <c r="K38" s="10" t="s">
        <v>17</v>
      </c>
      <c r="L38" s="773"/>
      <c r="M38" s="105"/>
      <c r="O38" s="8"/>
      <c r="P38" s="11">
        <v>0.6</v>
      </c>
      <c r="Q38" s="11">
        <v>0.7</v>
      </c>
      <c r="R38" s="11">
        <v>0.8</v>
      </c>
      <c r="S38" s="11">
        <v>0.9</v>
      </c>
      <c r="T38" s="11">
        <v>1</v>
      </c>
      <c r="V38" s="247"/>
      <c r="W38" s="20"/>
      <c r="X38" s="20"/>
      <c r="Y38" s="20"/>
      <c r="Z38" s="20"/>
      <c r="AA38" s="247"/>
      <c r="AB38" s="247"/>
      <c r="AC38" s="20"/>
      <c r="AD38" s="20"/>
      <c r="AE38" s="20"/>
      <c r="AF38" s="20"/>
    </row>
    <row r="39" spans="1:32">
      <c r="A39" s="33" t="s">
        <v>339</v>
      </c>
      <c r="B39" s="34">
        <v>9</v>
      </c>
      <c r="C39" s="35">
        <v>4</v>
      </c>
      <c r="D39" s="35">
        <v>6</v>
      </c>
      <c r="E39" s="35">
        <v>45</v>
      </c>
      <c r="F39" s="34">
        <f>(0.52*SQRT(D39)*E39^0.9*$B$45^0.8)/1200</f>
        <v>3.5403273542111484</v>
      </c>
      <c r="G39" s="35">
        <v>10.5</v>
      </c>
      <c r="H39" s="35">
        <v>8</v>
      </c>
      <c r="I39" s="35">
        <f>80-24.5</f>
        <v>55.5</v>
      </c>
      <c r="J39" s="34">
        <f>(0.52*SQRT(H39)*I39^0.9*$B$45^0.8)/1000</f>
        <v>5.9247012672171584</v>
      </c>
      <c r="K39" s="36">
        <f>MIN(C39*F39,C39*G39,J39,C39*B39)</f>
        <v>5.9247012672171584</v>
      </c>
      <c r="L39" s="364"/>
      <c r="M39" s="38"/>
      <c r="O39" s="33" t="s">
        <v>339</v>
      </c>
      <c r="P39" s="13">
        <f>MIN($C39*$F39*P$38/1.3,$C39*$G39/1.25,$J39*P$38/1.3,$C39*$B39/1)</f>
        <v>2.7344775079463806</v>
      </c>
      <c r="Q39" s="13">
        <f t="shared" ref="Q39:T40" si="13">MIN($C39*$F39*Q$38/1.3,$C39*$G39/1.25,$J39*Q$38/1.3,$C39*$B39/1)</f>
        <v>3.1902237592707769</v>
      </c>
      <c r="R39" s="13">
        <f t="shared" si="13"/>
        <v>3.6459700105951742</v>
      </c>
      <c r="S39" s="13">
        <f t="shared" si="13"/>
        <v>4.1017162619195711</v>
      </c>
      <c r="T39" s="13">
        <f t="shared" si="13"/>
        <v>4.5574625132439675</v>
      </c>
      <c r="V39" s="247"/>
      <c r="W39" s="20"/>
      <c r="X39" s="20"/>
      <c r="Y39" s="20"/>
      <c r="Z39" s="20"/>
      <c r="AA39" s="247"/>
      <c r="AB39" s="247"/>
      <c r="AC39" s="20"/>
      <c r="AD39" s="20"/>
      <c r="AE39" s="20"/>
      <c r="AF39" s="20"/>
    </row>
    <row r="40" spans="1:32" ht="15.75" thickBot="1">
      <c r="A40" s="39" t="s">
        <v>340</v>
      </c>
      <c r="B40" s="40">
        <v>9</v>
      </c>
      <c r="C40" s="41">
        <v>4</v>
      </c>
      <c r="D40" s="41">
        <v>10</v>
      </c>
      <c r="E40" s="41">
        <v>55</v>
      </c>
      <c r="F40" s="40">
        <f>(0.52*SQRT(D40)*E40^0.9*$B$45^0.8)/1200</f>
        <v>5.475237389690947</v>
      </c>
      <c r="G40" s="41">
        <v>24</v>
      </c>
      <c r="H40" s="41">
        <v>10</v>
      </c>
      <c r="I40" s="41">
        <f>100-25</f>
        <v>75</v>
      </c>
      <c r="J40" s="40">
        <f>(0.52*SQRT(H40)*I40^0.9*$B$45^0.8)/1000</f>
        <v>8.6858618221702066</v>
      </c>
      <c r="K40" s="42">
        <f>MIN(C40*F40,C40*G40,J40,C40*B40)</f>
        <v>8.6858618221702066</v>
      </c>
      <c r="L40" s="365"/>
      <c r="M40" s="38"/>
      <c r="O40" s="39" t="s">
        <v>340</v>
      </c>
      <c r="P40" s="366">
        <f>MIN($C40*$F40*P$38/1.3,$C40*$G40/1.25,$J40*P$38/1.3,$C40*$B40/1)</f>
        <v>4.0088593025400954</v>
      </c>
      <c r="Q40" s="366">
        <f t="shared" si="13"/>
        <v>4.6770025196301113</v>
      </c>
      <c r="R40" s="366">
        <f t="shared" si="13"/>
        <v>5.3451457367201272</v>
      </c>
      <c r="S40" s="366">
        <f t="shared" si="13"/>
        <v>6.0132889538101431</v>
      </c>
      <c r="T40" s="366">
        <f t="shared" si="13"/>
        <v>6.681432170900159</v>
      </c>
      <c r="V40" s="247"/>
      <c r="W40" s="20"/>
      <c r="X40" s="20"/>
      <c r="Y40" s="20"/>
      <c r="Z40" s="20"/>
      <c r="AA40" s="247"/>
      <c r="AB40" s="247"/>
      <c r="AC40" s="20"/>
      <c r="AD40" s="20"/>
      <c r="AE40" s="20"/>
      <c r="AF40" s="20"/>
    </row>
    <row r="41" spans="1:32">
      <c r="A41" s="45" t="s">
        <v>341</v>
      </c>
      <c r="B41" s="34">
        <v>9</v>
      </c>
      <c r="C41" s="35">
        <v>4</v>
      </c>
      <c r="D41" s="35">
        <v>6</v>
      </c>
      <c r="E41" s="35">
        <v>45</v>
      </c>
      <c r="F41" s="34">
        <f>(0.52*SQRT(D41)*E41^0.9*$B$45^0.8)/1200</f>
        <v>3.5403273542111484</v>
      </c>
      <c r="G41" s="35">
        <v>10.5</v>
      </c>
      <c r="H41" s="35"/>
      <c r="I41" s="35"/>
      <c r="J41" s="34"/>
      <c r="K41" s="36">
        <f>MIN(C41*F41,C41*G41,C41*B41)</f>
        <v>14.161309416844594</v>
      </c>
      <c r="L41" s="365"/>
      <c r="M41" s="38"/>
      <c r="O41" s="45" t="s">
        <v>341</v>
      </c>
      <c r="P41" s="367">
        <f>MIN($C41*$F41*P$38/1.3,$C41*$G41/1.25,$C41*$B41/1)</f>
        <v>6.5359889616205811</v>
      </c>
      <c r="Q41" s="367">
        <f t="shared" ref="Q41:T42" si="14">MIN($C41*$F41*Q$38/1.3,$C41*$G41/1.25,$C41*$B41/1)</f>
        <v>7.6253204552240108</v>
      </c>
      <c r="R41" s="367">
        <f t="shared" si="14"/>
        <v>8.7146519488274414</v>
      </c>
      <c r="S41" s="367">
        <f t="shared" si="14"/>
        <v>9.8039834424308729</v>
      </c>
      <c r="T41" s="367">
        <f t="shared" si="14"/>
        <v>10.893314936034303</v>
      </c>
      <c r="V41" s="247"/>
      <c r="W41" s="105"/>
      <c r="X41" s="105"/>
      <c r="Y41" s="105"/>
      <c r="Z41" s="105"/>
      <c r="AA41" s="247"/>
      <c r="AB41" s="247"/>
      <c r="AC41" s="247"/>
      <c r="AD41" s="247"/>
      <c r="AE41" s="247"/>
      <c r="AF41" s="247"/>
    </row>
    <row r="42" spans="1:32">
      <c r="A42" s="33" t="s">
        <v>342</v>
      </c>
      <c r="B42" s="46">
        <v>9</v>
      </c>
      <c r="C42" s="47">
        <v>4</v>
      </c>
      <c r="D42" s="47">
        <v>10</v>
      </c>
      <c r="E42" s="47">
        <v>55</v>
      </c>
      <c r="F42" s="46">
        <f>(0.52*SQRT(D42)*E42^0.9*$B$45^0.8)/1200</f>
        <v>5.475237389690947</v>
      </c>
      <c r="G42" s="47">
        <v>24</v>
      </c>
      <c r="H42" s="47"/>
      <c r="I42" s="47"/>
      <c r="J42" s="46"/>
      <c r="K42" s="48">
        <f>MIN(C42*F42,C42*G42,C42*B42)</f>
        <v>21.900949558763788</v>
      </c>
      <c r="L42" s="368"/>
      <c r="O42" s="33" t="s">
        <v>342</v>
      </c>
      <c r="P42" s="13">
        <f>MIN($C42*$F42*P$38/1.3,$C42*$G42/1.25,$C42*$B42/1)</f>
        <v>10.108130565583286</v>
      </c>
      <c r="Q42" s="13">
        <f t="shared" si="14"/>
        <v>11.7928189931805</v>
      </c>
      <c r="R42" s="13">
        <f t="shared" si="14"/>
        <v>13.477507420777714</v>
      </c>
      <c r="S42" s="13">
        <f t="shared" si="14"/>
        <v>15.16219584837493</v>
      </c>
      <c r="T42" s="13">
        <f t="shared" si="14"/>
        <v>16.846884275972144</v>
      </c>
      <c r="V42" s="774"/>
      <c r="W42" s="774"/>
      <c r="X42" s="774"/>
      <c r="Y42" s="774"/>
      <c r="Z42" s="774"/>
      <c r="AA42" s="247"/>
      <c r="AB42" s="363"/>
      <c r="AC42" s="363"/>
      <c r="AD42" s="363"/>
      <c r="AE42" s="363"/>
      <c r="AF42" s="363"/>
    </row>
    <row r="43" spans="1:32">
      <c r="V43" s="247"/>
      <c r="W43" s="105"/>
      <c r="X43" s="105"/>
      <c r="Y43" s="105"/>
      <c r="Z43" s="105"/>
      <c r="AA43" s="247"/>
      <c r="AB43" s="247"/>
      <c r="AC43" s="105"/>
      <c r="AD43" s="105"/>
      <c r="AE43" s="105"/>
      <c r="AF43" s="105"/>
    </row>
    <row r="44" spans="1:32">
      <c r="A44" s="21" t="s">
        <v>37</v>
      </c>
      <c r="B44" s="22" t="s">
        <v>22</v>
      </c>
      <c r="V44" s="247"/>
      <c r="W44" s="20"/>
      <c r="X44" s="20"/>
      <c r="Y44" s="20"/>
      <c r="Z44" s="20"/>
      <c r="AA44" s="247"/>
      <c r="AB44" s="247"/>
      <c r="AC44" s="20"/>
      <c r="AD44" s="20"/>
      <c r="AE44" s="20"/>
      <c r="AF44" s="20"/>
    </row>
    <row r="45" spans="1:32" ht="18">
      <c r="A45" s="23" t="s">
        <v>39</v>
      </c>
      <c r="B45" s="24">
        <f>VLOOKUP(B44,$V$5:$W$10,2,FALSE)</f>
        <v>350</v>
      </c>
      <c r="C45" t="s">
        <v>40</v>
      </c>
      <c r="V45" s="247"/>
      <c r="W45" s="20"/>
      <c r="X45" s="20"/>
      <c r="Y45" s="20"/>
      <c r="Z45" s="20"/>
      <c r="AA45" s="247"/>
      <c r="AB45" s="247"/>
      <c r="AC45" s="20"/>
      <c r="AD45" s="20"/>
      <c r="AE45" s="20"/>
      <c r="AF45" s="20"/>
    </row>
    <row r="46" spans="1:32">
      <c r="V46" s="247"/>
      <c r="W46" s="20"/>
      <c r="X46" s="20"/>
      <c r="Y46" s="20"/>
      <c r="Z46" s="20"/>
      <c r="AA46" s="247"/>
      <c r="AB46" s="247"/>
      <c r="AC46" s="20"/>
      <c r="AD46" s="20"/>
      <c r="AE46" s="20"/>
      <c r="AF46" s="20"/>
    </row>
    <row r="47" spans="1:32" ht="18.75">
      <c r="A47" s="56" t="s">
        <v>79</v>
      </c>
      <c r="B47" s="77"/>
    </row>
    <row r="49" spans="1:19">
      <c r="A49" s="21" t="s">
        <v>37</v>
      </c>
      <c r="B49" t="str">
        <f>'Load bearing values_RICON_EN'!F50</f>
        <v>GL24h</v>
      </c>
    </row>
    <row r="50" spans="1:19" ht="18">
      <c r="A50" s="23" t="s">
        <v>39</v>
      </c>
      <c r="B50" s="24">
        <f>VLOOKUP(B49,'RICON_RICON-S-EK_GIGANT_WALCO '!V7:W18,2,FALSE)</f>
        <v>385</v>
      </c>
      <c r="C50" t="s">
        <v>40</v>
      </c>
    </row>
    <row r="51" spans="1:19" ht="18">
      <c r="A51" s="23" t="s">
        <v>62</v>
      </c>
      <c r="B51" s="369">
        <v>15000</v>
      </c>
      <c r="C51" s="369">
        <v>4400</v>
      </c>
      <c r="D51" t="s">
        <v>63</v>
      </c>
    </row>
    <row r="52" spans="1:19">
      <c r="A52" s="23" t="s">
        <v>64</v>
      </c>
      <c r="B52" s="90">
        <v>8</v>
      </c>
      <c r="C52" s="90">
        <v>5</v>
      </c>
      <c r="D52" t="s">
        <v>65</v>
      </c>
    </row>
    <row r="53" spans="1:19" ht="18">
      <c r="A53" s="23" t="s">
        <v>66</v>
      </c>
      <c r="B53" s="75">
        <f>0.033*$B$50*B52^-0.3</f>
        <v>6.808440920761802</v>
      </c>
      <c r="C53" s="75">
        <f>0.033*$B$50*C52^-0.3</f>
        <v>7.8394152258577217</v>
      </c>
      <c r="D53" t="s">
        <v>67</v>
      </c>
    </row>
    <row r="54" spans="1:19" ht="18">
      <c r="A54" s="23" t="s">
        <v>68</v>
      </c>
      <c r="B54" s="76">
        <f>0.082*B52^-0.3*$B$50</f>
        <v>16.917944106135387</v>
      </c>
      <c r="C54" s="76">
        <f>0.082*C52^-0.3*$B$50</f>
        <v>19.479759046070704</v>
      </c>
      <c r="D54" t="s">
        <v>67</v>
      </c>
    </row>
    <row r="55" spans="1:19">
      <c r="A55" s="23"/>
      <c r="B55" s="77"/>
      <c r="P55"/>
      <c r="Q55"/>
      <c r="R55"/>
      <c r="S55"/>
    </row>
    <row r="56" spans="1:19">
      <c r="A56" s="23"/>
      <c r="B56" s="77"/>
      <c r="P56"/>
      <c r="Q56"/>
      <c r="R56"/>
      <c r="S56"/>
    </row>
    <row r="57" spans="1:19" ht="18">
      <c r="A57" s="4" t="s">
        <v>2</v>
      </c>
      <c r="B57" s="5" t="s">
        <v>43</v>
      </c>
      <c r="C57" s="5" t="s">
        <v>9</v>
      </c>
      <c r="D57" s="5" t="s">
        <v>44</v>
      </c>
      <c r="E57" s="5" t="s">
        <v>59</v>
      </c>
      <c r="F57" s="5" t="s">
        <v>60</v>
      </c>
      <c r="G57" s="5" t="s">
        <v>43</v>
      </c>
      <c r="H57" s="5" t="s">
        <v>9</v>
      </c>
      <c r="I57" s="5" t="s">
        <v>44</v>
      </c>
      <c r="J57" s="5" t="s">
        <v>59</v>
      </c>
      <c r="K57" s="5" t="s">
        <v>60</v>
      </c>
      <c r="L57" s="5" t="s">
        <v>61</v>
      </c>
      <c r="P57"/>
      <c r="Q57"/>
      <c r="R57"/>
      <c r="S57"/>
    </row>
    <row r="58" spans="1:19">
      <c r="A58" s="8" t="s">
        <v>337</v>
      </c>
      <c r="B58" s="9" t="s">
        <v>19</v>
      </c>
      <c r="C58" s="9" t="s">
        <v>18</v>
      </c>
      <c r="D58" s="9" t="s">
        <v>18</v>
      </c>
      <c r="E58" s="9" t="s">
        <v>17</v>
      </c>
      <c r="F58" s="9" t="s">
        <v>17</v>
      </c>
      <c r="G58" s="9" t="s">
        <v>19</v>
      </c>
      <c r="H58" s="9" t="s">
        <v>18</v>
      </c>
      <c r="I58" s="9" t="s">
        <v>18</v>
      </c>
      <c r="J58" s="9" t="s">
        <v>17</v>
      </c>
      <c r="K58" s="9" t="s">
        <v>17</v>
      </c>
      <c r="L58" s="62" t="s">
        <v>17</v>
      </c>
      <c r="P58"/>
      <c r="Q58"/>
      <c r="R58"/>
      <c r="S58"/>
    </row>
    <row r="59" spans="1:19" ht="45">
      <c r="A59" s="396" t="s">
        <v>385</v>
      </c>
      <c r="B59" s="304">
        <v>1</v>
      </c>
      <c r="C59" s="304">
        <v>8</v>
      </c>
      <c r="D59" s="407">
        <v>65</v>
      </c>
      <c r="E59" s="447">
        <f t="shared" ref="E59:E80" si="15">($E$87*0.52*SQRT($C59)*D59^0.9*$B$50^0.8)/1000</f>
        <v>2.2113638026311735</v>
      </c>
      <c r="F59" s="447">
        <f t="shared" ref="F59:F86" si="16">MIN($B$53*$D59*$B$52/1000,(2.3*SQRT($B$51*$B$53*$B$52))/1000+(E59/4),$B$53*$D59*$B$52*(SQRT(2+4*$B$51/($B$53*$D59^2*$B$52))-1)/1000+E59/4)</f>
        <v>2.3356804038245178</v>
      </c>
      <c r="G59" s="304">
        <v>2</v>
      </c>
      <c r="H59" s="304">
        <v>5</v>
      </c>
      <c r="I59" s="407">
        <v>70</v>
      </c>
      <c r="J59" s="447">
        <f t="shared" ref="J59:J80" si="17">($E$87*0.52*SQRT($H59)*I59^0.9*$B$50^0.8)/1000</f>
        <v>1.8688154683555778</v>
      </c>
      <c r="K59" s="447">
        <f t="shared" ref="K59:K84" si="18">MIN($C$53*$I59*$C$52/1000,(2.3*SQRT($C$51*$C$53*$C$52))/1000+(J59/4),$C$53*$I59*$C$53*(SQRT(2+4*$C$51/($C$53*$I59^2*$C$52))-1)/1000+J59/4)</f>
        <v>1.4223746078391131</v>
      </c>
      <c r="L59" s="447">
        <f>B59*F59+G59*K59</f>
        <v>5.1804296195027444</v>
      </c>
      <c r="P59"/>
      <c r="Q59"/>
      <c r="R59"/>
      <c r="S59"/>
    </row>
    <row r="60" spans="1:19" ht="45">
      <c r="A60" s="396" t="s">
        <v>386</v>
      </c>
      <c r="B60" s="304">
        <v>2</v>
      </c>
      <c r="C60" s="304">
        <v>8</v>
      </c>
      <c r="D60" s="407">
        <v>65</v>
      </c>
      <c r="E60" s="447">
        <f t="shared" si="15"/>
        <v>2.2113638026311735</v>
      </c>
      <c r="F60" s="447">
        <f t="shared" si="16"/>
        <v>2.3356804038245178</v>
      </c>
      <c r="G60" s="304">
        <v>2</v>
      </c>
      <c r="H60" s="304">
        <v>5</v>
      </c>
      <c r="I60" s="407">
        <v>70</v>
      </c>
      <c r="J60" s="447">
        <f t="shared" si="17"/>
        <v>1.8688154683555778</v>
      </c>
      <c r="K60" s="447">
        <f t="shared" si="18"/>
        <v>1.4223746078391131</v>
      </c>
      <c r="L60" s="447">
        <f t="shared" ref="L60:L69" si="19">B60*F60+G60*K60</f>
        <v>7.5161100233272613</v>
      </c>
      <c r="P60"/>
      <c r="Q60"/>
      <c r="R60"/>
      <c r="S60"/>
    </row>
    <row r="61" spans="1:19" ht="45">
      <c r="A61" s="396" t="s">
        <v>387</v>
      </c>
      <c r="B61" s="304">
        <v>2</v>
      </c>
      <c r="C61" s="304">
        <v>8</v>
      </c>
      <c r="D61" s="407">
        <v>65</v>
      </c>
      <c r="E61" s="447">
        <f t="shared" si="15"/>
        <v>2.2113638026311735</v>
      </c>
      <c r="F61" s="447">
        <f t="shared" si="16"/>
        <v>2.3356804038245178</v>
      </c>
      <c r="G61" s="304">
        <v>4</v>
      </c>
      <c r="H61" s="304">
        <v>5</v>
      </c>
      <c r="I61" s="407">
        <v>70</v>
      </c>
      <c r="J61" s="447">
        <f t="shared" si="17"/>
        <v>1.8688154683555778</v>
      </c>
      <c r="K61" s="447">
        <f t="shared" si="18"/>
        <v>1.4223746078391131</v>
      </c>
      <c r="L61" s="447">
        <f t="shared" si="19"/>
        <v>10.360859239005489</v>
      </c>
      <c r="P61"/>
      <c r="Q61"/>
      <c r="R61"/>
      <c r="S61"/>
    </row>
    <row r="62" spans="1:19" ht="45">
      <c r="A62" s="396" t="s">
        <v>388</v>
      </c>
      <c r="B62" s="304">
        <v>2</v>
      </c>
      <c r="C62" s="304">
        <v>8</v>
      </c>
      <c r="D62" s="407">
        <v>65</v>
      </c>
      <c r="E62" s="447">
        <f t="shared" si="15"/>
        <v>2.2113638026311735</v>
      </c>
      <c r="F62" s="447">
        <f t="shared" si="16"/>
        <v>2.3356804038245178</v>
      </c>
      <c r="G62" s="304">
        <v>6</v>
      </c>
      <c r="H62" s="304">
        <v>5</v>
      </c>
      <c r="I62" s="303">
        <v>70</v>
      </c>
      <c r="J62" s="85">
        <f t="shared" si="17"/>
        <v>1.8688154683555778</v>
      </c>
      <c r="K62" s="85">
        <f t="shared" si="18"/>
        <v>1.4223746078391131</v>
      </c>
      <c r="L62" s="85">
        <f t="shared" si="19"/>
        <v>13.205608454683714</v>
      </c>
      <c r="P62"/>
      <c r="Q62"/>
      <c r="R62"/>
      <c r="S62"/>
    </row>
    <row r="63" spans="1:19" ht="45">
      <c r="A63" s="396" t="s">
        <v>389</v>
      </c>
      <c r="B63" s="304">
        <v>2</v>
      </c>
      <c r="C63" s="304">
        <v>8</v>
      </c>
      <c r="D63" s="407">
        <v>65</v>
      </c>
      <c r="E63" s="447">
        <f t="shared" si="15"/>
        <v>2.2113638026311735</v>
      </c>
      <c r="F63" s="447">
        <f t="shared" si="16"/>
        <v>2.3356804038245178</v>
      </c>
      <c r="G63" s="304">
        <v>8</v>
      </c>
      <c r="H63" s="304">
        <v>5</v>
      </c>
      <c r="I63" s="303">
        <v>70</v>
      </c>
      <c r="J63" s="85">
        <f t="shared" si="17"/>
        <v>1.8688154683555778</v>
      </c>
      <c r="K63" s="85">
        <f t="shared" si="18"/>
        <v>1.4223746078391131</v>
      </c>
      <c r="L63" s="85">
        <f t="shared" si="19"/>
        <v>16.05035767036194</v>
      </c>
      <c r="P63"/>
      <c r="Q63"/>
      <c r="R63"/>
      <c r="S63"/>
    </row>
    <row r="64" spans="1:19" ht="45">
      <c r="A64" s="396" t="s">
        <v>390</v>
      </c>
      <c r="B64" s="304">
        <v>2</v>
      </c>
      <c r="C64" s="304">
        <v>8</v>
      </c>
      <c r="D64" s="407">
        <v>65</v>
      </c>
      <c r="E64" s="447">
        <f t="shared" si="15"/>
        <v>2.2113638026311735</v>
      </c>
      <c r="F64" s="447">
        <f t="shared" si="16"/>
        <v>2.3356804038245178</v>
      </c>
      <c r="G64" s="304">
        <v>10</v>
      </c>
      <c r="H64" s="304">
        <v>5</v>
      </c>
      <c r="I64" s="407">
        <v>70</v>
      </c>
      <c r="J64" s="447">
        <f t="shared" si="17"/>
        <v>1.8688154683555778</v>
      </c>
      <c r="K64" s="447">
        <f t="shared" si="18"/>
        <v>1.4223746078391131</v>
      </c>
      <c r="L64" s="447">
        <f t="shared" si="19"/>
        <v>18.895106886040168</v>
      </c>
      <c r="P64"/>
      <c r="Q64"/>
      <c r="R64"/>
      <c r="S64"/>
    </row>
    <row r="65" spans="1:19" ht="45">
      <c r="A65" s="396" t="s">
        <v>391</v>
      </c>
      <c r="B65" s="304">
        <v>3</v>
      </c>
      <c r="C65" s="304">
        <v>8</v>
      </c>
      <c r="D65" s="407">
        <v>65</v>
      </c>
      <c r="E65" s="447">
        <f t="shared" si="15"/>
        <v>2.2113638026311735</v>
      </c>
      <c r="F65" s="447">
        <f t="shared" si="16"/>
        <v>2.3356804038245178</v>
      </c>
      <c r="G65" s="304">
        <v>4</v>
      </c>
      <c r="H65" s="304">
        <v>5</v>
      </c>
      <c r="I65" s="407">
        <v>70</v>
      </c>
      <c r="J65" s="447">
        <f t="shared" si="17"/>
        <v>1.8688154683555778</v>
      </c>
      <c r="K65" s="447">
        <f t="shared" si="18"/>
        <v>1.4223746078391131</v>
      </c>
      <c r="L65" s="447">
        <f t="shared" si="19"/>
        <v>12.696539642830006</v>
      </c>
      <c r="P65"/>
      <c r="Q65"/>
      <c r="R65"/>
      <c r="S65"/>
    </row>
    <row r="66" spans="1:19" ht="45">
      <c r="A66" s="396" t="s">
        <v>392</v>
      </c>
      <c r="B66" s="304">
        <v>3</v>
      </c>
      <c r="C66" s="304">
        <v>8</v>
      </c>
      <c r="D66" s="407">
        <v>65</v>
      </c>
      <c r="E66" s="447">
        <f t="shared" si="15"/>
        <v>2.2113638026311735</v>
      </c>
      <c r="F66" s="447">
        <f t="shared" si="16"/>
        <v>2.3356804038245178</v>
      </c>
      <c r="G66" s="304">
        <v>8</v>
      </c>
      <c r="H66" s="304">
        <v>5</v>
      </c>
      <c r="I66" s="407">
        <v>70</v>
      </c>
      <c r="J66" s="447">
        <f t="shared" si="17"/>
        <v>1.8688154683555778</v>
      </c>
      <c r="K66" s="447">
        <f t="shared" si="18"/>
        <v>1.4223746078391131</v>
      </c>
      <c r="L66" s="447">
        <f t="shared" si="19"/>
        <v>18.386038074186459</v>
      </c>
      <c r="P66"/>
      <c r="Q66"/>
      <c r="R66"/>
      <c r="S66"/>
    </row>
    <row r="67" spans="1:19" ht="45">
      <c r="A67" s="396" t="s">
        <v>393</v>
      </c>
      <c r="B67" s="304">
        <v>3</v>
      </c>
      <c r="C67" s="304">
        <v>8</v>
      </c>
      <c r="D67" s="407">
        <v>65</v>
      </c>
      <c r="E67" s="447">
        <f t="shared" si="15"/>
        <v>2.2113638026311735</v>
      </c>
      <c r="F67" s="447">
        <f t="shared" si="16"/>
        <v>2.3356804038245178</v>
      </c>
      <c r="G67" s="304">
        <v>12</v>
      </c>
      <c r="H67" s="304">
        <v>5</v>
      </c>
      <c r="I67" s="407">
        <v>70</v>
      </c>
      <c r="J67" s="447">
        <f t="shared" si="17"/>
        <v>1.8688154683555778</v>
      </c>
      <c r="K67" s="447">
        <f t="shared" si="18"/>
        <v>1.4223746078391131</v>
      </c>
      <c r="L67" s="447">
        <f t="shared" si="19"/>
        <v>24.07553650554291</v>
      </c>
      <c r="P67"/>
      <c r="Q67"/>
      <c r="R67"/>
      <c r="S67"/>
    </row>
    <row r="68" spans="1:19" ht="45">
      <c r="A68" s="396" t="s">
        <v>394</v>
      </c>
      <c r="B68" s="304">
        <v>3</v>
      </c>
      <c r="C68" s="304">
        <v>8</v>
      </c>
      <c r="D68" s="407">
        <v>65</v>
      </c>
      <c r="E68" s="447">
        <f t="shared" si="15"/>
        <v>2.2113638026311735</v>
      </c>
      <c r="F68" s="447">
        <f t="shared" si="16"/>
        <v>2.3356804038245178</v>
      </c>
      <c r="G68" s="304">
        <v>16</v>
      </c>
      <c r="H68" s="304">
        <v>5</v>
      </c>
      <c r="I68" s="407">
        <v>70</v>
      </c>
      <c r="J68" s="447">
        <f t="shared" si="17"/>
        <v>1.8688154683555778</v>
      </c>
      <c r="K68" s="447">
        <f t="shared" si="18"/>
        <v>1.4223746078391131</v>
      </c>
      <c r="L68" s="447">
        <f t="shared" si="19"/>
        <v>29.765034936899362</v>
      </c>
      <c r="P68"/>
      <c r="Q68"/>
      <c r="R68"/>
      <c r="S68"/>
    </row>
    <row r="69" spans="1:19" ht="45.75" thickBot="1">
      <c r="A69" s="438" t="s">
        <v>395</v>
      </c>
      <c r="B69" s="448">
        <v>3</v>
      </c>
      <c r="C69" s="448">
        <v>8</v>
      </c>
      <c r="D69" s="449">
        <v>65</v>
      </c>
      <c r="E69" s="450">
        <f t="shared" si="15"/>
        <v>2.2113638026311735</v>
      </c>
      <c r="F69" s="450">
        <f t="shared" si="16"/>
        <v>2.3356804038245178</v>
      </c>
      <c r="G69" s="448">
        <v>20</v>
      </c>
      <c r="H69" s="448">
        <v>5</v>
      </c>
      <c r="I69" s="407">
        <v>70</v>
      </c>
      <c r="J69" s="450">
        <f t="shared" si="17"/>
        <v>1.8688154683555778</v>
      </c>
      <c r="K69" s="450">
        <f t="shared" si="18"/>
        <v>1.4223746078391131</v>
      </c>
      <c r="L69" s="450">
        <f t="shared" si="19"/>
        <v>35.454533368255817</v>
      </c>
      <c r="P69"/>
      <c r="Q69"/>
      <c r="R69"/>
      <c r="S69"/>
    </row>
    <row r="70" spans="1:19" ht="45.75" thickTop="1">
      <c r="A70" s="411" t="s">
        <v>396</v>
      </c>
      <c r="B70" s="451">
        <v>1</v>
      </c>
      <c r="C70" s="451">
        <v>8</v>
      </c>
      <c r="D70" s="452">
        <v>65</v>
      </c>
      <c r="E70" s="453">
        <f t="shared" si="15"/>
        <v>2.2113638026311735</v>
      </c>
      <c r="F70" s="453">
        <f t="shared" si="16"/>
        <v>2.3356804038245178</v>
      </c>
      <c r="G70" s="451">
        <v>2</v>
      </c>
      <c r="H70" s="451">
        <v>5</v>
      </c>
      <c r="I70" s="407">
        <v>70</v>
      </c>
      <c r="J70" s="453">
        <f t="shared" si="17"/>
        <v>1.8688154683555778</v>
      </c>
      <c r="K70" s="453">
        <f t="shared" si="18"/>
        <v>1.4223746078391131</v>
      </c>
      <c r="L70" s="453">
        <f>B70*F70+G70*K70</f>
        <v>5.1804296195027444</v>
      </c>
      <c r="P70"/>
      <c r="Q70"/>
      <c r="R70"/>
      <c r="S70"/>
    </row>
    <row r="71" spans="1:19" ht="45">
      <c r="A71" s="396" t="s">
        <v>397</v>
      </c>
      <c r="B71" s="304">
        <v>2</v>
      </c>
      <c r="C71" s="304">
        <v>8</v>
      </c>
      <c r="D71" s="407">
        <v>65</v>
      </c>
      <c r="E71" s="447">
        <f t="shared" si="15"/>
        <v>2.2113638026311735</v>
      </c>
      <c r="F71" s="447">
        <f t="shared" si="16"/>
        <v>2.3356804038245178</v>
      </c>
      <c r="G71" s="304">
        <v>2</v>
      </c>
      <c r="H71" s="304">
        <v>5</v>
      </c>
      <c r="I71" s="407">
        <v>70</v>
      </c>
      <c r="J71" s="447">
        <f t="shared" si="17"/>
        <v>1.8688154683555778</v>
      </c>
      <c r="K71" s="447">
        <f t="shared" si="18"/>
        <v>1.4223746078391131</v>
      </c>
      <c r="L71" s="447">
        <f t="shared" ref="L71:L86" si="20">B71*F71+G71*K71</f>
        <v>7.5161100233272613</v>
      </c>
      <c r="P71"/>
      <c r="Q71"/>
      <c r="R71"/>
      <c r="S71"/>
    </row>
    <row r="72" spans="1:19" ht="45">
      <c r="A72" s="396" t="s">
        <v>398</v>
      </c>
      <c r="B72" s="304">
        <v>2</v>
      </c>
      <c r="C72" s="304">
        <v>8</v>
      </c>
      <c r="D72" s="407">
        <v>65</v>
      </c>
      <c r="E72" s="447">
        <f t="shared" si="15"/>
        <v>2.2113638026311735</v>
      </c>
      <c r="F72" s="447">
        <f t="shared" si="16"/>
        <v>2.3356804038245178</v>
      </c>
      <c r="G72" s="304">
        <v>4</v>
      </c>
      <c r="H72" s="304">
        <v>5</v>
      </c>
      <c r="I72" s="407">
        <v>70</v>
      </c>
      <c r="J72" s="447">
        <f t="shared" si="17"/>
        <v>1.8688154683555778</v>
      </c>
      <c r="K72" s="447">
        <f t="shared" si="18"/>
        <v>1.4223746078391131</v>
      </c>
      <c r="L72" s="447">
        <f t="shared" si="20"/>
        <v>10.360859239005489</v>
      </c>
      <c r="P72"/>
      <c r="Q72"/>
      <c r="R72"/>
      <c r="S72"/>
    </row>
    <row r="73" spans="1:19" ht="45">
      <c r="A73" s="396" t="s">
        <v>399</v>
      </c>
      <c r="B73" s="304">
        <v>2</v>
      </c>
      <c r="C73" s="304">
        <v>8</v>
      </c>
      <c r="D73" s="407">
        <v>65</v>
      </c>
      <c r="E73" s="447">
        <f t="shared" si="15"/>
        <v>2.2113638026311735</v>
      </c>
      <c r="F73" s="447">
        <f t="shared" si="16"/>
        <v>2.3356804038245178</v>
      </c>
      <c r="G73" s="304">
        <v>6</v>
      </c>
      <c r="H73" s="304">
        <v>5</v>
      </c>
      <c r="I73" s="407">
        <v>70</v>
      </c>
      <c r="J73" s="447">
        <f t="shared" si="17"/>
        <v>1.8688154683555778</v>
      </c>
      <c r="K73" s="447">
        <f t="shared" si="18"/>
        <v>1.4223746078391131</v>
      </c>
      <c r="L73" s="447">
        <f t="shared" si="20"/>
        <v>13.205608454683714</v>
      </c>
      <c r="P73"/>
      <c r="Q73"/>
      <c r="R73"/>
      <c r="S73"/>
    </row>
    <row r="74" spans="1:19" ht="45">
      <c r="A74" s="396" t="s">
        <v>400</v>
      </c>
      <c r="B74" s="304">
        <v>2</v>
      </c>
      <c r="C74" s="304">
        <v>8</v>
      </c>
      <c r="D74" s="407">
        <v>65</v>
      </c>
      <c r="E74" s="447">
        <f t="shared" si="15"/>
        <v>2.2113638026311735</v>
      </c>
      <c r="F74" s="447">
        <f t="shared" si="16"/>
        <v>2.3356804038245178</v>
      </c>
      <c r="G74" s="304">
        <v>8</v>
      </c>
      <c r="H74" s="304">
        <v>5</v>
      </c>
      <c r="I74" s="407">
        <v>70</v>
      </c>
      <c r="J74" s="447">
        <f t="shared" si="17"/>
        <v>1.8688154683555778</v>
      </c>
      <c r="K74" s="447">
        <f t="shared" si="18"/>
        <v>1.4223746078391131</v>
      </c>
      <c r="L74" s="447">
        <f t="shared" si="20"/>
        <v>16.05035767036194</v>
      </c>
      <c r="P74"/>
      <c r="Q74"/>
      <c r="R74"/>
      <c r="S74"/>
    </row>
    <row r="75" spans="1:19" ht="45">
      <c r="A75" s="396" t="s">
        <v>401</v>
      </c>
      <c r="B75" s="304">
        <v>2</v>
      </c>
      <c r="C75" s="304">
        <v>8</v>
      </c>
      <c r="D75" s="407">
        <v>65</v>
      </c>
      <c r="E75" s="447">
        <f t="shared" si="15"/>
        <v>2.2113638026311735</v>
      </c>
      <c r="F75" s="447">
        <f t="shared" si="16"/>
        <v>2.3356804038245178</v>
      </c>
      <c r="G75" s="304">
        <v>10</v>
      </c>
      <c r="H75" s="304">
        <v>5</v>
      </c>
      <c r="I75" s="407">
        <v>70</v>
      </c>
      <c r="J75" s="447">
        <f t="shared" si="17"/>
        <v>1.8688154683555778</v>
      </c>
      <c r="K75" s="447">
        <f t="shared" si="18"/>
        <v>1.4223746078391131</v>
      </c>
      <c r="L75" s="447">
        <f t="shared" si="20"/>
        <v>18.895106886040168</v>
      </c>
      <c r="P75"/>
      <c r="Q75"/>
      <c r="R75"/>
      <c r="S75"/>
    </row>
    <row r="76" spans="1:19" ht="45">
      <c r="A76" s="396" t="s">
        <v>402</v>
      </c>
      <c r="B76" s="304">
        <v>3</v>
      </c>
      <c r="C76" s="304">
        <v>8</v>
      </c>
      <c r="D76" s="407">
        <v>65</v>
      </c>
      <c r="E76" s="447">
        <f t="shared" si="15"/>
        <v>2.2113638026311735</v>
      </c>
      <c r="F76" s="447">
        <f t="shared" si="16"/>
        <v>2.3356804038245178</v>
      </c>
      <c r="G76" s="304">
        <v>4</v>
      </c>
      <c r="H76" s="304">
        <v>5</v>
      </c>
      <c r="I76" s="407">
        <v>70</v>
      </c>
      <c r="J76" s="447">
        <f t="shared" si="17"/>
        <v>1.8688154683555778</v>
      </c>
      <c r="K76" s="447">
        <f t="shared" si="18"/>
        <v>1.4223746078391131</v>
      </c>
      <c r="L76" s="447">
        <f t="shared" si="20"/>
        <v>12.696539642830006</v>
      </c>
      <c r="P76"/>
      <c r="Q76"/>
      <c r="R76"/>
      <c r="S76"/>
    </row>
    <row r="77" spans="1:19" ht="45">
      <c r="A77" s="396" t="s">
        <v>403</v>
      </c>
      <c r="B77" s="304">
        <v>3</v>
      </c>
      <c r="C77" s="304">
        <v>8</v>
      </c>
      <c r="D77" s="407">
        <v>65</v>
      </c>
      <c r="E77" s="447">
        <f t="shared" si="15"/>
        <v>2.2113638026311735</v>
      </c>
      <c r="F77" s="447">
        <f t="shared" si="16"/>
        <v>2.3356804038245178</v>
      </c>
      <c r="G77" s="304">
        <v>8</v>
      </c>
      <c r="H77" s="304">
        <v>5</v>
      </c>
      <c r="I77" s="407">
        <v>70</v>
      </c>
      <c r="J77" s="447">
        <f t="shared" si="17"/>
        <v>1.8688154683555778</v>
      </c>
      <c r="K77" s="447">
        <f t="shared" si="18"/>
        <v>1.4223746078391131</v>
      </c>
      <c r="L77" s="447">
        <f t="shared" si="20"/>
        <v>18.386038074186459</v>
      </c>
      <c r="P77"/>
      <c r="Q77"/>
      <c r="R77"/>
      <c r="S77"/>
    </row>
    <row r="78" spans="1:19" ht="45">
      <c r="A78" s="396" t="s">
        <v>404</v>
      </c>
      <c r="B78" s="304">
        <v>3</v>
      </c>
      <c r="C78" s="304">
        <v>8</v>
      </c>
      <c r="D78" s="407">
        <v>65</v>
      </c>
      <c r="E78" s="447">
        <f t="shared" si="15"/>
        <v>2.2113638026311735</v>
      </c>
      <c r="F78" s="447">
        <f t="shared" si="16"/>
        <v>2.3356804038245178</v>
      </c>
      <c r="G78" s="304">
        <v>12</v>
      </c>
      <c r="H78" s="304">
        <v>5</v>
      </c>
      <c r="I78" s="407">
        <v>70</v>
      </c>
      <c r="J78" s="447">
        <f t="shared" si="17"/>
        <v>1.8688154683555778</v>
      </c>
      <c r="K78" s="447">
        <f t="shared" si="18"/>
        <v>1.4223746078391131</v>
      </c>
      <c r="L78" s="447">
        <f t="shared" si="20"/>
        <v>24.07553650554291</v>
      </c>
      <c r="P78"/>
      <c r="Q78"/>
      <c r="R78"/>
      <c r="S78"/>
    </row>
    <row r="79" spans="1:19" ht="45">
      <c r="A79" s="396" t="s">
        <v>405</v>
      </c>
      <c r="B79" s="304">
        <v>3</v>
      </c>
      <c r="C79" s="304">
        <v>8</v>
      </c>
      <c r="D79" s="407">
        <v>65</v>
      </c>
      <c r="E79" s="447">
        <f t="shared" si="15"/>
        <v>2.2113638026311735</v>
      </c>
      <c r="F79" s="447">
        <f t="shared" si="16"/>
        <v>2.3356804038245178</v>
      </c>
      <c r="G79" s="304">
        <v>16</v>
      </c>
      <c r="H79" s="304">
        <v>5</v>
      </c>
      <c r="I79" s="407">
        <v>70</v>
      </c>
      <c r="J79" s="447">
        <f t="shared" si="17"/>
        <v>1.8688154683555778</v>
      </c>
      <c r="K79" s="447">
        <f t="shared" si="18"/>
        <v>1.4223746078391131</v>
      </c>
      <c r="L79" s="447">
        <f t="shared" si="20"/>
        <v>29.765034936899362</v>
      </c>
      <c r="P79"/>
      <c r="Q79"/>
      <c r="R79"/>
      <c r="S79"/>
    </row>
    <row r="80" spans="1:19" ht="45.75" thickBot="1">
      <c r="A80" s="396" t="s">
        <v>406</v>
      </c>
      <c r="B80" s="448">
        <v>3</v>
      </c>
      <c r="C80" s="448">
        <v>8</v>
      </c>
      <c r="D80" s="449">
        <v>65</v>
      </c>
      <c r="E80" s="450">
        <f t="shared" si="15"/>
        <v>2.2113638026311735</v>
      </c>
      <c r="F80" s="450">
        <f t="shared" si="16"/>
        <v>2.3356804038245178</v>
      </c>
      <c r="G80" s="448">
        <v>20</v>
      </c>
      <c r="H80" s="448">
        <v>5</v>
      </c>
      <c r="I80" s="407">
        <v>70</v>
      </c>
      <c r="J80" s="450">
        <f t="shared" si="17"/>
        <v>1.8688154683555778</v>
      </c>
      <c r="K80" s="450">
        <f t="shared" si="18"/>
        <v>1.4223746078391131</v>
      </c>
      <c r="L80" s="450">
        <f t="shared" si="20"/>
        <v>35.454533368255817</v>
      </c>
      <c r="P80"/>
      <c r="Q80"/>
      <c r="R80"/>
      <c r="S80"/>
    </row>
    <row r="81" spans="1:19" ht="45.75" thickTop="1">
      <c r="A81" s="411" t="s">
        <v>790</v>
      </c>
      <c r="B81" s="304">
        <v>2</v>
      </c>
      <c r="C81" s="304">
        <v>8</v>
      </c>
      <c r="D81" s="407">
        <v>65</v>
      </c>
      <c r="E81" s="447">
        <f t="shared" ref="E81:E84" si="21">($E$87*0.52*SQRT($C81)*D81^0.9*$B$50^0.8)/1000</f>
        <v>2.2113638026311735</v>
      </c>
      <c r="F81" s="447">
        <f t="shared" si="16"/>
        <v>2.3356804038245178</v>
      </c>
      <c r="G81" s="304">
        <v>2</v>
      </c>
      <c r="H81" s="304">
        <v>5</v>
      </c>
      <c r="I81" s="407">
        <v>70</v>
      </c>
      <c r="J81" s="447">
        <f t="shared" ref="J81:J84" si="22">($E$87*0.52*SQRT($H81)*I81^0.9*$B$50^0.8)/1000</f>
        <v>1.8688154683555778</v>
      </c>
      <c r="K81" s="447">
        <f t="shared" si="18"/>
        <v>1.4223746078391131</v>
      </c>
      <c r="L81" s="447">
        <f t="shared" si="20"/>
        <v>7.5161100233272613</v>
      </c>
      <c r="P81"/>
      <c r="Q81"/>
      <c r="R81"/>
      <c r="S81"/>
    </row>
    <row r="82" spans="1:19" ht="45">
      <c r="A82" s="396" t="s">
        <v>791</v>
      </c>
      <c r="B82" s="304">
        <v>2</v>
      </c>
      <c r="C82" s="304">
        <v>8</v>
      </c>
      <c r="D82" s="407">
        <v>65</v>
      </c>
      <c r="E82" s="447">
        <f t="shared" si="21"/>
        <v>2.2113638026311735</v>
      </c>
      <c r="F82" s="447">
        <f t="shared" si="16"/>
        <v>2.3356804038245178</v>
      </c>
      <c r="G82" s="304">
        <v>3</v>
      </c>
      <c r="H82" s="304">
        <v>5</v>
      </c>
      <c r="I82" s="407">
        <v>70</v>
      </c>
      <c r="J82" s="447">
        <f t="shared" si="22"/>
        <v>1.8688154683555778</v>
      </c>
      <c r="K82" s="447">
        <f t="shared" si="18"/>
        <v>1.4223746078391131</v>
      </c>
      <c r="L82" s="447">
        <f t="shared" si="20"/>
        <v>8.938484631166375</v>
      </c>
      <c r="P82"/>
      <c r="Q82"/>
      <c r="R82"/>
      <c r="S82"/>
    </row>
    <row r="83" spans="1:19" ht="45">
      <c r="A83" s="396" t="s">
        <v>792</v>
      </c>
      <c r="B83" s="304">
        <v>2</v>
      </c>
      <c r="C83" s="304">
        <v>8</v>
      </c>
      <c r="D83" s="407">
        <v>65</v>
      </c>
      <c r="E83" s="447">
        <f t="shared" si="21"/>
        <v>2.2113638026311735</v>
      </c>
      <c r="F83" s="447">
        <f t="shared" si="16"/>
        <v>2.3356804038245178</v>
      </c>
      <c r="G83" s="304">
        <v>3</v>
      </c>
      <c r="H83" s="304">
        <v>5</v>
      </c>
      <c r="I83" s="407">
        <v>70</v>
      </c>
      <c r="J83" s="447">
        <f t="shared" si="22"/>
        <v>1.8688154683555778</v>
      </c>
      <c r="K83" s="447">
        <f t="shared" si="18"/>
        <v>1.4223746078391131</v>
      </c>
      <c r="L83" s="447">
        <f t="shared" si="20"/>
        <v>8.938484631166375</v>
      </c>
      <c r="P83"/>
      <c r="Q83"/>
      <c r="R83"/>
      <c r="S83"/>
    </row>
    <row r="84" spans="1:19" ht="45.75" thickBot="1">
      <c r="A84" s="438" t="s">
        <v>793</v>
      </c>
      <c r="B84" s="448">
        <v>2</v>
      </c>
      <c r="C84" s="448">
        <v>8</v>
      </c>
      <c r="D84" s="449">
        <v>65</v>
      </c>
      <c r="E84" s="450">
        <f t="shared" si="21"/>
        <v>2.2113638026311735</v>
      </c>
      <c r="F84" s="450">
        <f t="shared" si="16"/>
        <v>2.3356804038245178</v>
      </c>
      <c r="G84" s="448">
        <v>4</v>
      </c>
      <c r="H84" s="448">
        <v>5</v>
      </c>
      <c r="I84" s="449">
        <v>70</v>
      </c>
      <c r="J84" s="450">
        <f t="shared" si="22"/>
        <v>1.8688154683555778</v>
      </c>
      <c r="K84" s="450">
        <f t="shared" si="18"/>
        <v>1.4223746078391131</v>
      </c>
      <c r="L84" s="450">
        <f t="shared" si="20"/>
        <v>10.360859239005489</v>
      </c>
      <c r="P84"/>
      <c r="Q84"/>
      <c r="R84"/>
      <c r="S84"/>
    </row>
    <row r="85" spans="1:19" ht="45.75" thickTop="1">
      <c r="A85" s="411" t="s">
        <v>407</v>
      </c>
      <c r="B85" s="451">
        <v>1</v>
      </c>
      <c r="C85" s="451">
        <v>5</v>
      </c>
      <c r="D85" s="452">
        <v>65</v>
      </c>
      <c r="E85" s="453">
        <f>($E$87*0.52*SQRT($C85)*D85^0.9*$B$50^0.8)/1000</f>
        <v>1.7482365878913895</v>
      </c>
      <c r="F85" s="453">
        <f t="shared" si="16"/>
        <v>2.2198986001395715</v>
      </c>
      <c r="G85" s="451">
        <v>2</v>
      </c>
      <c r="H85" s="451">
        <v>5</v>
      </c>
      <c r="I85" s="407">
        <v>70</v>
      </c>
      <c r="J85" s="453">
        <f>($E$87*0.52*SQRT($H85)*I85^0.9*$B$50^0.8)/1000</f>
        <v>1.8688154683555778</v>
      </c>
      <c r="K85" s="453">
        <f>MIN($C$53*$I85*$C$52/1000,(2.3*SQRT($C$51*$C$53*$C$52))/1000+(J85/4),$C$53*$I85*$C$53*(SQRT(2+4*$C$51/($C$53*$I85^2*$C$52))-1)/1000+J85/4)</f>
        <v>1.4223746078391131</v>
      </c>
      <c r="L85" s="453">
        <f t="shared" si="20"/>
        <v>5.0646478158177981</v>
      </c>
      <c r="P85"/>
      <c r="Q85"/>
      <c r="R85"/>
      <c r="S85"/>
    </row>
    <row r="86" spans="1:19" ht="45">
      <c r="A86" s="411" t="s">
        <v>408</v>
      </c>
      <c r="B86" s="304">
        <v>1</v>
      </c>
      <c r="C86" s="304">
        <v>5</v>
      </c>
      <c r="D86" s="407">
        <v>65</v>
      </c>
      <c r="E86" s="447">
        <f>($E$87*0.52*SQRT($C86)*D86^0.9*$B$50^0.8)/1000</f>
        <v>1.7482365878913895</v>
      </c>
      <c r="F86" s="447">
        <f t="shared" si="16"/>
        <v>2.2198986001395715</v>
      </c>
      <c r="G86" s="304">
        <v>2</v>
      </c>
      <c r="H86" s="304">
        <v>5</v>
      </c>
      <c r="I86" s="407">
        <v>70</v>
      </c>
      <c r="J86" s="447">
        <f>($E$87*0.52*SQRT($H86)*I86^0.9*$B$50^0.8)/1000</f>
        <v>1.8688154683555778</v>
      </c>
      <c r="K86" s="447">
        <f>MIN($C$53*$I86*$C$52/1000,(2.3*SQRT($C$51*$C$53*$C$52))/1000+(J86/4),$C$53*$I86*$C$53*(SQRT(2+4*$C$51/($C$53*$I86^2*$C$52))-1)/1000+J86/4)</f>
        <v>1.4223746078391131</v>
      </c>
      <c r="L86" s="447">
        <f t="shared" si="20"/>
        <v>5.0646478158177981</v>
      </c>
      <c r="P86"/>
      <c r="Q86"/>
      <c r="R86"/>
      <c r="S86"/>
    </row>
    <row r="87" spans="1:19">
      <c r="A87" s="91"/>
      <c r="B87" s="90"/>
      <c r="C87" s="90"/>
      <c r="D87" s="133" t="s">
        <v>308</v>
      </c>
      <c r="E87" s="369">
        <v>0.3</v>
      </c>
      <c r="F87" s="90"/>
      <c r="G87" s="90"/>
      <c r="H87" s="90"/>
      <c r="K87" s="90"/>
      <c r="L87" s="90"/>
      <c r="P87"/>
      <c r="Q87"/>
      <c r="R87"/>
      <c r="S87"/>
    </row>
    <row r="88" spans="1:19">
      <c r="A88" s="3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P88"/>
      <c r="Q88"/>
      <c r="R88"/>
      <c r="S88"/>
    </row>
    <row r="89" spans="1:19" ht="18">
      <c r="A89" s="4" t="s">
        <v>2</v>
      </c>
      <c r="B89" s="92" t="s">
        <v>43</v>
      </c>
      <c r="C89" s="92" t="s">
        <v>9</v>
      </c>
      <c r="D89" s="92" t="s">
        <v>80</v>
      </c>
      <c r="E89" s="92" t="s">
        <v>81</v>
      </c>
      <c r="F89" s="92" t="s">
        <v>82</v>
      </c>
      <c r="G89" s="92" t="s">
        <v>43</v>
      </c>
      <c r="H89" s="92" t="s">
        <v>9</v>
      </c>
      <c r="I89" s="92" t="s">
        <v>80</v>
      </c>
      <c r="J89" s="92" t="s">
        <v>81</v>
      </c>
      <c r="K89" s="92" t="s">
        <v>82</v>
      </c>
      <c r="L89" s="92" t="s">
        <v>83</v>
      </c>
      <c r="P89"/>
      <c r="Q89"/>
      <c r="R89"/>
      <c r="S89"/>
    </row>
    <row r="90" spans="1:19">
      <c r="A90" s="8" t="s">
        <v>343</v>
      </c>
      <c r="B90" s="93" t="s">
        <v>19</v>
      </c>
      <c r="C90" s="93" t="s">
        <v>18</v>
      </c>
      <c r="D90" s="93" t="s">
        <v>18</v>
      </c>
      <c r="E90" s="93" t="s">
        <v>17</v>
      </c>
      <c r="F90" s="93" t="s">
        <v>17</v>
      </c>
      <c r="G90" s="93" t="s">
        <v>19</v>
      </c>
      <c r="H90" s="93" t="s">
        <v>18</v>
      </c>
      <c r="I90" s="93" t="s">
        <v>18</v>
      </c>
      <c r="J90" s="93" t="s">
        <v>17</v>
      </c>
      <c r="K90" s="93" t="s">
        <v>17</v>
      </c>
      <c r="L90" s="94" t="s">
        <v>17</v>
      </c>
    </row>
    <row r="91" spans="1:19" ht="45">
      <c r="A91" s="396" t="s">
        <v>385</v>
      </c>
      <c r="B91" s="304">
        <v>1</v>
      </c>
      <c r="C91" s="304">
        <v>8</v>
      </c>
      <c r="D91" s="407">
        <v>35</v>
      </c>
      <c r="E91" s="447">
        <f>(0.52*SQRT($C91)*D91^0.9*$B$50^0.8)/1000</f>
        <v>4.2225826668958426</v>
      </c>
      <c r="F91" s="447">
        <f t="shared" ref="F91:F116" si="23">MIN($B$54*$B$52*D91/1000,2.3*SQRT($B$51*$B$54*$B$52)/1000+(E91/4),$B$54*$B$52*D91/1000*(SQRT(2+4*$B$51/($B$54*$B$52*D91^2))-1)+E91/4)</f>
        <v>3.5986908599833538</v>
      </c>
      <c r="G91" s="304">
        <v>2</v>
      </c>
      <c r="H91" s="304">
        <v>5</v>
      </c>
      <c r="I91" s="407">
        <v>40</v>
      </c>
      <c r="J91" s="447">
        <f>(0.52*SQRT($C$52)*I91^0.9*$B$50^0.8)/1000</f>
        <v>3.7645313796964266</v>
      </c>
      <c r="K91" s="447">
        <f t="shared" ref="K91:K116" si="24">MIN($C$54*$C$52*I91/1000,2.3*SQRT($C$51*$C$54*$C$52)/1000+(J91/4),$C$54*$C$52*I91/1000*(SQRT(2+4*$C$51/($C$54*$C$52*I91^2))-1)+J91/4)</f>
        <v>2.4468068992206229</v>
      </c>
      <c r="L91" s="447">
        <f>B91*F91+G91*K91</f>
        <v>8.4923046584245991</v>
      </c>
    </row>
    <row r="92" spans="1:19" ht="45">
      <c r="A92" s="396" t="s">
        <v>386</v>
      </c>
      <c r="B92" s="304">
        <v>2</v>
      </c>
      <c r="C92" s="304">
        <v>8</v>
      </c>
      <c r="D92" s="407">
        <v>35</v>
      </c>
      <c r="E92" s="447">
        <f t="shared" ref="E92:E118" si="25">(0.52*SQRT($C92)*D92^0.9*$B$50^0.8)/1000</f>
        <v>4.2225826668958426</v>
      </c>
      <c r="F92" s="447">
        <f t="shared" si="23"/>
        <v>3.5986908599833538</v>
      </c>
      <c r="G92" s="304">
        <v>2</v>
      </c>
      <c r="H92" s="304">
        <v>5</v>
      </c>
      <c r="I92" s="407">
        <v>40</v>
      </c>
      <c r="J92" s="447">
        <f t="shared" ref="J92:J118" si="26">(0.52*SQRT($C$52)*I92^0.9*$B$50^0.8)/1000</f>
        <v>3.7645313796964266</v>
      </c>
      <c r="K92" s="447">
        <f t="shared" si="24"/>
        <v>2.4468068992206229</v>
      </c>
      <c r="L92" s="447">
        <f t="shared" ref="L92:L101" si="27">B92*F92+G92*K92</f>
        <v>12.090995518407954</v>
      </c>
    </row>
    <row r="93" spans="1:19" ht="45">
      <c r="A93" s="396" t="s">
        <v>387</v>
      </c>
      <c r="B93" s="304">
        <v>2</v>
      </c>
      <c r="C93" s="304">
        <v>8</v>
      </c>
      <c r="D93" s="407">
        <v>35</v>
      </c>
      <c r="E93" s="447">
        <f t="shared" si="25"/>
        <v>4.2225826668958426</v>
      </c>
      <c r="F93" s="447">
        <f t="shared" si="23"/>
        <v>3.5986908599833538</v>
      </c>
      <c r="G93" s="304">
        <v>4</v>
      </c>
      <c r="H93" s="304">
        <v>5</v>
      </c>
      <c r="I93" s="407">
        <v>40</v>
      </c>
      <c r="J93" s="447">
        <f t="shared" si="26"/>
        <v>3.7645313796964266</v>
      </c>
      <c r="K93" s="447">
        <f t="shared" si="24"/>
        <v>2.4468068992206229</v>
      </c>
      <c r="L93" s="447">
        <f t="shared" si="27"/>
        <v>16.984609316849198</v>
      </c>
    </row>
    <row r="94" spans="1:19" ht="45">
      <c r="A94" s="396" t="s">
        <v>388</v>
      </c>
      <c r="B94" s="304">
        <v>2</v>
      </c>
      <c r="C94" s="304">
        <v>8</v>
      </c>
      <c r="D94" s="407">
        <v>35</v>
      </c>
      <c r="E94" s="447">
        <f t="shared" si="25"/>
        <v>4.2225826668958426</v>
      </c>
      <c r="F94" s="447">
        <f t="shared" si="23"/>
        <v>3.5986908599833538</v>
      </c>
      <c r="G94" s="304">
        <v>6</v>
      </c>
      <c r="H94" s="304">
        <v>5</v>
      </c>
      <c r="I94" s="407">
        <v>40</v>
      </c>
      <c r="J94" s="447">
        <f t="shared" si="26"/>
        <v>3.7645313796964266</v>
      </c>
      <c r="K94" s="447">
        <f t="shared" si="24"/>
        <v>2.4468068992206229</v>
      </c>
      <c r="L94" s="447">
        <f t="shared" si="27"/>
        <v>21.878223115290446</v>
      </c>
    </row>
    <row r="95" spans="1:19" ht="45">
      <c r="A95" s="396" t="s">
        <v>389</v>
      </c>
      <c r="B95" s="304">
        <v>2</v>
      </c>
      <c r="C95" s="304">
        <v>8</v>
      </c>
      <c r="D95" s="407">
        <v>35</v>
      </c>
      <c r="E95" s="447">
        <f t="shared" si="25"/>
        <v>4.2225826668958426</v>
      </c>
      <c r="F95" s="447">
        <f t="shared" si="23"/>
        <v>3.5986908599833538</v>
      </c>
      <c r="G95" s="304">
        <v>8</v>
      </c>
      <c r="H95" s="304">
        <v>5</v>
      </c>
      <c r="I95" s="407">
        <v>40</v>
      </c>
      <c r="J95" s="447">
        <f t="shared" si="26"/>
        <v>3.7645313796964266</v>
      </c>
      <c r="K95" s="447">
        <f t="shared" si="24"/>
        <v>2.4468068992206229</v>
      </c>
      <c r="L95" s="447">
        <f t="shared" si="27"/>
        <v>26.77183691373169</v>
      </c>
      <c r="P95"/>
      <c r="Q95"/>
      <c r="R95"/>
      <c r="S95"/>
    </row>
    <row r="96" spans="1:19" ht="45">
      <c r="A96" s="396" t="s">
        <v>390</v>
      </c>
      <c r="B96" s="304">
        <v>2</v>
      </c>
      <c r="C96" s="304">
        <v>8</v>
      </c>
      <c r="D96" s="407">
        <v>35</v>
      </c>
      <c r="E96" s="447">
        <f t="shared" si="25"/>
        <v>4.2225826668958426</v>
      </c>
      <c r="F96" s="447">
        <f t="shared" si="23"/>
        <v>3.5986908599833538</v>
      </c>
      <c r="G96" s="304">
        <v>10</v>
      </c>
      <c r="H96" s="304">
        <v>5</v>
      </c>
      <c r="I96" s="407">
        <v>40</v>
      </c>
      <c r="J96" s="447">
        <f t="shared" si="26"/>
        <v>3.7645313796964266</v>
      </c>
      <c r="K96" s="447">
        <f t="shared" si="24"/>
        <v>2.4468068992206229</v>
      </c>
      <c r="L96" s="447">
        <f t="shared" si="27"/>
        <v>31.665450712172934</v>
      </c>
      <c r="P96"/>
      <c r="Q96"/>
      <c r="R96"/>
      <c r="S96"/>
    </row>
    <row r="97" spans="1:19" ht="45">
      <c r="A97" s="396" t="s">
        <v>391</v>
      </c>
      <c r="B97" s="304">
        <v>3</v>
      </c>
      <c r="C97" s="304">
        <v>8</v>
      </c>
      <c r="D97" s="407">
        <v>35</v>
      </c>
      <c r="E97" s="447">
        <f t="shared" si="25"/>
        <v>4.2225826668958426</v>
      </c>
      <c r="F97" s="447">
        <f t="shared" si="23"/>
        <v>3.5986908599833538</v>
      </c>
      <c r="G97" s="304">
        <v>4</v>
      </c>
      <c r="H97" s="304">
        <v>5</v>
      </c>
      <c r="I97" s="407">
        <v>40</v>
      </c>
      <c r="J97" s="447">
        <f t="shared" si="26"/>
        <v>3.7645313796964266</v>
      </c>
      <c r="K97" s="447">
        <f t="shared" si="24"/>
        <v>2.4468068992206229</v>
      </c>
      <c r="L97" s="447">
        <f t="shared" si="27"/>
        <v>20.583300176832552</v>
      </c>
      <c r="P97"/>
      <c r="Q97"/>
      <c r="R97"/>
      <c r="S97"/>
    </row>
    <row r="98" spans="1:19" ht="45">
      <c r="A98" s="396" t="s">
        <v>392</v>
      </c>
      <c r="B98" s="304">
        <v>3</v>
      </c>
      <c r="C98" s="304">
        <v>8</v>
      </c>
      <c r="D98" s="407">
        <v>35</v>
      </c>
      <c r="E98" s="447">
        <f t="shared" si="25"/>
        <v>4.2225826668958426</v>
      </c>
      <c r="F98" s="447">
        <f t="shared" si="23"/>
        <v>3.5986908599833538</v>
      </c>
      <c r="G98" s="304">
        <v>8</v>
      </c>
      <c r="H98" s="304">
        <v>5</v>
      </c>
      <c r="I98" s="407">
        <v>40</v>
      </c>
      <c r="J98" s="447">
        <f t="shared" si="26"/>
        <v>3.7645313796964266</v>
      </c>
      <c r="K98" s="447">
        <f t="shared" si="24"/>
        <v>2.4468068992206229</v>
      </c>
      <c r="L98" s="447">
        <f t="shared" si="27"/>
        <v>30.370527773715047</v>
      </c>
      <c r="P98"/>
      <c r="Q98"/>
      <c r="R98"/>
      <c r="S98"/>
    </row>
    <row r="99" spans="1:19" ht="45">
      <c r="A99" s="396" t="s">
        <v>393</v>
      </c>
      <c r="B99" s="304">
        <v>3</v>
      </c>
      <c r="C99" s="304">
        <v>8</v>
      </c>
      <c r="D99" s="407">
        <v>35</v>
      </c>
      <c r="E99" s="447">
        <f t="shared" si="25"/>
        <v>4.2225826668958426</v>
      </c>
      <c r="F99" s="447">
        <f t="shared" si="23"/>
        <v>3.5986908599833538</v>
      </c>
      <c r="G99" s="304">
        <v>12</v>
      </c>
      <c r="H99" s="304">
        <v>5</v>
      </c>
      <c r="I99" s="407">
        <v>40</v>
      </c>
      <c r="J99" s="447">
        <f t="shared" si="26"/>
        <v>3.7645313796964266</v>
      </c>
      <c r="K99" s="447">
        <f t="shared" si="24"/>
        <v>2.4468068992206229</v>
      </c>
      <c r="L99" s="447">
        <f t="shared" si="27"/>
        <v>40.157755370597535</v>
      </c>
      <c r="P99"/>
      <c r="Q99"/>
      <c r="R99"/>
      <c r="S99"/>
    </row>
    <row r="100" spans="1:19" ht="45">
      <c r="A100" s="396" t="s">
        <v>394</v>
      </c>
      <c r="B100" s="304">
        <v>3</v>
      </c>
      <c r="C100" s="304">
        <v>8</v>
      </c>
      <c r="D100" s="407">
        <v>35</v>
      </c>
      <c r="E100" s="447">
        <f t="shared" si="25"/>
        <v>4.2225826668958426</v>
      </c>
      <c r="F100" s="447">
        <f t="shared" si="23"/>
        <v>3.5986908599833538</v>
      </c>
      <c r="G100" s="304">
        <v>16</v>
      </c>
      <c r="H100" s="304">
        <v>5</v>
      </c>
      <c r="I100" s="407">
        <v>40</v>
      </c>
      <c r="J100" s="447">
        <f t="shared" si="26"/>
        <v>3.7645313796964266</v>
      </c>
      <c r="K100" s="447">
        <f t="shared" si="24"/>
        <v>2.4468068992206229</v>
      </c>
      <c r="L100" s="447">
        <f t="shared" si="27"/>
        <v>49.94498296748003</v>
      </c>
      <c r="P100"/>
      <c r="Q100"/>
      <c r="R100"/>
      <c r="S100"/>
    </row>
    <row r="101" spans="1:19" ht="45.75" thickBot="1">
      <c r="A101" s="438" t="s">
        <v>395</v>
      </c>
      <c r="B101" s="448">
        <v>3</v>
      </c>
      <c r="C101" s="448">
        <v>8</v>
      </c>
      <c r="D101" s="449">
        <v>35</v>
      </c>
      <c r="E101" s="450">
        <f t="shared" si="25"/>
        <v>4.2225826668958426</v>
      </c>
      <c r="F101" s="450">
        <f t="shared" si="23"/>
        <v>3.5986908599833538</v>
      </c>
      <c r="G101" s="448">
        <v>20</v>
      </c>
      <c r="H101" s="448">
        <v>5</v>
      </c>
      <c r="I101" s="449">
        <v>40</v>
      </c>
      <c r="J101" s="450">
        <f t="shared" si="26"/>
        <v>3.7645313796964266</v>
      </c>
      <c r="K101" s="450">
        <f t="shared" si="24"/>
        <v>2.4468068992206229</v>
      </c>
      <c r="L101" s="450">
        <f t="shared" si="27"/>
        <v>59.732210564362518</v>
      </c>
      <c r="P101"/>
      <c r="Q101"/>
      <c r="R101"/>
      <c r="S101"/>
    </row>
    <row r="102" spans="1:19" ht="45.75" thickTop="1">
      <c r="A102" s="411" t="s">
        <v>396</v>
      </c>
      <c r="B102" s="304">
        <v>1</v>
      </c>
      <c r="C102" s="304">
        <v>8</v>
      </c>
      <c r="D102" s="452">
        <v>35</v>
      </c>
      <c r="E102" s="453">
        <f t="shared" si="25"/>
        <v>4.2225826668958426</v>
      </c>
      <c r="F102" s="447">
        <f t="shared" si="23"/>
        <v>3.5986908599833538</v>
      </c>
      <c r="G102" s="304">
        <v>2</v>
      </c>
      <c r="H102" s="304">
        <v>5</v>
      </c>
      <c r="I102" s="452">
        <v>40</v>
      </c>
      <c r="J102" s="453">
        <f t="shared" si="26"/>
        <v>3.7645313796964266</v>
      </c>
      <c r="K102" s="447">
        <f t="shared" si="24"/>
        <v>2.4468068992206229</v>
      </c>
      <c r="L102" s="447">
        <f>B102*F102+G102*K102</f>
        <v>8.4923046584245991</v>
      </c>
      <c r="P102"/>
      <c r="Q102"/>
      <c r="R102"/>
      <c r="S102"/>
    </row>
    <row r="103" spans="1:19" ht="45">
      <c r="A103" s="396" t="s">
        <v>397</v>
      </c>
      <c r="B103" s="304">
        <v>2</v>
      </c>
      <c r="C103" s="304">
        <v>8</v>
      </c>
      <c r="D103" s="407">
        <v>35</v>
      </c>
      <c r="E103" s="447">
        <f t="shared" si="25"/>
        <v>4.2225826668958426</v>
      </c>
      <c r="F103" s="447">
        <f t="shared" si="23"/>
        <v>3.5986908599833538</v>
      </c>
      <c r="G103" s="304">
        <v>2</v>
      </c>
      <c r="H103" s="304">
        <v>5</v>
      </c>
      <c r="I103" s="407">
        <v>40</v>
      </c>
      <c r="J103" s="447">
        <f t="shared" si="26"/>
        <v>3.7645313796964266</v>
      </c>
      <c r="K103" s="447">
        <f t="shared" si="24"/>
        <v>2.4468068992206229</v>
      </c>
      <c r="L103" s="447">
        <f t="shared" ref="L103:L118" si="28">B103*F103+G103*K103</f>
        <v>12.090995518407954</v>
      </c>
      <c r="P103"/>
      <c r="Q103"/>
      <c r="R103"/>
      <c r="S103"/>
    </row>
    <row r="104" spans="1:19" ht="45">
      <c r="A104" s="396" t="s">
        <v>398</v>
      </c>
      <c r="B104" s="304">
        <v>2</v>
      </c>
      <c r="C104" s="304">
        <v>8</v>
      </c>
      <c r="D104" s="407">
        <v>35</v>
      </c>
      <c r="E104" s="447">
        <f t="shared" si="25"/>
        <v>4.2225826668958426</v>
      </c>
      <c r="F104" s="447">
        <f t="shared" si="23"/>
        <v>3.5986908599833538</v>
      </c>
      <c r="G104" s="304">
        <v>4</v>
      </c>
      <c r="H104" s="304">
        <v>5</v>
      </c>
      <c r="I104" s="407">
        <v>40</v>
      </c>
      <c r="J104" s="447">
        <f t="shared" si="26"/>
        <v>3.7645313796964266</v>
      </c>
      <c r="K104" s="447">
        <f t="shared" si="24"/>
        <v>2.4468068992206229</v>
      </c>
      <c r="L104" s="447">
        <f t="shared" si="28"/>
        <v>16.984609316849198</v>
      </c>
      <c r="P104"/>
      <c r="Q104"/>
      <c r="R104"/>
      <c r="S104"/>
    </row>
    <row r="105" spans="1:19" ht="45">
      <c r="A105" s="396" t="s">
        <v>399</v>
      </c>
      <c r="B105" s="304">
        <v>2</v>
      </c>
      <c r="C105" s="304">
        <v>8</v>
      </c>
      <c r="D105" s="407">
        <v>35</v>
      </c>
      <c r="E105" s="447">
        <f t="shared" si="25"/>
        <v>4.2225826668958426</v>
      </c>
      <c r="F105" s="447">
        <f t="shared" si="23"/>
        <v>3.5986908599833538</v>
      </c>
      <c r="G105" s="304">
        <v>6</v>
      </c>
      <c r="H105" s="304">
        <v>5</v>
      </c>
      <c r="I105" s="407">
        <v>40</v>
      </c>
      <c r="J105" s="447">
        <f t="shared" si="26"/>
        <v>3.7645313796964266</v>
      </c>
      <c r="K105" s="447">
        <f t="shared" si="24"/>
        <v>2.4468068992206229</v>
      </c>
      <c r="L105" s="447">
        <f t="shared" si="28"/>
        <v>21.878223115290446</v>
      </c>
      <c r="P105"/>
      <c r="Q105"/>
      <c r="R105"/>
      <c r="S105"/>
    </row>
    <row r="106" spans="1:19" ht="45">
      <c r="A106" s="396" t="s">
        <v>400</v>
      </c>
      <c r="B106" s="304">
        <v>2</v>
      </c>
      <c r="C106" s="304">
        <v>8</v>
      </c>
      <c r="D106" s="407">
        <v>35</v>
      </c>
      <c r="E106" s="447">
        <f t="shared" si="25"/>
        <v>4.2225826668958426</v>
      </c>
      <c r="F106" s="447">
        <f t="shared" si="23"/>
        <v>3.5986908599833538</v>
      </c>
      <c r="G106" s="304">
        <v>8</v>
      </c>
      <c r="H106" s="304">
        <v>5</v>
      </c>
      <c r="I106" s="407">
        <v>40</v>
      </c>
      <c r="J106" s="447">
        <f t="shared" si="26"/>
        <v>3.7645313796964266</v>
      </c>
      <c r="K106" s="447">
        <f t="shared" si="24"/>
        <v>2.4468068992206229</v>
      </c>
      <c r="L106" s="447">
        <f t="shared" si="28"/>
        <v>26.77183691373169</v>
      </c>
      <c r="P106"/>
      <c r="Q106"/>
      <c r="R106"/>
      <c r="S106"/>
    </row>
    <row r="107" spans="1:19" ht="45">
      <c r="A107" s="396" t="s">
        <v>401</v>
      </c>
      <c r="B107" s="304">
        <v>2</v>
      </c>
      <c r="C107" s="304">
        <v>8</v>
      </c>
      <c r="D107" s="407">
        <v>35</v>
      </c>
      <c r="E107" s="447">
        <f t="shared" si="25"/>
        <v>4.2225826668958426</v>
      </c>
      <c r="F107" s="447">
        <f t="shared" si="23"/>
        <v>3.5986908599833538</v>
      </c>
      <c r="G107" s="304">
        <v>10</v>
      </c>
      <c r="H107" s="304">
        <v>5</v>
      </c>
      <c r="I107" s="407">
        <v>40</v>
      </c>
      <c r="J107" s="447">
        <f t="shared" si="26"/>
        <v>3.7645313796964266</v>
      </c>
      <c r="K107" s="447">
        <f t="shared" si="24"/>
        <v>2.4468068992206229</v>
      </c>
      <c r="L107" s="447">
        <f t="shared" si="28"/>
        <v>31.665450712172934</v>
      </c>
      <c r="P107"/>
      <c r="Q107"/>
      <c r="R107"/>
      <c r="S107"/>
    </row>
    <row r="108" spans="1:19" ht="45">
      <c r="A108" s="396" t="s">
        <v>402</v>
      </c>
      <c r="B108" s="304">
        <v>3</v>
      </c>
      <c r="C108" s="304">
        <v>8</v>
      </c>
      <c r="D108" s="407">
        <v>35</v>
      </c>
      <c r="E108" s="447">
        <f t="shared" si="25"/>
        <v>4.2225826668958426</v>
      </c>
      <c r="F108" s="447">
        <f t="shared" si="23"/>
        <v>3.5986908599833538</v>
      </c>
      <c r="G108" s="304">
        <v>4</v>
      </c>
      <c r="H108" s="304">
        <v>5</v>
      </c>
      <c r="I108" s="407">
        <v>40</v>
      </c>
      <c r="J108" s="447">
        <f t="shared" si="26"/>
        <v>3.7645313796964266</v>
      </c>
      <c r="K108" s="447">
        <f t="shared" si="24"/>
        <v>2.4468068992206229</v>
      </c>
      <c r="L108" s="447">
        <f t="shared" si="28"/>
        <v>20.583300176832552</v>
      </c>
      <c r="P108"/>
      <c r="Q108"/>
      <c r="R108"/>
      <c r="S108"/>
    </row>
    <row r="109" spans="1:19" ht="45">
      <c r="A109" s="396" t="s">
        <v>403</v>
      </c>
      <c r="B109" s="304">
        <v>3</v>
      </c>
      <c r="C109" s="304">
        <v>8</v>
      </c>
      <c r="D109" s="407">
        <v>35</v>
      </c>
      <c r="E109" s="447">
        <f t="shared" si="25"/>
        <v>4.2225826668958426</v>
      </c>
      <c r="F109" s="447">
        <f t="shared" si="23"/>
        <v>3.5986908599833538</v>
      </c>
      <c r="G109" s="304">
        <v>8</v>
      </c>
      <c r="H109" s="304">
        <v>5</v>
      </c>
      <c r="I109" s="407">
        <v>40</v>
      </c>
      <c r="J109" s="447">
        <f t="shared" si="26"/>
        <v>3.7645313796964266</v>
      </c>
      <c r="K109" s="447">
        <f t="shared" si="24"/>
        <v>2.4468068992206229</v>
      </c>
      <c r="L109" s="447">
        <f t="shared" si="28"/>
        <v>30.370527773715047</v>
      </c>
      <c r="P109"/>
      <c r="Q109"/>
      <c r="R109"/>
      <c r="S109"/>
    </row>
    <row r="110" spans="1:19" ht="45">
      <c r="A110" s="396" t="s">
        <v>404</v>
      </c>
      <c r="B110" s="304">
        <v>3</v>
      </c>
      <c r="C110" s="304">
        <v>8</v>
      </c>
      <c r="D110" s="407">
        <v>35</v>
      </c>
      <c r="E110" s="447">
        <f t="shared" si="25"/>
        <v>4.2225826668958426</v>
      </c>
      <c r="F110" s="447">
        <f t="shared" si="23"/>
        <v>3.5986908599833538</v>
      </c>
      <c r="G110" s="304">
        <v>12</v>
      </c>
      <c r="H110" s="304">
        <v>5</v>
      </c>
      <c r="I110" s="407">
        <v>40</v>
      </c>
      <c r="J110" s="447">
        <f t="shared" si="26"/>
        <v>3.7645313796964266</v>
      </c>
      <c r="K110" s="447">
        <f t="shared" si="24"/>
        <v>2.4468068992206229</v>
      </c>
      <c r="L110" s="447">
        <f t="shared" si="28"/>
        <v>40.157755370597535</v>
      </c>
      <c r="P110"/>
      <c r="Q110"/>
      <c r="R110"/>
      <c r="S110"/>
    </row>
    <row r="111" spans="1:19" ht="45">
      <c r="A111" s="396" t="s">
        <v>405</v>
      </c>
      <c r="B111" s="304">
        <v>3</v>
      </c>
      <c r="C111" s="304">
        <v>8</v>
      </c>
      <c r="D111" s="407">
        <v>35</v>
      </c>
      <c r="E111" s="447">
        <f t="shared" si="25"/>
        <v>4.2225826668958426</v>
      </c>
      <c r="F111" s="447">
        <f t="shared" si="23"/>
        <v>3.5986908599833538</v>
      </c>
      <c r="G111" s="304">
        <v>16</v>
      </c>
      <c r="H111" s="304">
        <v>5</v>
      </c>
      <c r="I111" s="407">
        <v>40</v>
      </c>
      <c r="J111" s="447">
        <f t="shared" si="26"/>
        <v>3.7645313796964266</v>
      </c>
      <c r="K111" s="447">
        <f t="shared" si="24"/>
        <v>2.4468068992206229</v>
      </c>
      <c r="L111" s="447">
        <f t="shared" si="28"/>
        <v>49.94498296748003</v>
      </c>
      <c r="P111"/>
      <c r="Q111"/>
      <c r="R111"/>
      <c r="S111"/>
    </row>
    <row r="112" spans="1:19" ht="45.75" thickBot="1">
      <c r="A112" s="438" t="s">
        <v>406</v>
      </c>
      <c r="B112" s="448">
        <v>3</v>
      </c>
      <c r="C112" s="448">
        <v>8</v>
      </c>
      <c r="D112" s="449">
        <v>35</v>
      </c>
      <c r="E112" s="450">
        <f t="shared" si="25"/>
        <v>4.2225826668958426</v>
      </c>
      <c r="F112" s="450">
        <f t="shared" si="23"/>
        <v>3.5986908599833538</v>
      </c>
      <c r="G112" s="448">
        <v>20</v>
      </c>
      <c r="H112" s="448">
        <v>5</v>
      </c>
      <c r="I112" s="449">
        <v>40</v>
      </c>
      <c r="J112" s="450">
        <f t="shared" si="26"/>
        <v>3.7645313796964266</v>
      </c>
      <c r="K112" s="450">
        <f t="shared" si="24"/>
        <v>2.4468068992206229</v>
      </c>
      <c r="L112" s="450">
        <f t="shared" si="28"/>
        <v>59.732210564362518</v>
      </c>
      <c r="P112"/>
      <c r="Q112"/>
      <c r="R112"/>
      <c r="S112"/>
    </row>
    <row r="113" spans="1:20" ht="45.75" thickTop="1">
      <c r="A113" s="396" t="s">
        <v>790</v>
      </c>
      <c r="B113" s="304">
        <v>2</v>
      </c>
      <c r="C113" s="451">
        <v>8</v>
      </c>
      <c r="D113" s="452">
        <v>35</v>
      </c>
      <c r="E113" s="453">
        <f t="shared" si="25"/>
        <v>4.2225826668958426</v>
      </c>
      <c r="F113" s="453">
        <f t="shared" si="23"/>
        <v>3.5986908599833538</v>
      </c>
      <c r="G113" s="451">
        <v>2</v>
      </c>
      <c r="H113" s="451">
        <v>5</v>
      </c>
      <c r="I113" s="407">
        <v>40</v>
      </c>
      <c r="J113" s="447">
        <f t="shared" si="26"/>
        <v>3.7645313796964266</v>
      </c>
      <c r="K113" s="447">
        <f t="shared" si="24"/>
        <v>2.4468068992206229</v>
      </c>
      <c r="L113" s="447">
        <f t="shared" si="28"/>
        <v>12.090995518407954</v>
      </c>
      <c r="P113"/>
      <c r="Q113"/>
      <c r="R113"/>
      <c r="S113"/>
    </row>
    <row r="114" spans="1:20" ht="45">
      <c r="A114" s="396" t="s">
        <v>791</v>
      </c>
      <c r="B114" s="304">
        <v>2</v>
      </c>
      <c r="C114" s="304">
        <v>8</v>
      </c>
      <c r="D114" s="407">
        <v>35</v>
      </c>
      <c r="E114" s="447">
        <f t="shared" si="25"/>
        <v>4.2225826668958426</v>
      </c>
      <c r="F114" s="447">
        <f t="shared" si="23"/>
        <v>3.5986908599833538</v>
      </c>
      <c r="G114" s="304">
        <v>3</v>
      </c>
      <c r="H114" s="304">
        <v>5</v>
      </c>
      <c r="I114" s="407">
        <v>40</v>
      </c>
      <c r="J114" s="447">
        <f t="shared" si="26"/>
        <v>3.7645313796964266</v>
      </c>
      <c r="K114" s="447">
        <f t="shared" si="24"/>
        <v>2.4468068992206229</v>
      </c>
      <c r="L114" s="447">
        <f t="shared" si="28"/>
        <v>14.537802417628576</v>
      </c>
      <c r="P114"/>
      <c r="Q114"/>
      <c r="R114"/>
      <c r="S114"/>
    </row>
    <row r="115" spans="1:20" ht="45">
      <c r="A115" s="396" t="s">
        <v>792</v>
      </c>
      <c r="B115" s="304">
        <v>2</v>
      </c>
      <c r="C115" s="304">
        <v>8</v>
      </c>
      <c r="D115" s="407">
        <v>35</v>
      </c>
      <c r="E115" s="447">
        <f t="shared" si="25"/>
        <v>4.2225826668958426</v>
      </c>
      <c r="F115" s="447">
        <f t="shared" si="23"/>
        <v>3.5986908599833538</v>
      </c>
      <c r="G115" s="304">
        <v>3</v>
      </c>
      <c r="H115" s="304">
        <v>5</v>
      </c>
      <c r="I115" s="407">
        <v>40</v>
      </c>
      <c r="J115" s="447">
        <f t="shared" si="26"/>
        <v>3.7645313796964266</v>
      </c>
      <c r="K115" s="447">
        <f t="shared" si="24"/>
        <v>2.4468068992206229</v>
      </c>
      <c r="L115" s="447">
        <f t="shared" si="28"/>
        <v>14.537802417628576</v>
      </c>
      <c r="P115"/>
      <c r="Q115"/>
      <c r="R115"/>
      <c r="S115"/>
    </row>
    <row r="116" spans="1:20" ht="45.75" thickBot="1">
      <c r="A116" s="438" t="s">
        <v>793</v>
      </c>
      <c r="B116" s="448">
        <v>2</v>
      </c>
      <c r="C116" s="448">
        <v>8</v>
      </c>
      <c r="D116" s="449">
        <v>35</v>
      </c>
      <c r="E116" s="450">
        <f t="shared" si="25"/>
        <v>4.2225826668958426</v>
      </c>
      <c r="F116" s="450">
        <f t="shared" si="23"/>
        <v>3.5986908599833538</v>
      </c>
      <c r="G116" s="448">
        <v>4</v>
      </c>
      <c r="H116" s="448">
        <v>5</v>
      </c>
      <c r="I116" s="449">
        <v>40</v>
      </c>
      <c r="J116" s="450">
        <f t="shared" si="26"/>
        <v>3.7645313796964266</v>
      </c>
      <c r="K116" s="450">
        <f t="shared" si="24"/>
        <v>2.4468068992206229</v>
      </c>
      <c r="L116" s="450">
        <f t="shared" si="28"/>
        <v>16.984609316849198</v>
      </c>
      <c r="P116"/>
      <c r="Q116"/>
      <c r="R116"/>
      <c r="S116"/>
    </row>
    <row r="117" spans="1:20" ht="45.75" thickTop="1">
      <c r="A117" s="411" t="s">
        <v>407</v>
      </c>
      <c r="B117" s="454">
        <v>1</v>
      </c>
      <c r="C117" s="454">
        <v>5</v>
      </c>
      <c r="D117" s="455">
        <v>35</v>
      </c>
      <c r="E117" s="456">
        <f t="shared" si="25"/>
        <v>3.3382447089347353</v>
      </c>
      <c r="F117" s="456">
        <f>MIN($C$54*$C$52*D117/1000,2.3*SQRT($C$51*$C$54*$C$52)/1000+(E117/4),$C$54*$C$52*D117/1000*(SQRT(2+4*$C$51/($C$54*$C$52*D117^2))-1)+E117/4)</f>
        <v>2.3402352315302002</v>
      </c>
      <c r="G117" s="454">
        <v>2</v>
      </c>
      <c r="H117" s="454">
        <v>5</v>
      </c>
      <c r="I117" s="452">
        <v>40</v>
      </c>
      <c r="J117" s="453">
        <f t="shared" si="26"/>
        <v>3.7645313796964266</v>
      </c>
      <c r="K117" s="456">
        <f>MIN($C$54*$C$52*I117/1000,2.3*SQRT($C$51*$C$54*$C$52)/1000+(J117/4),$C$54*$C$52*I117/1000*(SQRT(2+4*$C$51/($C$54*$C$52*I117^2))-1)+J117/4)</f>
        <v>2.4468068992206229</v>
      </c>
      <c r="L117" s="456">
        <f t="shared" si="28"/>
        <v>7.233849029971446</v>
      </c>
      <c r="P117"/>
      <c r="Q117"/>
      <c r="R117"/>
      <c r="S117"/>
    </row>
    <row r="118" spans="1:20" ht="45">
      <c r="A118" s="411" t="s">
        <v>408</v>
      </c>
      <c r="B118" s="304">
        <v>1</v>
      </c>
      <c r="C118" s="304">
        <v>5</v>
      </c>
      <c r="D118" s="407">
        <v>35</v>
      </c>
      <c r="E118" s="447">
        <f t="shared" si="25"/>
        <v>3.3382447089347353</v>
      </c>
      <c r="F118" s="447">
        <f>MIN($C$54*$C$52*D118/1000,2.3*SQRT($C$51*$C$54*$C$52)/1000+(E118/4),$C$54*$C$52*D118/1000*(SQRT(2+4*$C$51/($C$54*$C$52*D118^2))-1)+E118/4)</f>
        <v>2.3402352315302002</v>
      </c>
      <c r="G118" s="304">
        <v>2</v>
      </c>
      <c r="H118" s="304">
        <v>5</v>
      </c>
      <c r="I118" s="407">
        <v>40</v>
      </c>
      <c r="J118" s="447">
        <f t="shared" si="26"/>
        <v>3.7645313796964266</v>
      </c>
      <c r="K118" s="447">
        <f>MIN($C$54*$C$52*I118/1000,2.3*SQRT($C$51*$C$54*$C$52)/1000+(J118/4),$C$54*$C$52*I118/1000*(SQRT(2+4*$C$51/($C$54*$C$52*I118^2))-1)+J118/4)</f>
        <v>2.4468068992206229</v>
      </c>
      <c r="L118" s="447">
        <f t="shared" si="28"/>
        <v>7.233849029971446</v>
      </c>
      <c r="P118"/>
      <c r="Q118"/>
      <c r="R118"/>
      <c r="S118"/>
    </row>
    <row r="119" spans="1:20">
      <c r="A119" s="3"/>
    </row>
    <row r="120" spans="1:20">
      <c r="A120" s="3"/>
      <c r="B120" s="77"/>
      <c r="F120" t="s">
        <v>72</v>
      </c>
    </row>
    <row r="121" spans="1:20" ht="18">
      <c r="A121" s="4" t="s">
        <v>2</v>
      </c>
      <c r="B121" s="78" t="s">
        <v>61</v>
      </c>
      <c r="C121" s="78" t="s">
        <v>73</v>
      </c>
      <c r="D121" s="5" t="s">
        <v>74</v>
      </c>
      <c r="E121" s="78" t="s">
        <v>75</v>
      </c>
      <c r="F121" s="79" t="s">
        <v>76</v>
      </c>
      <c r="G121" s="80"/>
      <c r="O121" s="4" t="s">
        <v>2</v>
      </c>
      <c r="P121" s="710" t="s">
        <v>77</v>
      </c>
      <c r="Q121" s="711"/>
      <c r="R121" s="711"/>
      <c r="S121" s="711"/>
      <c r="T121" s="712"/>
    </row>
    <row r="122" spans="1:20">
      <c r="A122" s="8" t="s">
        <v>343</v>
      </c>
      <c r="B122" s="81" t="s">
        <v>17</v>
      </c>
      <c r="C122" s="82" t="s">
        <v>17</v>
      </c>
      <c r="D122" s="9" t="s">
        <v>78</v>
      </c>
      <c r="E122" s="82" t="s">
        <v>17</v>
      </c>
      <c r="F122" s="83" t="s">
        <v>17</v>
      </c>
      <c r="G122" s="84"/>
      <c r="O122" s="8" t="s">
        <v>337</v>
      </c>
      <c r="P122" s="95">
        <v>0.6</v>
      </c>
      <c r="Q122" s="95">
        <v>0.7</v>
      </c>
      <c r="R122" s="95">
        <v>0.8</v>
      </c>
      <c r="S122" s="95">
        <v>0.9</v>
      </c>
      <c r="T122" s="95">
        <v>1</v>
      </c>
    </row>
    <row r="123" spans="1:20" ht="45">
      <c r="A123" s="396" t="s">
        <v>385</v>
      </c>
      <c r="B123" s="138">
        <f t="shared" ref="B123:B144" si="29">L59</f>
        <v>5.1804296195027444</v>
      </c>
      <c r="C123" s="439">
        <v>4.5</v>
      </c>
      <c r="D123" s="457">
        <v>2.2999999999999998</v>
      </c>
      <c r="E123" s="404">
        <f t="shared" ref="E123:E144" si="30">1/(SQRT((1/L91)^2+(1/(D123*E91)^2)))</f>
        <v>6.3929510461985073</v>
      </c>
      <c r="F123" s="458">
        <f>MIN(B123,E123)</f>
        <v>5.1804296195027444</v>
      </c>
      <c r="G123" s="97"/>
      <c r="O123" s="396" t="s">
        <v>385</v>
      </c>
      <c r="P123" s="88">
        <f t="shared" ref="P123:T132" si="31">MIN(P$122*$B123/$B$151,$C123/$C$151,P$122*$E123/$E$151)</f>
        <v>2.3909675166935744</v>
      </c>
      <c r="Q123" s="88">
        <f t="shared" si="31"/>
        <v>2.7894621028091695</v>
      </c>
      <c r="R123" s="88">
        <f t="shared" si="31"/>
        <v>3.1879566889247655</v>
      </c>
      <c r="S123" s="88">
        <f t="shared" si="31"/>
        <v>3.5864512750403614</v>
      </c>
      <c r="T123" s="88">
        <f t="shared" si="31"/>
        <v>3.9849458611559569</v>
      </c>
    </row>
    <row r="124" spans="1:20" ht="45">
      <c r="A124" s="396" t="s">
        <v>386</v>
      </c>
      <c r="B124" s="138">
        <f t="shared" si="29"/>
        <v>7.5161100233272613</v>
      </c>
      <c r="C124" s="439">
        <v>8.1999999999999993</v>
      </c>
      <c r="D124" s="457">
        <v>5.09</v>
      </c>
      <c r="E124" s="404">
        <f t="shared" si="30"/>
        <v>10.537961665735278</v>
      </c>
      <c r="F124" s="458">
        <f t="shared" ref="F124:F133" si="32">MIN(B124,E124)</f>
        <v>7.5161100233272613</v>
      </c>
      <c r="G124" s="97"/>
      <c r="O124" s="396" t="s">
        <v>386</v>
      </c>
      <c r="P124" s="88">
        <f t="shared" si="31"/>
        <v>3.4689738569202739</v>
      </c>
      <c r="Q124" s="88">
        <f t="shared" si="31"/>
        <v>4.0471361664069869</v>
      </c>
      <c r="R124" s="88">
        <f t="shared" si="31"/>
        <v>4.6252984758936995</v>
      </c>
      <c r="S124" s="88">
        <f t="shared" si="31"/>
        <v>5.203460785380412</v>
      </c>
      <c r="T124" s="88">
        <f t="shared" si="31"/>
        <v>5.7816230948671237</v>
      </c>
    </row>
    <row r="125" spans="1:20" ht="45">
      <c r="A125" s="396" t="s">
        <v>387</v>
      </c>
      <c r="B125" s="138">
        <f t="shared" si="29"/>
        <v>10.360859239005489</v>
      </c>
      <c r="C125" s="439">
        <v>10.4</v>
      </c>
      <c r="D125" s="457">
        <v>10.9</v>
      </c>
      <c r="E125" s="404">
        <f t="shared" si="30"/>
        <v>15.934288721558111</v>
      </c>
      <c r="F125" s="458">
        <f t="shared" si="32"/>
        <v>10.360859239005489</v>
      </c>
      <c r="G125" s="97"/>
      <c r="O125" s="396" t="s">
        <v>387</v>
      </c>
      <c r="P125" s="88">
        <f t="shared" si="31"/>
        <v>4.7819350333871489</v>
      </c>
      <c r="Q125" s="88">
        <f t="shared" si="31"/>
        <v>5.578924205618339</v>
      </c>
      <c r="R125" s="88">
        <f t="shared" si="31"/>
        <v>6.3759133778495309</v>
      </c>
      <c r="S125" s="88">
        <f t="shared" si="31"/>
        <v>7.1729025500807229</v>
      </c>
      <c r="T125" s="88">
        <f t="shared" si="31"/>
        <v>7.9698917223119139</v>
      </c>
    </row>
    <row r="126" spans="1:20" ht="45">
      <c r="A126" s="396" t="s">
        <v>388</v>
      </c>
      <c r="B126" s="138">
        <f t="shared" si="29"/>
        <v>13.205608454683714</v>
      </c>
      <c r="C126" s="439">
        <v>13.4</v>
      </c>
      <c r="D126" s="457">
        <v>19.100000000000001</v>
      </c>
      <c r="E126" s="404">
        <f t="shared" si="30"/>
        <v>21.115113830225891</v>
      </c>
      <c r="F126" s="458">
        <f t="shared" si="32"/>
        <v>13.205608454683714</v>
      </c>
      <c r="G126" s="97"/>
      <c r="O126" s="396" t="s">
        <v>388</v>
      </c>
      <c r="P126" s="88">
        <f t="shared" si="31"/>
        <v>6.0948962098540216</v>
      </c>
      <c r="Q126" s="88">
        <f t="shared" si="31"/>
        <v>7.1107122448296911</v>
      </c>
      <c r="R126" s="88">
        <f t="shared" si="31"/>
        <v>8.1265282798053633</v>
      </c>
      <c r="S126" s="88">
        <f t="shared" si="31"/>
        <v>9.1423443147810328</v>
      </c>
      <c r="T126" s="88">
        <f t="shared" si="31"/>
        <v>10.158160349756702</v>
      </c>
    </row>
    <row r="127" spans="1:20" ht="45">
      <c r="A127" s="396" t="s">
        <v>389</v>
      </c>
      <c r="B127" s="138">
        <f t="shared" si="29"/>
        <v>16.05035767036194</v>
      </c>
      <c r="C127" s="439">
        <v>13.4</v>
      </c>
      <c r="D127" s="457">
        <v>29.6</v>
      </c>
      <c r="E127" s="404">
        <f t="shared" si="30"/>
        <v>26.178055916606723</v>
      </c>
      <c r="F127" s="458">
        <f t="shared" si="32"/>
        <v>16.05035767036194</v>
      </c>
      <c r="G127" s="97"/>
      <c r="O127" s="396" t="s">
        <v>389</v>
      </c>
      <c r="P127" s="88">
        <f t="shared" si="31"/>
        <v>7.4078573863208952</v>
      </c>
      <c r="Q127" s="88">
        <f t="shared" si="31"/>
        <v>8.6425002840410432</v>
      </c>
      <c r="R127" s="88">
        <f t="shared" si="31"/>
        <v>9.8771431817611948</v>
      </c>
      <c r="S127" s="88">
        <f t="shared" si="31"/>
        <v>11.111786079481343</v>
      </c>
      <c r="T127" s="88">
        <f t="shared" si="31"/>
        <v>12.346428977201493</v>
      </c>
    </row>
    <row r="128" spans="1:20" ht="45">
      <c r="A128" s="396" t="s">
        <v>390</v>
      </c>
      <c r="B128" s="138">
        <f t="shared" si="29"/>
        <v>18.895106886040168</v>
      </c>
      <c r="C128" s="439">
        <v>13.4</v>
      </c>
      <c r="D128" s="457">
        <v>42.6</v>
      </c>
      <c r="E128" s="404">
        <f t="shared" si="30"/>
        <v>31.185939675185885</v>
      </c>
      <c r="F128" s="458">
        <f t="shared" si="32"/>
        <v>18.895106886040168</v>
      </c>
      <c r="G128" s="97"/>
      <c r="O128" s="396" t="s">
        <v>390</v>
      </c>
      <c r="P128" s="88">
        <f t="shared" si="31"/>
        <v>8.7208185627877697</v>
      </c>
      <c r="Q128" s="88">
        <f t="shared" si="31"/>
        <v>10.174288323252396</v>
      </c>
      <c r="R128" s="88">
        <f t="shared" si="31"/>
        <v>11.627758083717026</v>
      </c>
      <c r="S128" s="88">
        <f t="shared" si="31"/>
        <v>13.081227844181655</v>
      </c>
      <c r="T128" s="88">
        <f t="shared" si="31"/>
        <v>13.4</v>
      </c>
    </row>
    <row r="129" spans="1:20" ht="45">
      <c r="A129" s="396" t="s">
        <v>391</v>
      </c>
      <c r="B129" s="138">
        <f t="shared" si="29"/>
        <v>12.696539642830006</v>
      </c>
      <c r="C129" s="439">
        <v>8.1999999999999993</v>
      </c>
      <c r="D129" s="457">
        <v>27.6</v>
      </c>
      <c r="E129" s="404">
        <f t="shared" si="30"/>
        <v>20.269594190234422</v>
      </c>
      <c r="F129" s="458">
        <f t="shared" si="32"/>
        <v>12.696539642830006</v>
      </c>
      <c r="G129" s="97"/>
      <c r="O129" s="396" t="s">
        <v>391</v>
      </c>
      <c r="P129" s="88">
        <f t="shared" si="31"/>
        <v>5.8599413736138484</v>
      </c>
      <c r="Q129" s="88">
        <f t="shared" si="31"/>
        <v>6.8365982692161564</v>
      </c>
      <c r="R129" s="88">
        <f t="shared" si="31"/>
        <v>7.8132551648184654</v>
      </c>
      <c r="S129" s="88">
        <f t="shared" si="31"/>
        <v>8.1999999999999993</v>
      </c>
      <c r="T129" s="88">
        <f t="shared" si="31"/>
        <v>8.1999999999999993</v>
      </c>
    </row>
    <row r="130" spans="1:20" ht="45">
      <c r="A130" s="396" t="s">
        <v>392</v>
      </c>
      <c r="B130" s="138">
        <f t="shared" si="29"/>
        <v>18.386038074186459</v>
      </c>
      <c r="C130" s="439">
        <v>10.4</v>
      </c>
      <c r="D130" s="457">
        <v>56.5</v>
      </c>
      <c r="E130" s="404">
        <f t="shared" si="30"/>
        <v>30.127400168152349</v>
      </c>
      <c r="F130" s="458">
        <f t="shared" si="32"/>
        <v>18.386038074186459</v>
      </c>
      <c r="G130" s="97"/>
      <c r="O130" s="396" t="s">
        <v>392</v>
      </c>
      <c r="P130" s="88">
        <f t="shared" si="31"/>
        <v>8.4858637265475956</v>
      </c>
      <c r="Q130" s="88">
        <f t="shared" si="31"/>
        <v>9.9001743476388615</v>
      </c>
      <c r="R130" s="88">
        <f t="shared" si="31"/>
        <v>10.4</v>
      </c>
      <c r="S130" s="88">
        <f t="shared" si="31"/>
        <v>10.4</v>
      </c>
      <c r="T130" s="88">
        <f t="shared" si="31"/>
        <v>10.4</v>
      </c>
    </row>
    <row r="131" spans="1:20" ht="45">
      <c r="A131" s="396" t="s">
        <v>393</v>
      </c>
      <c r="B131" s="138">
        <f t="shared" si="29"/>
        <v>24.07553650554291</v>
      </c>
      <c r="C131" s="439">
        <v>13.4</v>
      </c>
      <c r="D131" s="457">
        <v>94.8</v>
      </c>
      <c r="E131" s="404">
        <f t="shared" si="30"/>
        <v>39.957196302462876</v>
      </c>
      <c r="F131" s="458">
        <f t="shared" si="32"/>
        <v>24.07553650554291</v>
      </c>
      <c r="G131" s="97"/>
      <c r="O131" s="396" t="s">
        <v>393</v>
      </c>
      <c r="P131" s="88">
        <f t="shared" si="31"/>
        <v>11.111786079481341</v>
      </c>
      <c r="Q131" s="88">
        <f t="shared" si="31"/>
        <v>12.963750426061566</v>
      </c>
      <c r="R131" s="88">
        <f t="shared" si="31"/>
        <v>13.4</v>
      </c>
      <c r="S131" s="88">
        <f t="shared" si="31"/>
        <v>13.4</v>
      </c>
      <c r="T131" s="88">
        <f t="shared" si="31"/>
        <v>13.4</v>
      </c>
    </row>
    <row r="132" spans="1:20" ht="45">
      <c r="A132" s="396" t="s">
        <v>394</v>
      </c>
      <c r="B132" s="138">
        <f t="shared" si="29"/>
        <v>29.765034936899362</v>
      </c>
      <c r="C132" s="439">
        <v>13.4</v>
      </c>
      <c r="D132" s="457">
        <v>94.8</v>
      </c>
      <c r="E132" s="404">
        <f t="shared" si="30"/>
        <v>49.56071173277698</v>
      </c>
      <c r="F132" s="458">
        <f t="shared" si="32"/>
        <v>29.765034936899362</v>
      </c>
      <c r="G132" s="98"/>
      <c r="O132" s="396" t="s">
        <v>394</v>
      </c>
      <c r="P132" s="88">
        <f t="shared" si="31"/>
        <v>13.4</v>
      </c>
      <c r="Q132" s="88">
        <f t="shared" si="31"/>
        <v>13.4</v>
      </c>
      <c r="R132" s="88">
        <f t="shared" si="31"/>
        <v>13.4</v>
      </c>
      <c r="S132" s="88">
        <f t="shared" si="31"/>
        <v>13.4</v>
      </c>
      <c r="T132" s="88">
        <f t="shared" si="31"/>
        <v>13.4</v>
      </c>
    </row>
    <row r="133" spans="1:20" ht="45.75" thickBot="1">
      <c r="A133" s="438" t="s">
        <v>395</v>
      </c>
      <c r="B133" s="444">
        <f t="shared" si="29"/>
        <v>35.454533368255817</v>
      </c>
      <c r="C133" s="459">
        <v>13.4</v>
      </c>
      <c r="D133" s="460">
        <v>94.8</v>
      </c>
      <c r="E133" s="461">
        <f t="shared" si="30"/>
        <v>59.078111965190708</v>
      </c>
      <c r="F133" s="462">
        <f t="shared" si="32"/>
        <v>35.454533368255817</v>
      </c>
      <c r="G133" s="98"/>
      <c r="O133" s="438" t="s">
        <v>395</v>
      </c>
      <c r="P133" s="370">
        <f t="shared" ref="P133:T144" si="33">MIN(P$122*$B133/$B$151,$C133/$C$151,P$122*$E133/$E$151)</f>
        <v>13.4</v>
      </c>
      <c r="Q133" s="370">
        <f t="shared" si="33"/>
        <v>13.4</v>
      </c>
      <c r="R133" s="370">
        <f t="shared" si="33"/>
        <v>13.4</v>
      </c>
      <c r="S133" s="370">
        <f t="shared" si="33"/>
        <v>13.4</v>
      </c>
      <c r="T133" s="370">
        <f t="shared" si="33"/>
        <v>13.4</v>
      </c>
    </row>
    <row r="134" spans="1:20" ht="45.75" thickTop="1">
      <c r="A134" s="411" t="s">
        <v>396</v>
      </c>
      <c r="B134" s="415">
        <f t="shared" si="29"/>
        <v>5.1804296195027444</v>
      </c>
      <c r="C134" s="463">
        <v>4.5</v>
      </c>
      <c r="D134" s="464">
        <v>2.4</v>
      </c>
      <c r="E134" s="465">
        <f t="shared" si="30"/>
        <v>6.5090543877268745</v>
      </c>
      <c r="F134" s="466">
        <f>MIN(B134,E134)</f>
        <v>5.1804296195027444</v>
      </c>
      <c r="G134" s="98"/>
      <c r="O134" s="411" t="s">
        <v>396</v>
      </c>
      <c r="P134" s="371">
        <f t="shared" si="33"/>
        <v>2.3909675166935744</v>
      </c>
      <c r="Q134" s="371">
        <f t="shared" si="33"/>
        <v>2.7894621028091695</v>
      </c>
      <c r="R134" s="371">
        <f t="shared" si="33"/>
        <v>3.1879566889247655</v>
      </c>
      <c r="S134" s="371">
        <f t="shared" si="33"/>
        <v>3.5864512750403614</v>
      </c>
      <c r="T134" s="371">
        <f t="shared" si="33"/>
        <v>3.9849458611559569</v>
      </c>
    </row>
    <row r="135" spans="1:20" ht="45">
      <c r="A135" s="396" t="s">
        <v>397</v>
      </c>
      <c r="B135" s="138">
        <f t="shared" si="29"/>
        <v>7.5161100233272613</v>
      </c>
      <c r="C135" s="463">
        <v>8.1999999999999993</v>
      </c>
      <c r="D135" s="457">
        <v>6.02</v>
      </c>
      <c r="E135" s="404">
        <f t="shared" si="30"/>
        <v>10.918772579456981</v>
      </c>
      <c r="F135" s="458">
        <f t="shared" ref="F135:F150" si="34">MIN(B135,E135)</f>
        <v>7.5161100233272613</v>
      </c>
      <c r="G135" s="98"/>
      <c r="O135" s="396" t="s">
        <v>397</v>
      </c>
      <c r="P135" s="88">
        <f t="shared" si="33"/>
        <v>3.4689738569202739</v>
      </c>
      <c r="Q135" s="88">
        <f t="shared" si="33"/>
        <v>4.0471361664069869</v>
      </c>
      <c r="R135" s="88">
        <f t="shared" si="33"/>
        <v>4.6252984758936995</v>
      </c>
      <c r="S135" s="88">
        <f t="shared" si="33"/>
        <v>5.203460785380412</v>
      </c>
      <c r="T135" s="88">
        <f t="shared" si="33"/>
        <v>5.7816230948671237</v>
      </c>
    </row>
    <row r="136" spans="1:20" ht="45">
      <c r="A136" s="396" t="s">
        <v>398</v>
      </c>
      <c r="B136" s="138">
        <f t="shared" si="29"/>
        <v>10.360859239005489</v>
      </c>
      <c r="C136" s="463">
        <v>10.4</v>
      </c>
      <c r="D136" s="457">
        <v>12</v>
      </c>
      <c r="E136" s="404">
        <f t="shared" si="30"/>
        <v>16.104003664850044</v>
      </c>
      <c r="F136" s="458">
        <f t="shared" si="34"/>
        <v>10.360859239005489</v>
      </c>
      <c r="G136" s="98"/>
      <c r="O136" s="396" t="s">
        <v>398</v>
      </c>
      <c r="P136" s="88">
        <f t="shared" si="33"/>
        <v>4.7819350333871489</v>
      </c>
      <c r="Q136" s="88">
        <f t="shared" si="33"/>
        <v>5.578924205618339</v>
      </c>
      <c r="R136" s="88">
        <f t="shared" si="33"/>
        <v>6.3759133778495309</v>
      </c>
      <c r="S136" s="88">
        <f t="shared" si="33"/>
        <v>7.1729025500807229</v>
      </c>
      <c r="T136" s="88">
        <f t="shared" si="33"/>
        <v>7.9698917223119139</v>
      </c>
    </row>
    <row r="137" spans="1:20" ht="45">
      <c r="A137" s="396" t="s">
        <v>399</v>
      </c>
      <c r="B137" s="138">
        <f t="shared" si="29"/>
        <v>13.205608454683714</v>
      </c>
      <c r="C137" s="463">
        <v>13.4</v>
      </c>
      <c r="D137" s="457">
        <v>20.3</v>
      </c>
      <c r="E137" s="404">
        <f t="shared" si="30"/>
        <v>21.198632468182748</v>
      </c>
      <c r="F137" s="458">
        <f t="shared" si="34"/>
        <v>13.205608454683714</v>
      </c>
      <c r="G137" s="98"/>
      <c r="O137" s="396" t="s">
        <v>399</v>
      </c>
      <c r="P137" s="88">
        <f t="shared" si="33"/>
        <v>6.0948962098540216</v>
      </c>
      <c r="Q137" s="88">
        <f t="shared" si="33"/>
        <v>7.1107122448296911</v>
      </c>
      <c r="R137" s="88">
        <f t="shared" si="33"/>
        <v>8.1265282798053633</v>
      </c>
      <c r="S137" s="88">
        <f t="shared" si="33"/>
        <v>9.1423443147810328</v>
      </c>
      <c r="T137" s="88">
        <f t="shared" si="33"/>
        <v>10.158160349756702</v>
      </c>
    </row>
    <row r="138" spans="1:20" ht="45">
      <c r="A138" s="396" t="s">
        <v>400</v>
      </c>
      <c r="B138" s="138">
        <f t="shared" si="29"/>
        <v>16.05035767036194</v>
      </c>
      <c r="C138" s="463">
        <v>13.4</v>
      </c>
      <c r="D138" s="457">
        <v>31</v>
      </c>
      <c r="E138" s="404">
        <f t="shared" si="30"/>
        <v>26.228893320616869</v>
      </c>
      <c r="F138" s="458">
        <f t="shared" si="34"/>
        <v>16.05035767036194</v>
      </c>
      <c r="G138" s="98"/>
      <c r="O138" s="396" t="s">
        <v>400</v>
      </c>
      <c r="P138" s="88">
        <f t="shared" si="33"/>
        <v>7.4078573863208952</v>
      </c>
      <c r="Q138" s="88">
        <f t="shared" si="33"/>
        <v>8.6425002840410432</v>
      </c>
      <c r="R138" s="88">
        <f t="shared" si="33"/>
        <v>9.8771431817611948</v>
      </c>
      <c r="S138" s="88">
        <f t="shared" si="33"/>
        <v>11.111786079481343</v>
      </c>
      <c r="T138" s="88">
        <f t="shared" si="33"/>
        <v>12.346428977201493</v>
      </c>
    </row>
    <row r="139" spans="1:20" ht="45">
      <c r="A139" s="396" t="s">
        <v>401</v>
      </c>
      <c r="B139" s="138">
        <f t="shared" si="29"/>
        <v>18.895106886040168</v>
      </c>
      <c r="C139" s="463">
        <v>13.4</v>
      </c>
      <c r="D139" s="457">
        <v>44</v>
      </c>
      <c r="E139" s="404">
        <f t="shared" si="30"/>
        <v>31.21533140781359</v>
      </c>
      <c r="F139" s="458">
        <f t="shared" si="34"/>
        <v>18.895106886040168</v>
      </c>
      <c r="G139" s="98"/>
      <c r="I139">
        <f>13.4*1.3</f>
        <v>17.420000000000002</v>
      </c>
      <c r="O139" s="396" t="s">
        <v>401</v>
      </c>
      <c r="P139" s="88">
        <f t="shared" si="33"/>
        <v>8.7208185627877697</v>
      </c>
      <c r="Q139" s="88">
        <f t="shared" si="33"/>
        <v>10.174288323252396</v>
      </c>
      <c r="R139" s="88">
        <f t="shared" si="33"/>
        <v>11.627758083717026</v>
      </c>
      <c r="S139" s="88">
        <f t="shared" si="33"/>
        <v>13.081227844181655</v>
      </c>
      <c r="T139" s="88">
        <f t="shared" si="33"/>
        <v>13.4</v>
      </c>
    </row>
    <row r="140" spans="1:20" ht="45">
      <c r="A140" s="396" t="s">
        <v>402</v>
      </c>
      <c r="B140" s="138">
        <f t="shared" si="29"/>
        <v>12.696539642830006</v>
      </c>
      <c r="C140" s="463">
        <v>8.1999999999999993</v>
      </c>
      <c r="D140" s="457">
        <v>27.6</v>
      </c>
      <c r="E140" s="404">
        <f t="shared" si="30"/>
        <v>20.269594190234422</v>
      </c>
      <c r="F140" s="458">
        <f t="shared" si="34"/>
        <v>12.696539642830006</v>
      </c>
      <c r="G140" s="98"/>
      <c r="O140" s="396" t="s">
        <v>402</v>
      </c>
      <c r="P140" s="88">
        <f t="shared" si="33"/>
        <v>5.8599413736138484</v>
      </c>
      <c r="Q140" s="88">
        <f t="shared" si="33"/>
        <v>6.8365982692161564</v>
      </c>
      <c r="R140" s="88">
        <f t="shared" si="33"/>
        <v>7.8132551648184654</v>
      </c>
      <c r="S140" s="88">
        <f t="shared" si="33"/>
        <v>8.1999999999999993</v>
      </c>
      <c r="T140" s="88">
        <f t="shared" si="33"/>
        <v>8.1999999999999993</v>
      </c>
    </row>
    <row r="141" spans="1:20" ht="45">
      <c r="A141" s="396" t="s">
        <v>403</v>
      </c>
      <c r="B141" s="138">
        <f t="shared" si="29"/>
        <v>18.386038074186459</v>
      </c>
      <c r="C141" s="463">
        <v>10.4</v>
      </c>
      <c r="D141" s="457">
        <v>56.5</v>
      </c>
      <c r="E141" s="404">
        <f t="shared" si="30"/>
        <v>30.127400168152349</v>
      </c>
      <c r="F141" s="458">
        <f t="shared" si="34"/>
        <v>18.386038074186459</v>
      </c>
      <c r="G141" s="98"/>
      <c r="O141" s="396" t="s">
        <v>403</v>
      </c>
      <c r="P141" s="88">
        <f t="shared" si="33"/>
        <v>8.4858637265475956</v>
      </c>
      <c r="Q141" s="88">
        <f t="shared" si="33"/>
        <v>9.9001743476388615</v>
      </c>
      <c r="R141" s="88">
        <f t="shared" si="33"/>
        <v>10.4</v>
      </c>
      <c r="S141" s="88">
        <f t="shared" si="33"/>
        <v>10.4</v>
      </c>
      <c r="T141" s="88">
        <f t="shared" si="33"/>
        <v>10.4</v>
      </c>
    </row>
    <row r="142" spans="1:20" ht="45">
      <c r="A142" s="396" t="s">
        <v>404</v>
      </c>
      <c r="B142" s="138">
        <f t="shared" si="29"/>
        <v>24.07553650554291</v>
      </c>
      <c r="C142" s="439">
        <v>13.4</v>
      </c>
      <c r="D142" s="457">
        <v>94.8</v>
      </c>
      <c r="E142" s="404">
        <f t="shared" si="30"/>
        <v>39.957196302462876</v>
      </c>
      <c r="F142" s="458">
        <f t="shared" si="34"/>
        <v>24.07553650554291</v>
      </c>
      <c r="G142" s="98"/>
      <c r="O142" s="396" t="s">
        <v>404</v>
      </c>
      <c r="P142" s="88">
        <f t="shared" si="33"/>
        <v>11.111786079481341</v>
      </c>
      <c r="Q142" s="88">
        <f t="shared" si="33"/>
        <v>12.963750426061566</v>
      </c>
      <c r="R142" s="88">
        <f t="shared" si="33"/>
        <v>13.4</v>
      </c>
      <c r="S142" s="88">
        <f t="shared" si="33"/>
        <v>13.4</v>
      </c>
      <c r="T142" s="88">
        <f t="shared" si="33"/>
        <v>13.4</v>
      </c>
    </row>
    <row r="143" spans="1:20" ht="45">
      <c r="A143" s="396" t="s">
        <v>405</v>
      </c>
      <c r="B143" s="138">
        <f t="shared" si="29"/>
        <v>29.765034936899362</v>
      </c>
      <c r="C143" s="439">
        <v>13.4</v>
      </c>
      <c r="D143" s="457">
        <v>94.8</v>
      </c>
      <c r="E143" s="404">
        <f t="shared" si="30"/>
        <v>49.56071173277698</v>
      </c>
      <c r="F143" s="458">
        <f t="shared" si="34"/>
        <v>29.765034936899362</v>
      </c>
      <c r="G143" s="98"/>
      <c r="O143" s="396" t="s">
        <v>405</v>
      </c>
      <c r="P143" s="88">
        <f t="shared" si="33"/>
        <v>13.4</v>
      </c>
      <c r="Q143" s="88">
        <f t="shared" si="33"/>
        <v>13.4</v>
      </c>
      <c r="R143" s="88">
        <f t="shared" si="33"/>
        <v>13.4</v>
      </c>
      <c r="S143" s="88">
        <f t="shared" si="33"/>
        <v>13.4</v>
      </c>
      <c r="T143" s="88">
        <f t="shared" si="33"/>
        <v>13.4</v>
      </c>
    </row>
    <row r="144" spans="1:20" ht="45.75" thickBot="1">
      <c r="A144" s="438" t="s">
        <v>406</v>
      </c>
      <c r="B144" s="444">
        <f t="shared" si="29"/>
        <v>35.454533368255817</v>
      </c>
      <c r="C144" s="459">
        <v>13.4</v>
      </c>
      <c r="D144" s="460">
        <v>94.8</v>
      </c>
      <c r="E144" s="461">
        <f t="shared" si="30"/>
        <v>59.078111965190708</v>
      </c>
      <c r="F144" s="462">
        <f t="shared" si="34"/>
        <v>35.454533368255817</v>
      </c>
      <c r="G144" s="98"/>
      <c r="O144" s="438" t="s">
        <v>406</v>
      </c>
      <c r="P144" s="370">
        <f t="shared" si="33"/>
        <v>13.4</v>
      </c>
      <c r="Q144" s="370">
        <f t="shared" si="33"/>
        <v>13.4</v>
      </c>
      <c r="R144" s="370">
        <f t="shared" si="33"/>
        <v>13.4</v>
      </c>
      <c r="S144" s="370">
        <f t="shared" si="33"/>
        <v>13.4</v>
      </c>
      <c r="T144" s="370">
        <f t="shared" si="33"/>
        <v>13.4</v>
      </c>
    </row>
    <row r="145" spans="1:33" ht="45.75" thickTop="1">
      <c r="A145" s="411" t="s">
        <v>790</v>
      </c>
      <c r="B145" s="138">
        <f t="shared" ref="B145:B148" si="35">L81</f>
        <v>7.5161100233272613</v>
      </c>
      <c r="C145" s="463">
        <v>10</v>
      </c>
      <c r="D145" s="457">
        <v>8.9</v>
      </c>
      <c r="E145" s="404">
        <f t="shared" ref="E145:E148" si="36">1/(SQRT((1/L113)^2+(1/(D145*E113)^2)))</f>
        <v>11.50995608863137</v>
      </c>
      <c r="F145" s="458">
        <f t="shared" si="34"/>
        <v>7.5161100233272613</v>
      </c>
      <c r="G145" s="98"/>
      <c r="O145" s="411" t="s">
        <v>790</v>
      </c>
      <c r="P145" s="88">
        <f t="shared" ref="P145:T148" si="37">MIN(P$122*$B145/$B$151,$C145/$C$151,P$122*$E145/$E$151)</f>
        <v>3.4689738569202739</v>
      </c>
      <c r="Q145" s="88">
        <f t="shared" si="37"/>
        <v>4.0471361664069869</v>
      </c>
      <c r="R145" s="88">
        <f t="shared" si="37"/>
        <v>4.6252984758936995</v>
      </c>
      <c r="S145" s="88">
        <f t="shared" si="37"/>
        <v>5.203460785380412</v>
      </c>
      <c r="T145" s="88">
        <f t="shared" si="37"/>
        <v>5.7816230948671237</v>
      </c>
    </row>
    <row r="146" spans="1:33" ht="45">
      <c r="A146" s="396" t="s">
        <v>791</v>
      </c>
      <c r="B146" s="138">
        <f t="shared" si="35"/>
        <v>8.938484631166375</v>
      </c>
      <c r="C146" s="463">
        <v>10</v>
      </c>
      <c r="D146" s="457">
        <v>13.9</v>
      </c>
      <c r="E146" s="404">
        <f t="shared" si="36"/>
        <v>14.111381581892433</v>
      </c>
      <c r="F146" s="458">
        <f t="shared" si="34"/>
        <v>8.938484631166375</v>
      </c>
      <c r="G146" s="98"/>
      <c r="O146" s="396" t="s">
        <v>791</v>
      </c>
      <c r="P146" s="88">
        <f t="shared" si="37"/>
        <v>4.1254544451537116</v>
      </c>
      <c r="Q146" s="88">
        <f t="shared" si="37"/>
        <v>4.8130301860126625</v>
      </c>
      <c r="R146" s="88">
        <f t="shared" si="37"/>
        <v>5.5006059268716152</v>
      </c>
      <c r="S146" s="88">
        <f t="shared" si="37"/>
        <v>6.1881816677305679</v>
      </c>
      <c r="T146" s="88">
        <f t="shared" si="37"/>
        <v>6.8757574085895188</v>
      </c>
    </row>
    <row r="147" spans="1:33" ht="45">
      <c r="A147" s="396" t="s">
        <v>792</v>
      </c>
      <c r="B147" s="138">
        <f t="shared" si="35"/>
        <v>8.938484631166375</v>
      </c>
      <c r="C147" s="463">
        <v>10</v>
      </c>
      <c r="D147" s="457">
        <v>17.3</v>
      </c>
      <c r="E147" s="404">
        <f t="shared" si="36"/>
        <v>14.258196699657278</v>
      </c>
      <c r="F147" s="458">
        <f t="shared" si="34"/>
        <v>8.938484631166375</v>
      </c>
      <c r="G147" s="98"/>
      <c r="O147" s="396" t="s">
        <v>792</v>
      </c>
      <c r="P147" s="88">
        <f t="shared" si="37"/>
        <v>4.1254544451537116</v>
      </c>
      <c r="Q147" s="88">
        <f t="shared" si="37"/>
        <v>4.8130301860126625</v>
      </c>
      <c r="R147" s="88">
        <f t="shared" si="37"/>
        <v>5.5006059268716152</v>
      </c>
      <c r="S147" s="88">
        <f t="shared" si="37"/>
        <v>6.1881816677305679</v>
      </c>
      <c r="T147" s="88">
        <f t="shared" si="37"/>
        <v>6.8757574085895188</v>
      </c>
    </row>
    <row r="148" spans="1:33" ht="45.75" thickBot="1">
      <c r="A148" s="438" t="s">
        <v>793</v>
      </c>
      <c r="B148" s="138">
        <f t="shared" si="35"/>
        <v>10.360859239005489</v>
      </c>
      <c r="C148" s="463">
        <v>10</v>
      </c>
      <c r="D148" s="457">
        <v>23.8</v>
      </c>
      <c r="E148" s="404">
        <f t="shared" si="36"/>
        <v>16.747120820600049</v>
      </c>
      <c r="F148" s="458">
        <f t="shared" si="34"/>
        <v>10.360859239005489</v>
      </c>
      <c r="G148" s="98"/>
      <c r="O148" s="438" t="s">
        <v>793</v>
      </c>
      <c r="P148" s="370">
        <f t="shared" si="37"/>
        <v>4.7819350333871489</v>
      </c>
      <c r="Q148" s="370">
        <f t="shared" si="37"/>
        <v>5.578924205618339</v>
      </c>
      <c r="R148" s="370">
        <f t="shared" si="37"/>
        <v>6.3759133778495309</v>
      </c>
      <c r="S148" s="370">
        <f t="shared" si="37"/>
        <v>7.1729025500807229</v>
      </c>
      <c r="T148" s="370">
        <f t="shared" si="37"/>
        <v>7.9698917223119139</v>
      </c>
    </row>
    <row r="149" spans="1:33" ht="45.75" thickTop="1">
      <c r="A149" s="411" t="s">
        <v>407</v>
      </c>
      <c r="B149" s="467">
        <f>L85</f>
        <v>5.0646478158177981</v>
      </c>
      <c r="C149" s="468">
        <v>3.7</v>
      </c>
      <c r="D149" s="469">
        <v>4.46</v>
      </c>
      <c r="E149" s="470">
        <f>1/(SQRT((1/L117)^2+(1/(D149*E117)^2)))</f>
        <v>6.5065185051879419</v>
      </c>
      <c r="F149" s="471">
        <f t="shared" si="34"/>
        <v>5.0646478158177981</v>
      </c>
      <c r="G149" s="98"/>
      <c r="O149" s="411" t="s">
        <v>407</v>
      </c>
      <c r="P149" s="371">
        <f t="shared" ref="P149:T150" si="38">MIN(P$122*$B149/$B$151,$C149/$C$151,P$122*$E149/$E$151)</f>
        <v>2.3375297611466759</v>
      </c>
      <c r="Q149" s="371">
        <f t="shared" si="38"/>
        <v>2.7271180546711218</v>
      </c>
      <c r="R149" s="371">
        <f t="shared" si="38"/>
        <v>3.1167063481955686</v>
      </c>
      <c r="S149" s="371">
        <f t="shared" si="38"/>
        <v>3.5062946417200136</v>
      </c>
      <c r="T149" s="371">
        <f t="shared" si="38"/>
        <v>3.7</v>
      </c>
    </row>
    <row r="150" spans="1:33" ht="45">
      <c r="A150" s="411" t="s">
        <v>408</v>
      </c>
      <c r="B150" s="138">
        <f>L86</f>
        <v>5.0646478158177981</v>
      </c>
      <c r="C150" s="463">
        <v>3.7</v>
      </c>
      <c r="D150" s="457">
        <v>4.33</v>
      </c>
      <c r="E150" s="404">
        <f>1/(SQRT((1/L118)^2+(1/(D150*E118)^2)))</f>
        <v>6.4689784312230199</v>
      </c>
      <c r="F150" s="458">
        <f t="shared" si="34"/>
        <v>5.0646478158177981</v>
      </c>
      <c r="G150" s="98"/>
      <c r="O150" s="411" t="s">
        <v>408</v>
      </c>
      <c r="P150" s="88">
        <f t="shared" si="38"/>
        <v>2.3375297611466759</v>
      </c>
      <c r="Q150" s="88">
        <f t="shared" si="38"/>
        <v>2.7271180546711218</v>
      </c>
      <c r="R150" s="88">
        <f t="shared" si="38"/>
        <v>3.1167063481955686</v>
      </c>
      <c r="S150" s="88">
        <f t="shared" si="38"/>
        <v>3.5062946417200136</v>
      </c>
      <c r="T150" s="88">
        <f t="shared" si="38"/>
        <v>3.7</v>
      </c>
    </row>
    <row r="151" spans="1:33">
      <c r="A151" s="361" t="s">
        <v>338</v>
      </c>
      <c r="B151" s="14">
        <v>1.3</v>
      </c>
      <c r="C151" s="359">
        <v>1</v>
      </c>
      <c r="D151" s="100"/>
      <c r="E151" s="14">
        <v>1.3</v>
      </c>
    </row>
    <row r="152" spans="1:33">
      <c r="A152" s="3"/>
      <c r="D152" s="100"/>
    </row>
    <row r="156" spans="1:33" ht="18.75">
      <c r="A156" s="56" t="s">
        <v>86</v>
      </c>
    </row>
    <row r="157" spans="1:33" ht="18.75">
      <c r="A157" s="56"/>
    </row>
    <row r="158" spans="1:33">
      <c r="A158" s="21" t="s">
        <v>37</v>
      </c>
      <c r="B158" s="22" t="s">
        <v>22</v>
      </c>
      <c r="L158" s="3"/>
      <c r="M158" s="3"/>
      <c r="N158" s="3"/>
      <c r="O158" s="3"/>
      <c r="P158" s="165"/>
    </row>
    <row r="159" spans="1:33" ht="18">
      <c r="A159" s="119" t="s">
        <v>39</v>
      </c>
      <c r="B159" s="24">
        <f>VLOOKUP(B158,$V$5:$W$10,2,FALSE)</f>
        <v>350</v>
      </c>
      <c r="C159" t="s">
        <v>40</v>
      </c>
      <c r="L159" s="165"/>
      <c r="M159" s="3"/>
      <c r="N159" s="3"/>
      <c r="O159" s="165"/>
      <c r="P159" s="165"/>
    </row>
    <row r="160" spans="1:33">
      <c r="A160" s="132"/>
      <c r="B160" s="90"/>
      <c r="C160" s="90"/>
      <c r="D160" s="90"/>
      <c r="E160" s="90"/>
      <c r="F160" s="90"/>
      <c r="G160" s="90"/>
      <c r="H160" s="90"/>
      <c r="W160" s="247"/>
      <c r="X160" s="20"/>
      <c r="Y160" s="20"/>
      <c r="Z160" s="20"/>
      <c r="AA160" s="20"/>
      <c r="AB160" s="247"/>
      <c r="AC160" s="247"/>
      <c r="AD160" s="20"/>
      <c r="AE160" s="20"/>
      <c r="AF160" s="20"/>
      <c r="AG160" s="20"/>
    </row>
    <row r="161" spans="1:33" ht="18">
      <c r="A161" s="112" t="s">
        <v>2</v>
      </c>
      <c r="B161" s="113" t="s">
        <v>43</v>
      </c>
      <c r="C161" s="113" t="s">
        <v>9</v>
      </c>
      <c r="D161" s="113" t="s">
        <v>111</v>
      </c>
      <c r="E161" s="113" t="s">
        <v>112</v>
      </c>
      <c r="F161" s="113" t="s">
        <v>80</v>
      </c>
      <c r="G161" s="113" t="s">
        <v>113</v>
      </c>
      <c r="H161" s="113" t="s">
        <v>114</v>
      </c>
      <c r="W161" s="247"/>
      <c r="X161" s="20"/>
      <c r="Y161" s="20"/>
      <c r="Z161" s="20"/>
      <c r="AA161" s="20"/>
      <c r="AB161" s="247"/>
      <c r="AC161" s="247"/>
      <c r="AD161" s="20"/>
      <c r="AE161" s="20"/>
      <c r="AF161" s="20"/>
      <c r="AG161" s="20"/>
    </row>
    <row r="162" spans="1:33">
      <c r="A162" s="45"/>
      <c r="B162" s="47" t="s">
        <v>19</v>
      </c>
      <c r="C162" s="47" t="s">
        <v>18</v>
      </c>
      <c r="D162" s="47" t="s">
        <v>93</v>
      </c>
      <c r="E162" s="47" t="s">
        <v>92</v>
      </c>
      <c r="F162" s="47" t="s">
        <v>18</v>
      </c>
      <c r="G162" s="47" t="s">
        <v>17</v>
      </c>
      <c r="H162" s="47" t="s">
        <v>17</v>
      </c>
      <c r="W162" s="247"/>
      <c r="X162" s="20"/>
      <c r="Y162" s="20"/>
      <c r="Z162" s="20"/>
      <c r="AA162" s="20"/>
      <c r="AB162" s="247"/>
      <c r="AC162" s="247"/>
      <c r="AD162" s="20"/>
      <c r="AE162" s="20"/>
      <c r="AF162" s="20"/>
      <c r="AG162" s="20"/>
    </row>
    <row r="163" spans="1:33">
      <c r="A163" s="33" t="s">
        <v>339</v>
      </c>
      <c r="B163" s="35">
        <v>4</v>
      </c>
      <c r="C163" s="66">
        <v>6</v>
      </c>
      <c r="D163" s="66">
        <v>6300</v>
      </c>
      <c r="E163" s="65">
        <f>(0.033+0.049)*$B$159*C163^-0.3</f>
        <v>16.766272546647741</v>
      </c>
      <c r="F163" s="66">
        <v>44</v>
      </c>
      <c r="G163" s="65">
        <f>(0.52*SQRT(C163)*44^0.9*$B$159^0.8)/1000</f>
        <v>4.1633297814663335</v>
      </c>
      <c r="H163" s="65">
        <f>B163*MIN((2.3*SQRT(C163*D163*E163))/1000+G163/4,C163*E163*F163/1000,C163*E163*F163/1000*(SQRT(2+4*D163/(C163*E163*F163^2))-1)+G163/4)</f>
        <v>11.487391377026846</v>
      </c>
      <c r="I163" t="s">
        <v>97</v>
      </c>
      <c r="W163" s="247"/>
      <c r="X163" s="20"/>
      <c r="Y163" s="20"/>
      <c r="Z163" s="20"/>
      <c r="AA163" s="20"/>
      <c r="AB163" s="247"/>
      <c r="AC163" s="247"/>
      <c r="AD163" s="20"/>
      <c r="AE163" s="20"/>
      <c r="AF163" s="20"/>
      <c r="AG163" s="20"/>
    </row>
    <row r="164" spans="1:33" ht="15.75" thickBot="1">
      <c r="A164" s="39" t="s">
        <v>340</v>
      </c>
      <c r="B164" s="41">
        <v>4</v>
      </c>
      <c r="C164" s="372">
        <v>10</v>
      </c>
      <c r="D164" s="372">
        <v>23900</v>
      </c>
      <c r="E164" s="373">
        <f>(0.033+0.049)*$B$159*C164^-0.3</f>
        <v>14.384073605102715</v>
      </c>
      <c r="F164" s="372">
        <v>54</v>
      </c>
      <c r="G164" s="373">
        <f>(0.52*SQRT(C164)*50^0.9*$B$159^0.8)/1000</f>
        <v>6.0301870404833755</v>
      </c>
      <c r="H164" s="373">
        <f>B164*MIN((2.3*SQRT(C164*D164*E164))/1000+G164/4,C164*E164*F164/1000,C164*E164*F164/1000*(SQRT(2+4*D164/(C164*E164*F164^2))-1)+G164/4)</f>
        <v>21.335783495554814</v>
      </c>
      <c r="I164" t="s">
        <v>97</v>
      </c>
      <c r="W164" s="105"/>
      <c r="X164" s="105"/>
      <c r="Y164" s="105"/>
      <c r="Z164" s="105"/>
      <c r="AA164" s="105"/>
      <c r="AB164" s="247"/>
      <c r="AC164" s="105"/>
      <c r="AD164" s="105"/>
      <c r="AE164" s="105"/>
      <c r="AF164" s="105"/>
      <c r="AG164" s="105"/>
    </row>
    <row r="165" spans="1:33">
      <c r="A165" s="45" t="s">
        <v>341</v>
      </c>
      <c r="B165" s="47">
        <v>4</v>
      </c>
      <c r="C165" s="231">
        <v>6</v>
      </c>
      <c r="D165" s="231">
        <v>6300</v>
      </c>
      <c r="E165" s="374">
        <f>(0.033+0.049)*$B$159*C165^-0.3</f>
        <v>16.766272546647741</v>
      </c>
      <c r="F165" s="231">
        <v>44</v>
      </c>
      <c r="G165" s="374">
        <f>(0.52*SQRT(C165)*44^0.9*$B$159^0.8)/1000</f>
        <v>4.1633297814663335</v>
      </c>
      <c r="H165" s="374">
        <f>B165*MIN((2.3*SQRT(C165*D165*E165))/1000+G165/4,C165*E165*F165/1000,C165*E165*F165/1000*(SQRT(2+4*D165/(C165*E165*F165^2))-1)+G165/4)</f>
        <v>11.487391377026846</v>
      </c>
      <c r="I165" t="s">
        <v>97</v>
      </c>
      <c r="W165" s="247"/>
      <c r="X165" s="20"/>
      <c r="Y165" s="20"/>
      <c r="Z165" s="20"/>
      <c r="AA165" s="20"/>
      <c r="AB165" s="247"/>
      <c r="AC165" s="247"/>
      <c r="AD165" s="20"/>
      <c r="AE165" s="20"/>
      <c r="AF165" s="20"/>
      <c r="AG165" s="20"/>
    </row>
    <row r="166" spans="1:33">
      <c r="A166" s="33" t="s">
        <v>342</v>
      </c>
      <c r="B166" s="35">
        <v>4</v>
      </c>
      <c r="C166" s="66">
        <v>10</v>
      </c>
      <c r="D166" s="66">
        <v>23900</v>
      </c>
      <c r="E166" s="65">
        <f>(0.033+0.049)*$B$159*C166^-0.3</f>
        <v>14.384073605102715</v>
      </c>
      <c r="F166" s="66">
        <v>54</v>
      </c>
      <c r="G166" s="65">
        <f>(0.52*SQRT(C166)*50^0.9*$B$159^0.8)/1000</f>
        <v>6.0301870404833755</v>
      </c>
      <c r="H166" s="65">
        <f>B166*MIN((2.3*SQRT(C166*D166*E166))/1000+G166/4,C166*E166*F166/1000,C166*E166*F166/1000*(SQRT(2+4*D166/(C166*E166*F166^2))-1)+G166/4)</f>
        <v>21.335783495554814</v>
      </c>
      <c r="I166" t="s">
        <v>97</v>
      </c>
      <c r="W166" s="247"/>
      <c r="X166" s="20"/>
      <c r="Y166" s="20"/>
      <c r="Z166" s="20"/>
      <c r="AA166" s="20"/>
      <c r="AB166" s="247"/>
      <c r="AC166" s="247"/>
      <c r="AD166" s="20"/>
      <c r="AE166" s="20"/>
      <c r="AF166" s="20"/>
      <c r="AG166" s="20"/>
    </row>
    <row r="167" spans="1:33">
      <c r="A167" s="111"/>
      <c r="B167" s="375"/>
      <c r="C167" s="376"/>
      <c r="D167" s="376"/>
      <c r="E167" s="377"/>
      <c r="F167" s="376"/>
      <c r="G167" s="377"/>
      <c r="H167" s="377"/>
      <c r="W167" s="247"/>
      <c r="X167" s="20"/>
      <c r="Y167" s="20"/>
      <c r="Z167" s="20"/>
      <c r="AA167" s="20"/>
      <c r="AB167" s="247"/>
      <c r="AC167" s="247"/>
      <c r="AD167" s="20"/>
      <c r="AE167" s="20"/>
      <c r="AF167" s="20"/>
      <c r="AG167" s="20"/>
    </row>
    <row r="168" spans="1:33">
      <c r="A168" s="132"/>
      <c r="B168" s="121"/>
      <c r="C168" s="122"/>
      <c r="D168" s="122"/>
      <c r="E168" s="123"/>
      <c r="F168" s="122"/>
      <c r="G168" s="123"/>
      <c r="H168" s="123"/>
      <c r="K168" s="24"/>
      <c r="W168" s="247"/>
      <c r="X168" s="20"/>
      <c r="Y168" s="20"/>
      <c r="Z168" s="20"/>
      <c r="AA168" s="20"/>
      <c r="AB168" s="247"/>
      <c r="AC168" s="247"/>
      <c r="AD168" s="20"/>
      <c r="AE168" s="20"/>
      <c r="AF168" s="20"/>
      <c r="AG168" s="20"/>
    </row>
    <row r="169" spans="1:33">
      <c r="A169" s="23"/>
      <c r="F169" s="24"/>
      <c r="G169" s="24"/>
      <c r="H169" s="24"/>
      <c r="I169" s="24"/>
      <c r="J169" s="24"/>
      <c r="K169" s="24"/>
      <c r="W169" s="247"/>
      <c r="X169" s="20"/>
      <c r="Y169" s="20"/>
      <c r="Z169" s="20"/>
      <c r="AA169" s="20"/>
      <c r="AB169" s="247"/>
      <c r="AC169" s="247"/>
      <c r="AD169" s="20"/>
      <c r="AE169" s="20"/>
      <c r="AF169" s="20"/>
      <c r="AG169" s="20"/>
    </row>
    <row r="170" spans="1:33">
      <c r="A170" s="23"/>
      <c r="B170" t="s">
        <v>72</v>
      </c>
      <c r="G170" s="3"/>
      <c r="H170" s="24"/>
      <c r="I170" s="24"/>
      <c r="J170" s="24"/>
      <c r="K170" s="24"/>
      <c r="W170" s="247"/>
      <c r="X170" s="20"/>
      <c r="Y170" s="20"/>
      <c r="Z170" s="20"/>
      <c r="AA170" s="20"/>
      <c r="AB170" s="247"/>
      <c r="AC170" s="247"/>
      <c r="AD170" s="20"/>
      <c r="AE170" s="20"/>
      <c r="AF170" s="20"/>
      <c r="AG170" s="20"/>
    </row>
    <row r="171" spans="1:33" ht="18">
      <c r="A171" s="4" t="s">
        <v>2</v>
      </c>
      <c r="B171" s="79" t="s">
        <v>85</v>
      </c>
      <c r="D171" s="165"/>
      <c r="E171" s="3"/>
      <c r="F171" s="3"/>
      <c r="G171" s="277"/>
      <c r="H171" s="775"/>
      <c r="I171" s="24"/>
      <c r="J171" s="24"/>
      <c r="K171" s="24"/>
      <c r="O171" s="4" t="s">
        <v>2</v>
      </c>
      <c r="P171" s="710" t="s">
        <v>77</v>
      </c>
      <c r="Q171" s="711"/>
      <c r="R171" s="711"/>
      <c r="S171" s="711"/>
      <c r="T171" s="712"/>
      <c r="W171" s="105"/>
      <c r="X171" s="105"/>
      <c r="Y171" s="105"/>
      <c r="Z171" s="105"/>
      <c r="AA171" s="105"/>
      <c r="AB171" s="247"/>
      <c r="AC171" s="105"/>
      <c r="AD171" s="105"/>
      <c r="AE171" s="105"/>
      <c r="AF171" s="105"/>
      <c r="AG171" s="105"/>
    </row>
    <row r="172" spans="1:33">
      <c r="A172" s="8"/>
      <c r="B172" s="83" t="s">
        <v>17</v>
      </c>
      <c r="D172" s="165"/>
      <c r="E172" s="3"/>
      <c r="F172" s="3"/>
      <c r="G172" s="278"/>
      <c r="H172" s="775"/>
      <c r="I172" s="24"/>
      <c r="J172" s="24"/>
      <c r="K172" s="24"/>
      <c r="O172" s="8"/>
      <c r="P172" s="95">
        <v>0.6</v>
      </c>
      <c r="Q172" s="95">
        <v>0.7</v>
      </c>
      <c r="R172" s="95">
        <v>0.8</v>
      </c>
      <c r="S172" s="95">
        <v>0.9</v>
      </c>
      <c r="T172" s="95">
        <v>1</v>
      </c>
      <c r="W172" s="247"/>
      <c r="X172" s="20"/>
      <c r="Y172" s="20"/>
      <c r="Z172" s="20"/>
      <c r="AA172" s="20"/>
      <c r="AB172" s="247"/>
      <c r="AC172" s="247"/>
      <c r="AD172" s="20"/>
      <c r="AE172" s="20"/>
      <c r="AF172" s="20"/>
      <c r="AG172" s="20"/>
    </row>
    <row r="173" spans="1:33">
      <c r="A173" s="33" t="s">
        <v>339</v>
      </c>
      <c r="B173" s="18">
        <f>H163</f>
        <v>11.487391377026846</v>
      </c>
      <c r="C173" t="s">
        <v>97</v>
      </c>
      <c r="D173" s="378"/>
      <c r="E173" s="3"/>
      <c r="F173" s="3"/>
      <c r="G173" s="3"/>
      <c r="H173" s="3"/>
      <c r="O173" s="33" t="s">
        <v>339</v>
      </c>
      <c r="P173" s="88">
        <f>$B173*P$172/1.3</f>
        <v>5.3018729432431595</v>
      </c>
      <c r="Q173" s="88">
        <f t="shared" ref="Q173:T176" si="39">$B173*Q$172/1.3</f>
        <v>6.1855184337836864</v>
      </c>
      <c r="R173" s="88">
        <f t="shared" si="39"/>
        <v>7.0691639243242124</v>
      </c>
      <c r="S173" s="88">
        <f t="shared" si="39"/>
        <v>7.9528094148647401</v>
      </c>
      <c r="T173" s="88">
        <f t="shared" si="39"/>
        <v>8.8364549054052652</v>
      </c>
      <c r="W173" s="247"/>
      <c r="X173" s="20"/>
      <c r="Y173" s="20"/>
      <c r="Z173" s="20"/>
      <c r="AA173" s="20"/>
      <c r="AB173" s="247"/>
      <c r="AC173" s="247"/>
      <c r="AD173" s="20"/>
      <c r="AE173" s="20"/>
      <c r="AF173" s="20"/>
      <c r="AG173" s="20"/>
    </row>
    <row r="174" spans="1:33" ht="15.75" thickBot="1">
      <c r="A174" s="39" t="s">
        <v>340</v>
      </c>
      <c r="B174" s="379">
        <f>H164</f>
        <v>21.335783495554814</v>
      </c>
      <c r="C174" t="s">
        <v>97</v>
      </c>
      <c r="D174" s="378"/>
      <c r="E174" s="3"/>
      <c r="F174" s="3"/>
      <c r="G174" s="3"/>
      <c r="H174" s="380"/>
      <c r="O174" s="39" t="s">
        <v>340</v>
      </c>
      <c r="P174" s="381">
        <f>$B174*P$172/1.3</f>
        <v>9.8472846902560676</v>
      </c>
      <c r="Q174" s="381">
        <f t="shared" si="39"/>
        <v>11.488498805298745</v>
      </c>
      <c r="R174" s="381">
        <f t="shared" si="39"/>
        <v>13.129712920341424</v>
      </c>
      <c r="S174" s="381">
        <f t="shared" si="39"/>
        <v>14.770927035384101</v>
      </c>
      <c r="T174" s="381">
        <f t="shared" si="39"/>
        <v>16.41214115042678</v>
      </c>
      <c r="W174" s="247"/>
      <c r="X174" s="20"/>
      <c r="Y174" s="20"/>
      <c r="Z174" s="20"/>
      <c r="AA174" s="20"/>
      <c r="AB174" s="247"/>
      <c r="AC174" s="247"/>
      <c r="AD174" s="20"/>
      <c r="AE174" s="20"/>
      <c r="AF174" s="20"/>
      <c r="AG174" s="20"/>
    </row>
    <row r="175" spans="1:33">
      <c r="A175" s="45" t="s">
        <v>341</v>
      </c>
      <c r="B175" s="382">
        <f>H165</f>
        <v>11.487391377026846</v>
      </c>
      <c r="C175" t="s">
        <v>97</v>
      </c>
      <c r="D175" s="378"/>
      <c r="E175" s="3"/>
      <c r="F175" s="3"/>
      <c r="G175" s="115"/>
      <c r="H175" s="3"/>
      <c r="O175" s="45" t="s">
        <v>341</v>
      </c>
      <c r="P175" s="371">
        <f>$B175*P$172/1.3</f>
        <v>5.3018729432431595</v>
      </c>
      <c r="Q175" s="371">
        <f t="shared" si="39"/>
        <v>6.1855184337836864</v>
      </c>
      <c r="R175" s="371">
        <f t="shared" si="39"/>
        <v>7.0691639243242124</v>
      </c>
      <c r="S175" s="371">
        <f t="shared" si="39"/>
        <v>7.9528094148647401</v>
      </c>
      <c r="T175" s="371">
        <f t="shared" si="39"/>
        <v>8.8364549054052652</v>
      </c>
      <c r="W175" s="247"/>
      <c r="X175" s="20"/>
      <c r="Y175" s="20"/>
      <c r="Z175" s="20"/>
      <c r="AA175" s="20"/>
      <c r="AB175" s="247"/>
      <c r="AC175" s="247"/>
      <c r="AD175" s="20"/>
      <c r="AE175" s="20"/>
      <c r="AF175" s="20"/>
      <c r="AG175" s="20"/>
    </row>
    <row r="176" spans="1:33">
      <c r="A176" s="33" t="s">
        <v>342</v>
      </c>
      <c r="B176" s="18">
        <f>H166</f>
        <v>21.335783495554814</v>
      </c>
      <c r="C176" t="s">
        <v>97</v>
      </c>
      <c r="D176" s="378"/>
      <c r="E176" s="3"/>
      <c r="F176" s="3"/>
      <c r="G176" s="115"/>
      <c r="H176" s="3"/>
      <c r="O176" s="33" t="s">
        <v>342</v>
      </c>
      <c r="P176" s="88">
        <f>$B176*P$172/1.3</f>
        <v>9.8472846902560676</v>
      </c>
      <c r="Q176" s="88">
        <f t="shared" si="39"/>
        <v>11.488498805298745</v>
      </c>
      <c r="R176" s="88">
        <f t="shared" si="39"/>
        <v>13.129712920341424</v>
      </c>
      <c r="S176" s="88">
        <f t="shared" si="39"/>
        <v>14.770927035384101</v>
      </c>
      <c r="T176" s="88">
        <f t="shared" si="39"/>
        <v>16.41214115042678</v>
      </c>
      <c r="W176" s="247"/>
      <c r="X176" s="20"/>
      <c r="Y176" s="20"/>
      <c r="Z176" s="20"/>
      <c r="AA176" s="20"/>
      <c r="AB176" s="247"/>
      <c r="AC176" s="247"/>
      <c r="AD176" s="20"/>
      <c r="AE176" s="20"/>
      <c r="AF176" s="20"/>
      <c r="AG176" s="20"/>
    </row>
    <row r="177" spans="1:19">
      <c r="A177" s="3"/>
      <c r="B177" s="165"/>
      <c r="C177" s="118"/>
      <c r="D177" s="100"/>
      <c r="E177" s="100"/>
      <c r="F177" s="165"/>
      <c r="G177" s="118"/>
      <c r="H177" s="100"/>
      <c r="I177" s="100"/>
      <c r="J177" s="100"/>
      <c r="K177" s="3"/>
      <c r="L177" s="3"/>
    </row>
    <row r="178" spans="1:19">
      <c r="A178" s="3"/>
      <c r="B178" s="165"/>
      <c r="C178" s="118"/>
      <c r="D178" s="100"/>
      <c r="E178" s="100"/>
      <c r="F178" s="165"/>
      <c r="G178" s="118"/>
      <c r="H178" s="100"/>
      <c r="I178" s="100"/>
      <c r="J178" s="100"/>
      <c r="K178" s="3"/>
      <c r="L178" s="3"/>
    </row>
    <row r="179" spans="1:19">
      <c r="A179" s="119"/>
      <c r="B179" s="120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2" spans="1:19" ht="26.25">
      <c r="A182" s="1" t="s">
        <v>127</v>
      </c>
      <c r="P182"/>
      <c r="Q182"/>
      <c r="R182"/>
      <c r="S182"/>
    </row>
    <row r="183" spans="1:19">
      <c r="A183" s="23"/>
      <c r="B183" s="77"/>
    </row>
    <row r="184" spans="1:19" ht="18.75">
      <c r="A184" s="56" t="s">
        <v>79</v>
      </c>
      <c r="B184" s="77"/>
    </row>
    <row r="185" spans="1:19" ht="17.25" customHeight="1"/>
    <row r="186" spans="1:19" ht="18">
      <c r="A186" s="768" t="s">
        <v>2</v>
      </c>
      <c r="B186" s="113" t="s">
        <v>344</v>
      </c>
      <c r="C186" s="113" t="s">
        <v>345</v>
      </c>
      <c r="D186" s="113" t="s">
        <v>344</v>
      </c>
      <c r="E186" s="113" t="s">
        <v>345</v>
      </c>
    </row>
    <row r="187" spans="1:19">
      <c r="A187" s="769"/>
      <c r="B187" s="47" t="s">
        <v>17</v>
      </c>
      <c r="C187" s="47" t="s">
        <v>17</v>
      </c>
      <c r="D187" s="47" t="s">
        <v>17</v>
      </c>
      <c r="E187" s="47" t="s">
        <v>17</v>
      </c>
    </row>
    <row r="188" spans="1:19">
      <c r="A188" s="770"/>
      <c r="B188" s="771" t="s">
        <v>346</v>
      </c>
      <c r="C188" s="772"/>
      <c r="D188" s="771" t="s">
        <v>347</v>
      </c>
      <c r="E188" s="772"/>
    </row>
    <row r="189" spans="1:19">
      <c r="A189" s="33" t="s">
        <v>348</v>
      </c>
      <c r="B189" s="155">
        <v>2.7</v>
      </c>
      <c r="C189" s="383">
        <f>B189/$B$204</f>
        <v>2.16</v>
      </c>
      <c r="D189" s="155">
        <f>B189*2</f>
        <v>5.4</v>
      </c>
      <c r="E189" s="383">
        <f>D189/$B$204</f>
        <v>4.32</v>
      </c>
    </row>
    <row r="190" spans="1:19">
      <c r="A190" s="33" t="s">
        <v>349</v>
      </c>
      <c r="B190" s="155">
        <v>1.9</v>
      </c>
      <c r="C190" s="383">
        <f>B190/$B$204</f>
        <v>1.52</v>
      </c>
      <c r="D190" s="155">
        <f>B190*2</f>
        <v>3.8</v>
      </c>
      <c r="E190" s="383">
        <f>D190/$B$204</f>
        <v>3.04</v>
      </c>
      <c r="G190" s="2"/>
    </row>
    <row r="191" spans="1:19">
      <c r="A191" s="684" t="s">
        <v>853</v>
      </c>
      <c r="B191" s="685">
        <v>1.9</v>
      </c>
      <c r="C191" s="686">
        <f>B191/$B$203</f>
        <v>1.1874999999999998</v>
      </c>
      <c r="D191" s="685">
        <f>B191*2</f>
        <v>3.8</v>
      </c>
      <c r="E191" s="686">
        <f>D191/$B$203</f>
        <v>2.3749999999999996</v>
      </c>
      <c r="F191" t="s">
        <v>854</v>
      </c>
      <c r="G191" s="2"/>
    </row>
    <row r="192" spans="1:19">
      <c r="A192" s="33" t="s">
        <v>350</v>
      </c>
      <c r="B192" s="155">
        <v>1</v>
      </c>
      <c r="C192" s="383">
        <f>B192/$B$204</f>
        <v>0.8</v>
      </c>
      <c r="D192" s="155">
        <f>B192*2</f>
        <v>2</v>
      </c>
      <c r="E192" s="383">
        <f>D192/$B$204</f>
        <v>1.6</v>
      </c>
    </row>
    <row r="193" spans="1:33">
      <c r="A193" s="33" t="s">
        <v>351</v>
      </c>
      <c r="B193" s="155">
        <v>1</v>
      </c>
      <c r="C193" s="383">
        <f>B193/$B$204</f>
        <v>0.8</v>
      </c>
      <c r="D193" s="155">
        <f>B193*2</f>
        <v>2</v>
      </c>
      <c r="E193" s="383">
        <f>D193/$B$204</f>
        <v>1.6</v>
      </c>
    </row>
    <row r="194" spans="1:33" ht="18">
      <c r="A194" s="21" t="s">
        <v>352</v>
      </c>
      <c r="B194" s="90">
        <v>1.25</v>
      </c>
      <c r="C194" s="90"/>
    </row>
    <row r="195" spans="1:33">
      <c r="A195" s="23"/>
      <c r="B195" s="102"/>
      <c r="C195" s="102"/>
    </row>
    <row r="196" spans="1:33" ht="15.75" thickBot="1">
      <c r="P196" s="116"/>
      <c r="Q196" s="116"/>
      <c r="R196" s="116"/>
      <c r="S196" s="116"/>
    </row>
    <row r="197" spans="1:33">
      <c r="W197" s="714" t="s">
        <v>94</v>
      </c>
      <c r="X197" s="715"/>
      <c r="Y197" s="715"/>
      <c r="Z197" s="715"/>
      <c r="AA197" s="715"/>
      <c r="AB197" s="25"/>
      <c r="AC197" s="130" t="s">
        <v>95</v>
      </c>
      <c r="AD197" s="130"/>
      <c r="AE197" s="130"/>
      <c r="AF197" s="130"/>
      <c r="AG197" s="131"/>
    </row>
    <row r="198" spans="1:33" ht="18.75">
      <c r="A198" s="56" t="s">
        <v>86</v>
      </c>
      <c r="W198" s="26"/>
      <c r="X198" s="54">
        <v>0.6</v>
      </c>
      <c r="Y198" s="54">
        <v>0.7</v>
      </c>
      <c r="Z198" s="54">
        <v>0.8</v>
      </c>
      <c r="AA198" s="54">
        <v>0.9</v>
      </c>
      <c r="AB198" s="28"/>
      <c r="AC198" s="28"/>
      <c r="AD198" s="54">
        <v>0.6</v>
      </c>
      <c r="AE198" s="54">
        <v>0.7</v>
      </c>
      <c r="AF198" s="54">
        <v>0.8</v>
      </c>
      <c r="AG198" s="55">
        <v>0.9</v>
      </c>
    </row>
    <row r="199" spans="1:33">
      <c r="L199" s="3"/>
      <c r="W199" s="26">
        <v>350</v>
      </c>
      <c r="X199" s="30">
        <v>2.7416359384615387</v>
      </c>
      <c r="Y199" s="30">
        <v>3.1985752615384619</v>
      </c>
      <c r="Z199" s="30">
        <v>3.6555145846153856</v>
      </c>
      <c r="AA199" s="30">
        <v>4</v>
      </c>
      <c r="AB199" s="28"/>
      <c r="AC199" s="28">
        <v>350</v>
      </c>
      <c r="AD199" s="30">
        <v>3.2757208615384621</v>
      </c>
      <c r="AE199" s="30">
        <v>3.8216743384615386</v>
      </c>
      <c r="AF199" s="30">
        <v>4</v>
      </c>
      <c r="AG199" s="31">
        <v>4</v>
      </c>
    </row>
    <row r="200" spans="1:33" ht="18">
      <c r="A200" s="112" t="s">
        <v>2</v>
      </c>
      <c r="B200" s="113" t="s">
        <v>344</v>
      </c>
      <c r="C200" s="113" t="s">
        <v>345</v>
      </c>
      <c r="D200" s="384"/>
      <c r="E200" s="121"/>
      <c r="F200" s="3"/>
      <c r="G200" s="90"/>
      <c r="H200" s="90"/>
      <c r="I200" s="105"/>
      <c r="L200" s="165"/>
      <c r="W200" s="26">
        <v>380</v>
      </c>
      <c r="X200" s="30">
        <v>2.9766333046153846</v>
      </c>
      <c r="Y200" s="30">
        <v>3.4727388553846152</v>
      </c>
      <c r="Z200" s="30">
        <v>3.9688444061538473</v>
      </c>
      <c r="AA200" s="30">
        <v>4</v>
      </c>
      <c r="AB200" s="28"/>
      <c r="AC200" s="28">
        <v>380</v>
      </c>
      <c r="AD200" s="30">
        <v>3.5564969353846152</v>
      </c>
      <c r="AE200" s="30">
        <v>4</v>
      </c>
      <c r="AF200" s="30">
        <v>4</v>
      </c>
      <c r="AG200" s="31">
        <v>4</v>
      </c>
    </row>
    <row r="201" spans="1:33">
      <c r="A201" s="45"/>
      <c r="B201" s="47" t="s">
        <v>17</v>
      </c>
      <c r="C201" s="47" t="s">
        <v>17</v>
      </c>
      <c r="D201" s="384"/>
      <c r="E201" s="121"/>
      <c r="F201" s="3"/>
      <c r="G201" s="90"/>
      <c r="H201" s="90"/>
      <c r="I201" s="105"/>
      <c r="L201" s="165"/>
      <c r="W201" s="26">
        <v>410</v>
      </c>
      <c r="X201" s="30">
        <v>3.2116306707692313</v>
      </c>
      <c r="Y201" s="30">
        <v>3.7469024492307694</v>
      </c>
      <c r="Z201" s="30">
        <v>4</v>
      </c>
      <c r="AA201" s="30">
        <v>4</v>
      </c>
      <c r="AB201" s="28"/>
      <c r="AC201" s="28">
        <v>410</v>
      </c>
      <c r="AD201" s="30">
        <v>3.8372730092307696</v>
      </c>
      <c r="AE201" s="30">
        <v>4</v>
      </c>
      <c r="AF201" s="30">
        <v>4</v>
      </c>
      <c r="AG201" s="31">
        <v>4</v>
      </c>
    </row>
    <row r="202" spans="1:33">
      <c r="A202" s="33" t="s">
        <v>353</v>
      </c>
      <c r="B202" s="35">
        <v>1.6</v>
      </c>
      <c r="C202" s="385">
        <f>B202/$B$204</f>
        <v>1.28</v>
      </c>
      <c r="D202" s="386"/>
      <c r="E202" s="123"/>
      <c r="F202" s="123"/>
      <c r="G202" s="90"/>
      <c r="H202" s="90"/>
      <c r="I202" s="109"/>
      <c r="L202" s="165"/>
      <c r="W202" s="26">
        <v>430</v>
      </c>
      <c r="X202" s="30">
        <v>3.3682955815384616</v>
      </c>
      <c r="Y202" s="30">
        <v>3.9296781784615389</v>
      </c>
      <c r="Z202" s="30">
        <v>4</v>
      </c>
      <c r="AA202" s="30">
        <v>4</v>
      </c>
      <c r="AB202" s="28"/>
      <c r="AC202" s="28">
        <v>430</v>
      </c>
      <c r="AD202" s="30">
        <v>4</v>
      </c>
      <c r="AE202" s="30">
        <v>4</v>
      </c>
      <c r="AF202" s="30">
        <v>4</v>
      </c>
      <c r="AG202" s="31">
        <v>4</v>
      </c>
    </row>
    <row r="203" spans="1:33">
      <c r="A203" s="33" t="s">
        <v>354</v>
      </c>
      <c r="B203" s="35">
        <v>1.6</v>
      </c>
      <c r="C203" s="385">
        <f>B203/$B$204</f>
        <v>1.28</v>
      </c>
      <c r="D203" s="386"/>
      <c r="E203" s="123"/>
      <c r="F203" s="123"/>
      <c r="G203" s="90"/>
      <c r="H203" s="90"/>
      <c r="I203" s="109"/>
      <c r="L203" s="165"/>
      <c r="W203" s="26">
        <v>450</v>
      </c>
      <c r="X203" s="30">
        <v>3.5249604923076929</v>
      </c>
      <c r="Y203" s="30">
        <v>4</v>
      </c>
      <c r="Z203" s="30">
        <v>4</v>
      </c>
      <c r="AA203" s="30">
        <v>4</v>
      </c>
      <c r="AB203" s="28"/>
      <c r="AC203" s="28">
        <v>450</v>
      </c>
      <c r="AD203" s="30">
        <v>4</v>
      </c>
      <c r="AE203" s="30">
        <v>4</v>
      </c>
      <c r="AF203" s="30">
        <v>4</v>
      </c>
      <c r="AG203" s="31">
        <v>4</v>
      </c>
    </row>
    <row r="204" spans="1:33" ht="18">
      <c r="A204" s="21" t="s">
        <v>352</v>
      </c>
      <c r="B204" s="90">
        <v>1.25</v>
      </c>
      <c r="C204" s="90"/>
      <c r="D204" s="90"/>
      <c r="E204" s="90"/>
      <c r="F204" s="90"/>
      <c r="G204" s="90"/>
      <c r="H204" s="90"/>
      <c r="L204" s="3"/>
      <c r="W204" s="26">
        <v>400</v>
      </c>
      <c r="X204" s="30">
        <v>3.1332982153846158</v>
      </c>
      <c r="Y204" s="30">
        <v>3.6555145846153847</v>
      </c>
      <c r="Z204" s="30">
        <v>4</v>
      </c>
      <c r="AA204" s="30">
        <v>4</v>
      </c>
      <c r="AB204" s="28"/>
      <c r="AC204" s="28">
        <v>400</v>
      </c>
      <c r="AD204" s="30">
        <v>3.7436809846153851</v>
      </c>
      <c r="AE204" s="30">
        <v>4</v>
      </c>
      <c r="AF204" s="30">
        <v>4</v>
      </c>
      <c r="AG204" s="31">
        <v>4</v>
      </c>
    </row>
    <row r="205" spans="1:33">
      <c r="C205" s="90"/>
      <c r="D205" s="90"/>
      <c r="E205" s="90"/>
      <c r="F205" s="90"/>
      <c r="G205" s="90"/>
      <c r="H205" s="90"/>
      <c r="L205" s="3"/>
      <c r="W205" s="26"/>
      <c r="X205" s="30"/>
      <c r="Y205" s="30"/>
      <c r="Z205" s="30"/>
      <c r="AA205" s="30"/>
      <c r="AB205" s="28"/>
      <c r="AC205" s="28"/>
      <c r="AD205" s="30"/>
      <c r="AE205" s="30"/>
      <c r="AF205" s="30"/>
      <c r="AG205" s="31"/>
    </row>
    <row r="206" spans="1:33">
      <c r="A206" s="21" t="s">
        <v>37</v>
      </c>
      <c r="B206" s="387" t="s">
        <v>22</v>
      </c>
      <c r="C206" s="3"/>
      <c r="D206" s="121"/>
      <c r="E206" s="121"/>
      <c r="F206" s="121"/>
      <c r="G206" s="121"/>
      <c r="H206" s="121"/>
      <c r="W206" s="718" t="s">
        <v>107</v>
      </c>
      <c r="X206" s="719"/>
      <c r="Y206" s="719"/>
      <c r="Z206" s="719"/>
      <c r="AA206" s="719"/>
      <c r="AB206" s="28"/>
      <c r="AC206" s="719" t="s">
        <v>108</v>
      </c>
      <c r="AD206" s="719"/>
      <c r="AE206" s="719"/>
      <c r="AF206" s="719"/>
      <c r="AG206" s="720"/>
    </row>
    <row r="207" spans="1:33" ht="18">
      <c r="A207" s="119" t="s">
        <v>39</v>
      </c>
      <c r="B207" s="247">
        <f>VLOOKUP(B206,$V$5:$W$10,2,FALSE)</f>
        <v>350</v>
      </c>
      <c r="C207" s="3" t="s">
        <v>40</v>
      </c>
      <c r="D207" s="121"/>
      <c r="E207" s="121"/>
      <c r="F207" s="121"/>
      <c r="G207" s="121"/>
      <c r="H207" s="121"/>
      <c r="W207" s="26">
        <v>350</v>
      </c>
      <c r="X207" s="30">
        <v>2.466435080370649</v>
      </c>
      <c r="Y207" s="30">
        <v>2.877507593765757</v>
      </c>
      <c r="Z207" s="30">
        <v>3.288580107160866</v>
      </c>
      <c r="AA207" s="30">
        <v>3.6996526205559737</v>
      </c>
      <c r="AB207" s="28"/>
      <c r="AC207" s="28">
        <v>350</v>
      </c>
      <c r="AD207" s="30">
        <v>3.2757208615384621</v>
      </c>
      <c r="AE207" s="30">
        <v>3.8216743384615386</v>
      </c>
      <c r="AF207" s="30">
        <v>4</v>
      </c>
      <c r="AG207" s="31">
        <v>4</v>
      </c>
    </row>
    <row r="208" spans="1:33">
      <c r="W208" s="26">
        <v>410</v>
      </c>
      <c r="X208" s="30">
        <v>2.0991050135746607</v>
      </c>
      <c r="Y208" s="30">
        <v>2.4489558491704377</v>
      </c>
      <c r="Z208" s="30">
        <v>2.7988066847662147</v>
      </c>
      <c r="AA208" s="30">
        <v>3.1486575203619913</v>
      </c>
      <c r="AB208" s="28"/>
      <c r="AC208" s="28">
        <v>410</v>
      </c>
      <c r="AD208" s="30">
        <v>2.4133792510885339</v>
      </c>
      <c r="AE208" s="30">
        <v>2.8156091262699561</v>
      </c>
      <c r="AF208" s="30">
        <v>3.2178390014513791</v>
      </c>
      <c r="AG208" s="31">
        <v>3.6200688766328009</v>
      </c>
    </row>
    <row r="209" spans="1:33" ht="26.25">
      <c r="A209" s="1" t="s">
        <v>153</v>
      </c>
      <c r="W209" s="26">
        <v>430</v>
      </c>
      <c r="X209" s="30">
        <v>2.2015003800904984</v>
      </c>
      <c r="Y209" s="30">
        <v>2.5684171101055813</v>
      </c>
      <c r="Z209" s="30">
        <v>2.9353338401206646</v>
      </c>
      <c r="AA209" s="30">
        <v>3.3022505701357474</v>
      </c>
      <c r="AB209" s="28"/>
      <c r="AC209" s="28">
        <v>430</v>
      </c>
      <c r="AD209" s="30">
        <v>2.5311050682148037</v>
      </c>
      <c r="AE209" s="30">
        <v>2.9529559129172713</v>
      </c>
      <c r="AF209" s="30">
        <v>3.3748067576197389</v>
      </c>
      <c r="AG209" s="31">
        <v>3.7966576023222061</v>
      </c>
    </row>
    <row r="210" spans="1:33" ht="23.25">
      <c r="A210" s="1"/>
      <c r="W210" s="26">
        <v>450</v>
      </c>
      <c r="X210" s="30">
        <v>2.3038957466063352</v>
      </c>
      <c r="Y210" s="30">
        <v>2.6878783710407244</v>
      </c>
      <c r="Z210" s="30">
        <v>3.0718609954751135</v>
      </c>
      <c r="AA210" s="30">
        <v>3.4558436199095031</v>
      </c>
      <c r="AB210" s="28"/>
      <c r="AC210" s="28">
        <v>450</v>
      </c>
      <c r="AD210" s="30">
        <v>2.648830885341074</v>
      </c>
      <c r="AE210" s="30">
        <v>3.0903026995645861</v>
      </c>
      <c r="AF210" s="30">
        <v>3.5317745137880991</v>
      </c>
      <c r="AG210" s="31">
        <v>3.9732463280116108</v>
      </c>
    </row>
    <row r="211" spans="1:33">
      <c r="A211" s="23"/>
      <c r="B211" s="77"/>
    </row>
    <row r="212" spans="1:33" ht="18.75">
      <c r="A212" s="56" t="s">
        <v>79</v>
      </c>
      <c r="B212" s="77"/>
    </row>
    <row r="214" spans="1:33">
      <c r="A214" s="21" t="s">
        <v>37</v>
      </c>
      <c r="B214" s="22" t="s">
        <v>25</v>
      </c>
    </row>
    <row r="215" spans="1:33" ht="18">
      <c r="A215" s="23" t="s">
        <v>39</v>
      </c>
      <c r="B215" s="24">
        <f>VLOOKUP(B214,$V$5:$W$10,2,FALSE)</f>
        <v>385</v>
      </c>
      <c r="C215" t="s">
        <v>40</v>
      </c>
    </row>
    <row r="216" spans="1:33" ht="18">
      <c r="A216" s="23" t="s">
        <v>62</v>
      </c>
      <c r="B216" s="369">
        <v>15000</v>
      </c>
      <c r="C216" s="369">
        <v>4400</v>
      </c>
      <c r="D216" t="s">
        <v>63</v>
      </c>
    </row>
    <row r="217" spans="1:33">
      <c r="A217" s="23" t="s">
        <v>64</v>
      </c>
      <c r="B217" s="90">
        <v>8</v>
      </c>
      <c r="C217" s="90">
        <v>5</v>
      </c>
      <c r="D217" t="s">
        <v>65</v>
      </c>
    </row>
    <row r="218" spans="1:33" ht="18">
      <c r="A218" s="23" t="s">
        <v>66</v>
      </c>
      <c r="B218" s="101">
        <f>0.033*$B$215*B217^-0.3</f>
        <v>6.808440920761802</v>
      </c>
      <c r="C218" s="101">
        <f>0.033*$B$215*C217^-0.3</f>
        <v>7.8394152258577217</v>
      </c>
      <c r="D218" t="s">
        <v>67</v>
      </c>
    </row>
    <row r="219" spans="1:33" ht="18">
      <c r="A219" s="23" t="s">
        <v>68</v>
      </c>
      <c r="B219" s="102">
        <f>0.082*B217^-0.3*$B$215</f>
        <v>16.917944106135387</v>
      </c>
      <c r="C219" s="102">
        <f>0.082*C217^-0.3*$B$215</f>
        <v>19.479759046070704</v>
      </c>
      <c r="D219" t="s">
        <v>67</v>
      </c>
    </row>
    <row r="220" spans="1:33" ht="33">
      <c r="A220" s="149" t="s">
        <v>167</v>
      </c>
      <c r="B220" s="102">
        <v>4</v>
      </c>
      <c r="C220" s="90" t="s">
        <v>168</v>
      </c>
      <c r="R220"/>
      <c r="S220"/>
    </row>
    <row r="221" spans="1:33">
      <c r="A221" s="23"/>
      <c r="B221" s="77"/>
      <c r="R221"/>
      <c r="S221"/>
    </row>
    <row r="222" spans="1:33" ht="18">
      <c r="A222" s="4" t="s">
        <v>2</v>
      </c>
      <c r="B222" s="5" t="s">
        <v>43</v>
      </c>
      <c r="C222" s="5" t="s">
        <v>9</v>
      </c>
      <c r="D222" s="5" t="s">
        <v>44</v>
      </c>
      <c r="E222" s="5" t="s">
        <v>59</v>
      </c>
      <c r="F222" s="5" t="s">
        <v>60</v>
      </c>
      <c r="G222" s="5" t="s">
        <v>43</v>
      </c>
      <c r="H222" s="5" t="s">
        <v>9</v>
      </c>
      <c r="I222" s="5" t="s">
        <v>44</v>
      </c>
      <c r="J222" s="5" t="s">
        <v>59</v>
      </c>
      <c r="K222" s="5" t="s">
        <v>60</v>
      </c>
      <c r="L222" s="5" t="s">
        <v>169</v>
      </c>
      <c r="R222"/>
      <c r="S222"/>
    </row>
    <row r="223" spans="1:33">
      <c r="A223" s="8"/>
      <c r="B223" s="9" t="s">
        <v>19</v>
      </c>
      <c r="C223" s="9" t="s">
        <v>18</v>
      </c>
      <c r="D223" s="9" t="s">
        <v>18</v>
      </c>
      <c r="E223" s="9" t="s">
        <v>17</v>
      </c>
      <c r="F223" s="9" t="s">
        <v>17</v>
      </c>
      <c r="G223" s="9" t="s">
        <v>19</v>
      </c>
      <c r="H223" s="9" t="s">
        <v>18</v>
      </c>
      <c r="I223" s="9" t="s">
        <v>18</v>
      </c>
      <c r="J223" s="9" t="s">
        <v>17</v>
      </c>
      <c r="K223" s="9" t="s">
        <v>17</v>
      </c>
      <c r="L223" s="62" t="s">
        <v>17</v>
      </c>
      <c r="R223"/>
      <c r="S223"/>
    </row>
    <row r="224" spans="1:33" ht="45">
      <c r="A224" s="396" t="s">
        <v>385</v>
      </c>
      <c r="B224" s="63">
        <v>1</v>
      </c>
      <c r="C224" s="63">
        <v>8</v>
      </c>
      <c r="D224" s="303">
        <v>65</v>
      </c>
      <c r="E224" s="85">
        <f t="shared" ref="E224:E245" si="40">($E$252*0.52*SQRT($C224)*D224^0.9*$B$215^0.8)/1000</f>
        <v>2.2113638026311735</v>
      </c>
      <c r="F224" s="85">
        <f t="shared" ref="F224:F245" si="41">MIN(2.3*SQRT($B$216*$B$218*$B$217)/1000+(E224/4),$B$217*$B$218*D224/1000,$B$217*$B$218*D224/1000*(SQRT(2+4*$B$216/($B$217*$B$218*D224^2))-1)+E224/4)</f>
        <v>2.3356804038245178</v>
      </c>
      <c r="G224" s="63">
        <v>2</v>
      </c>
      <c r="H224" s="63">
        <v>5</v>
      </c>
      <c r="I224" s="303">
        <v>70</v>
      </c>
      <c r="J224" s="734" t="s">
        <v>170</v>
      </c>
      <c r="K224" s="735"/>
      <c r="L224" s="736"/>
      <c r="R224"/>
      <c r="S224"/>
    </row>
    <row r="225" spans="1:19" ht="45">
      <c r="A225" s="396" t="s">
        <v>386</v>
      </c>
      <c r="B225" s="63">
        <v>2</v>
      </c>
      <c r="C225" s="63">
        <v>8</v>
      </c>
      <c r="D225" s="303">
        <v>65</v>
      </c>
      <c r="E225" s="85">
        <f t="shared" si="40"/>
        <v>2.2113638026311735</v>
      </c>
      <c r="F225" s="85">
        <f t="shared" si="41"/>
        <v>2.3356804038245178</v>
      </c>
      <c r="G225" s="63">
        <v>2</v>
      </c>
      <c r="H225" s="63">
        <v>5</v>
      </c>
      <c r="I225" s="303">
        <v>70</v>
      </c>
      <c r="J225" s="737"/>
      <c r="K225" s="738"/>
      <c r="L225" s="739"/>
      <c r="R225"/>
      <c r="S225"/>
    </row>
    <row r="226" spans="1:19" ht="45">
      <c r="A226" s="396" t="s">
        <v>387</v>
      </c>
      <c r="B226" s="63">
        <v>2</v>
      </c>
      <c r="C226" s="63">
        <v>8</v>
      </c>
      <c r="D226" s="303">
        <v>65</v>
      </c>
      <c r="E226" s="85">
        <f t="shared" si="40"/>
        <v>2.2113638026311735</v>
      </c>
      <c r="F226" s="85">
        <f t="shared" si="41"/>
        <v>2.3356804038245178</v>
      </c>
      <c r="G226" s="63">
        <v>4</v>
      </c>
      <c r="H226" s="63">
        <v>5</v>
      </c>
      <c r="I226" s="303">
        <v>70</v>
      </c>
      <c r="J226" s="737"/>
      <c r="K226" s="738"/>
      <c r="L226" s="739"/>
      <c r="R226"/>
      <c r="S226"/>
    </row>
    <row r="227" spans="1:19" ht="45">
      <c r="A227" s="396" t="s">
        <v>388</v>
      </c>
      <c r="B227" s="63">
        <v>2</v>
      </c>
      <c r="C227" s="63">
        <v>8</v>
      </c>
      <c r="D227" s="303">
        <v>65</v>
      </c>
      <c r="E227" s="85">
        <f t="shared" si="40"/>
        <v>2.2113638026311735</v>
      </c>
      <c r="F227" s="85">
        <f t="shared" si="41"/>
        <v>2.3356804038245178</v>
      </c>
      <c r="G227" s="63">
        <v>6</v>
      </c>
      <c r="H227" s="63">
        <v>5</v>
      </c>
      <c r="I227" s="303">
        <v>70</v>
      </c>
      <c r="J227" s="737"/>
      <c r="K227" s="738"/>
      <c r="L227" s="739"/>
      <c r="R227"/>
      <c r="S227"/>
    </row>
    <row r="228" spans="1:19" ht="45">
      <c r="A228" s="396" t="s">
        <v>389</v>
      </c>
      <c r="B228" s="63">
        <v>2</v>
      </c>
      <c r="C228" s="63">
        <v>8</v>
      </c>
      <c r="D228" s="303">
        <v>65</v>
      </c>
      <c r="E228" s="85">
        <f t="shared" si="40"/>
        <v>2.2113638026311735</v>
      </c>
      <c r="F228" s="85">
        <f t="shared" si="41"/>
        <v>2.3356804038245178</v>
      </c>
      <c r="G228" s="63">
        <v>8</v>
      </c>
      <c r="H228" s="63">
        <v>5</v>
      </c>
      <c r="I228" s="303">
        <v>70</v>
      </c>
      <c r="J228" s="737"/>
      <c r="K228" s="738"/>
      <c r="L228" s="739"/>
      <c r="R228"/>
      <c r="S228"/>
    </row>
    <row r="229" spans="1:19" ht="45">
      <c r="A229" s="396" t="s">
        <v>390</v>
      </c>
      <c r="B229" s="63">
        <v>2</v>
      </c>
      <c r="C229" s="63">
        <v>8</v>
      </c>
      <c r="D229" s="303">
        <v>65</v>
      </c>
      <c r="E229" s="85">
        <f t="shared" si="40"/>
        <v>2.2113638026311735</v>
      </c>
      <c r="F229" s="85">
        <f t="shared" si="41"/>
        <v>2.3356804038245178</v>
      </c>
      <c r="G229" s="63">
        <v>10</v>
      </c>
      <c r="H229" s="63">
        <v>5</v>
      </c>
      <c r="I229" s="303">
        <v>70</v>
      </c>
      <c r="J229" s="737"/>
      <c r="K229" s="738"/>
      <c r="L229" s="739"/>
      <c r="R229"/>
      <c r="S229"/>
    </row>
    <row r="230" spans="1:19" ht="45">
      <c r="A230" s="396" t="s">
        <v>391</v>
      </c>
      <c r="B230" s="63">
        <v>3</v>
      </c>
      <c r="C230" s="63">
        <v>8</v>
      </c>
      <c r="D230" s="303">
        <v>65</v>
      </c>
      <c r="E230" s="85">
        <f t="shared" si="40"/>
        <v>2.2113638026311735</v>
      </c>
      <c r="F230" s="85">
        <f t="shared" si="41"/>
        <v>2.3356804038245178</v>
      </c>
      <c r="G230" s="63">
        <v>4</v>
      </c>
      <c r="H230" s="63">
        <v>5</v>
      </c>
      <c r="I230" s="303">
        <v>70</v>
      </c>
      <c r="J230" s="737"/>
      <c r="K230" s="738"/>
      <c r="L230" s="739"/>
      <c r="R230"/>
      <c r="S230"/>
    </row>
    <row r="231" spans="1:19" ht="45">
      <c r="A231" s="396" t="s">
        <v>392</v>
      </c>
      <c r="B231" s="63">
        <v>3</v>
      </c>
      <c r="C231" s="63">
        <v>8</v>
      </c>
      <c r="D231" s="303">
        <v>65</v>
      </c>
      <c r="E231" s="85">
        <f t="shared" si="40"/>
        <v>2.2113638026311735</v>
      </c>
      <c r="F231" s="85">
        <f t="shared" si="41"/>
        <v>2.3356804038245178</v>
      </c>
      <c r="G231" s="63">
        <v>8</v>
      </c>
      <c r="H231" s="63">
        <v>5</v>
      </c>
      <c r="I231" s="303">
        <v>70</v>
      </c>
      <c r="J231" s="737"/>
      <c r="K231" s="738"/>
      <c r="L231" s="739"/>
      <c r="R231"/>
      <c r="S231"/>
    </row>
    <row r="232" spans="1:19" ht="45">
      <c r="A232" s="396" t="s">
        <v>393</v>
      </c>
      <c r="B232" s="63">
        <v>3</v>
      </c>
      <c r="C232" s="63">
        <v>8</v>
      </c>
      <c r="D232" s="303">
        <v>65</v>
      </c>
      <c r="E232" s="85">
        <f t="shared" si="40"/>
        <v>2.2113638026311735</v>
      </c>
      <c r="F232" s="85">
        <f t="shared" si="41"/>
        <v>2.3356804038245178</v>
      </c>
      <c r="G232" s="63">
        <v>12</v>
      </c>
      <c r="H232" s="63">
        <v>5</v>
      </c>
      <c r="I232" s="303">
        <v>70</v>
      </c>
      <c r="J232" s="737"/>
      <c r="K232" s="738"/>
      <c r="L232" s="739"/>
      <c r="P232" s="2" t="s">
        <v>173</v>
      </c>
      <c r="Q232" s="2" t="s">
        <v>174</v>
      </c>
      <c r="R232"/>
      <c r="S232"/>
    </row>
    <row r="233" spans="1:19" ht="45">
      <c r="A233" s="396" t="s">
        <v>394</v>
      </c>
      <c r="B233" s="63">
        <v>3</v>
      </c>
      <c r="C233" s="63">
        <v>8</v>
      </c>
      <c r="D233" s="303">
        <v>65</v>
      </c>
      <c r="E233" s="85">
        <f t="shared" si="40"/>
        <v>2.2113638026311735</v>
      </c>
      <c r="F233" s="85">
        <f t="shared" si="41"/>
        <v>2.3356804038245178</v>
      </c>
      <c r="G233" s="63">
        <v>12</v>
      </c>
      <c r="H233" s="63">
        <v>5</v>
      </c>
      <c r="I233" s="303">
        <v>70</v>
      </c>
      <c r="J233" s="737"/>
      <c r="K233" s="738"/>
      <c r="L233" s="739"/>
      <c r="R233"/>
      <c r="S233"/>
    </row>
    <row r="234" spans="1:19" ht="45.75" thickBot="1">
      <c r="A234" s="438" t="s">
        <v>395</v>
      </c>
      <c r="B234" s="474">
        <v>3</v>
      </c>
      <c r="C234" s="474">
        <v>8</v>
      </c>
      <c r="D234" s="475">
        <v>65</v>
      </c>
      <c r="E234" s="476">
        <f t="shared" si="40"/>
        <v>2.2113638026311735</v>
      </c>
      <c r="F234" s="476">
        <f t="shared" si="41"/>
        <v>2.3356804038245178</v>
      </c>
      <c r="G234" s="474">
        <v>12</v>
      </c>
      <c r="H234" s="474">
        <v>5</v>
      </c>
      <c r="I234" s="475">
        <v>70</v>
      </c>
      <c r="J234" s="782"/>
      <c r="K234" s="783"/>
      <c r="L234" s="784"/>
      <c r="R234"/>
      <c r="S234"/>
    </row>
    <row r="235" spans="1:19" ht="45.75" thickTop="1">
      <c r="A235" s="411" t="s">
        <v>396</v>
      </c>
      <c r="B235" s="477">
        <v>1</v>
      </c>
      <c r="C235" s="477">
        <v>8</v>
      </c>
      <c r="D235" s="478">
        <v>65</v>
      </c>
      <c r="E235" s="85">
        <f t="shared" si="40"/>
        <v>2.2113638026311735</v>
      </c>
      <c r="F235" s="479">
        <f t="shared" si="41"/>
        <v>2.3356804038245178</v>
      </c>
      <c r="G235" s="477">
        <v>2</v>
      </c>
      <c r="H235" s="477">
        <v>5</v>
      </c>
      <c r="I235" s="478">
        <v>70</v>
      </c>
      <c r="J235" s="785" t="s">
        <v>170</v>
      </c>
      <c r="K235" s="786"/>
      <c r="L235" s="787"/>
      <c r="R235"/>
      <c r="S235"/>
    </row>
    <row r="236" spans="1:19" ht="45">
      <c r="A236" s="396" t="s">
        <v>397</v>
      </c>
      <c r="B236" s="63">
        <v>2</v>
      </c>
      <c r="C236" s="63">
        <v>8</v>
      </c>
      <c r="D236" s="303">
        <v>65</v>
      </c>
      <c r="E236" s="85">
        <f t="shared" si="40"/>
        <v>2.2113638026311735</v>
      </c>
      <c r="F236" s="85">
        <f t="shared" si="41"/>
        <v>2.3356804038245178</v>
      </c>
      <c r="G236" s="63">
        <v>2</v>
      </c>
      <c r="H236" s="63">
        <v>5</v>
      </c>
      <c r="I236" s="303">
        <v>70</v>
      </c>
      <c r="J236" s="737"/>
      <c r="K236" s="738"/>
      <c r="L236" s="739"/>
      <c r="R236"/>
      <c r="S236"/>
    </row>
    <row r="237" spans="1:19" ht="45">
      <c r="A237" s="396" t="s">
        <v>398</v>
      </c>
      <c r="B237" s="63">
        <v>2</v>
      </c>
      <c r="C237" s="63">
        <v>8</v>
      </c>
      <c r="D237" s="303">
        <v>65</v>
      </c>
      <c r="E237" s="85">
        <f t="shared" si="40"/>
        <v>2.2113638026311735</v>
      </c>
      <c r="F237" s="85">
        <f t="shared" si="41"/>
        <v>2.3356804038245178</v>
      </c>
      <c r="G237" s="63">
        <v>4</v>
      </c>
      <c r="H237" s="63">
        <v>5</v>
      </c>
      <c r="I237" s="303">
        <v>70</v>
      </c>
      <c r="J237" s="737"/>
      <c r="K237" s="738"/>
      <c r="L237" s="739"/>
      <c r="R237"/>
      <c r="S237"/>
    </row>
    <row r="238" spans="1:19" ht="45">
      <c r="A238" s="396" t="s">
        <v>399</v>
      </c>
      <c r="B238" s="63">
        <v>2</v>
      </c>
      <c r="C238" s="63">
        <v>8</v>
      </c>
      <c r="D238" s="303">
        <v>65</v>
      </c>
      <c r="E238" s="85">
        <f t="shared" si="40"/>
        <v>2.2113638026311735</v>
      </c>
      <c r="F238" s="85">
        <f t="shared" si="41"/>
        <v>2.3356804038245178</v>
      </c>
      <c r="G238" s="63">
        <v>6</v>
      </c>
      <c r="H238" s="63">
        <v>5</v>
      </c>
      <c r="I238" s="303">
        <v>70</v>
      </c>
      <c r="J238" s="737"/>
      <c r="K238" s="738"/>
      <c r="L238" s="739"/>
      <c r="R238"/>
      <c r="S238"/>
    </row>
    <row r="239" spans="1:19" ht="45">
      <c r="A239" s="396" t="s">
        <v>400</v>
      </c>
      <c r="B239" s="63">
        <v>2</v>
      </c>
      <c r="C239" s="63">
        <v>8</v>
      </c>
      <c r="D239" s="303">
        <v>65</v>
      </c>
      <c r="E239" s="85">
        <f t="shared" si="40"/>
        <v>2.2113638026311735</v>
      </c>
      <c r="F239" s="85">
        <f t="shared" si="41"/>
        <v>2.3356804038245178</v>
      </c>
      <c r="G239" s="63">
        <v>8</v>
      </c>
      <c r="H239" s="63">
        <v>5</v>
      </c>
      <c r="I239" s="303">
        <v>70</v>
      </c>
      <c r="J239" s="737"/>
      <c r="K239" s="738"/>
      <c r="L239" s="739"/>
      <c r="R239"/>
      <c r="S239"/>
    </row>
    <row r="240" spans="1:19" ht="45">
      <c r="A240" s="396" t="s">
        <v>401</v>
      </c>
      <c r="B240" s="63">
        <v>2</v>
      </c>
      <c r="C240" s="63">
        <v>8</v>
      </c>
      <c r="D240" s="303">
        <v>65</v>
      </c>
      <c r="E240" s="85">
        <f t="shared" si="40"/>
        <v>2.2113638026311735</v>
      </c>
      <c r="F240" s="85">
        <f t="shared" si="41"/>
        <v>2.3356804038245178</v>
      </c>
      <c r="G240" s="63">
        <v>10</v>
      </c>
      <c r="H240" s="63">
        <v>5</v>
      </c>
      <c r="I240" s="303">
        <v>70</v>
      </c>
      <c r="J240" s="737"/>
      <c r="K240" s="738"/>
      <c r="L240" s="739"/>
      <c r="R240"/>
      <c r="S240"/>
    </row>
    <row r="241" spans="1:19" ht="45">
      <c r="A241" s="396" t="s">
        <v>402</v>
      </c>
      <c r="B241" s="63">
        <v>3</v>
      </c>
      <c r="C241" s="63">
        <v>8</v>
      </c>
      <c r="D241" s="303">
        <v>65</v>
      </c>
      <c r="E241" s="85">
        <f t="shared" si="40"/>
        <v>2.2113638026311735</v>
      </c>
      <c r="F241" s="85">
        <f t="shared" si="41"/>
        <v>2.3356804038245178</v>
      </c>
      <c r="G241" s="63">
        <v>4</v>
      </c>
      <c r="H241" s="63">
        <v>5</v>
      </c>
      <c r="I241" s="303">
        <v>70</v>
      </c>
      <c r="J241" s="737"/>
      <c r="K241" s="738"/>
      <c r="L241" s="739"/>
      <c r="R241"/>
      <c r="S241"/>
    </row>
    <row r="242" spans="1:19" ht="45">
      <c r="A242" s="396" t="s">
        <v>403</v>
      </c>
      <c r="B242" s="63">
        <v>3</v>
      </c>
      <c r="C242" s="63">
        <v>8</v>
      </c>
      <c r="D242" s="303">
        <v>65</v>
      </c>
      <c r="E242" s="85">
        <f t="shared" si="40"/>
        <v>2.2113638026311735</v>
      </c>
      <c r="F242" s="85">
        <f t="shared" si="41"/>
        <v>2.3356804038245178</v>
      </c>
      <c r="G242" s="63">
        <v>8</v>
      </c>
      <c r="H242" s="63">
        <v>5</v>
      </c>
      <c r="I242" s="303">
        <v>70</v>
      </c>
      <c r="J242" s="737"/>
      <c r="K242" s="738"/>
      <c r="L242" s="739"/>
      <c r="R242"/>
      <c r="S242"/>
    </row>
    <row r="243" spans="1:19" ht="45">
      <c r="A243" s="396" t="s">
        <v>404</v>
      </c>
      <c r="B243" s="63">
        <v>3</v>
      </c>
      <c r="C243" s="63">
        <v>8</v>
      </c>
      <c r="D243" s="303">
        <v>65</v>
      </c>
      <c r="E243" s="85">
        <f t="shared" si="40"/>
        <v>2.2113638026311735</v>
      </c>
      <c r="F243" s="85">
        <f t="shared" si="41"/>
        <v>2.3356804038245178</v>
      </c>
      <c r="G243" s="63">
        <v>12</v>
      </c>
      <c r="H243" s="63">
        <v>5</v>
      </c>
      <c r="I243" s="303">
        <v>70</v>
      </c>
      <c r="J243" s="737"/>
      <c r="K243" s="738"/>
      <c r="L243" s="739"/>
      <c r="R243"/>
      <c r="S243"/>
    </row>
    <row r="244" spans="1:19" ht="45">
      <c r="A244" s="396" t="s">
        <v>405</v>
      </c>
      <c r="B244" s="63">
        <v>3</v>
      </c>
      <c r="C244" s="63">
        <v>8</v>
      </c>
      <c r="D244" s="303">
        <v>65</v>
      </c>
      <c r="E244" s="85">
        <f t="shared" si="40"/>
        <v>2.2113638026311735</v>
      </c>
      <c r="F244" s="85">
        <f t="shared" si="41"/>
        <v>2.3356804038245178</v>
      </c>
      <c r="G244" s="63">
        <v>12</v>
      </c>
      <c r="H244" s="63">
        <v>5</v>
      </c>
      <c r="I244" s="303">
        <v>70</v>
      </c>
      <c r="J244" s="737"/>
      <c r="K244" s="738"/>
      <c r="L244" s="739"/>
      <c r="R244"/>
      <c r="S244"/>
    </row>
    <row r="245" spans="1:19" ht="45.75" thickBot="1">
      <c r="A245" s="438" t="s">
        <v>406</v>
      </c>
      <c r="B245" s="474">
        <v>3</v>
      </c>
      <c r="C245" s="474">
        <v>8</v>
      </c>
      <c r="D245" s="475">
        <v>65</v>
      </c>
      <c r="E245" s="687">
        <f t="shared" si="40"/>
        <v>2.2113638026311735</v>
      </c>
      <c r="F245" s="687">
        <f t="shared" si="41"/>
        <v>2.3356804038245178</v>
      </c>
      <c r="G245" s="474">
        <v>12</v>
      </c>
      <c r="H245" s="474">
        <v>5</v>
      </c>
      <c r="I245" s="475">
        <v>70</v>
      </c>
      <c r="J245" s="782"/>
      <c r="K245" s="783"/>
      <c r="L245" s="784"/>
      <c r="R245"/>
      <c r="S245"/>
    </row>
    <row r="246" spans="1:19" ht="45.75" thickTop="1">
      <c r="A246" s="411" t="s">
        <v>790</v>
      </c>
      <c r="B246" s="398">
        <v>2</v>
      </c>
      <c r="C246" s="398">
        <v>8</v>
      </c>
      <c r="D246" s="397">
        <v>65</v>
      </c>
      <c r="E246" s="479">
        <f t="shared" ref="E246:E249" si="42">($E$252*0.52*SQRT($C246)*D246^0.9*$B$215^0.8)/1000</f>
        <v>2.2113638026311735</v>
      </c>
      <c r="F246" s="479">
        <f t="shared" ref="F246:F249" si="43">MIN(2.3*SQRT($B$216*$B$218*$B$217)/1000+(E246/4),$B$217*$B$218*D246/1000,$B$217*$B$218*D246/1000*(SQRT(2+4*$B$216/($B$217*$B$218*D246^2))-1)+E246/4)</f>
        <v>2.3356804038245178</v>
      </c>
      <c r="G246" s="398">
        <v>2</v>
      </c>
      <c r="H246" s="398">
        <v>5</v>
      </c>
      <c r="I246" s="397">
        <v>70</v>
      </c>
      <c r="J246" s="793" t="s">
        <v>170</v>
      </c>
      <c r="K246" s="794"/>
      <c r="L246" s="795"/>
      <c r="R246"/>
      <c r="S246"/>
    </row>
    <row r="247" spans="1:19" ht="45">
      <c r="A247" s="396" t="s">
        <v>791</v>
      </c>
      <c r="B247" s="398">
        <v>2</v>
      </c>
      <c r="C247" s="398">
        <v>8</v>
      </c>
      <c r="D247" s="397">
        <v>65</v>
      </c>
      <c r="E247" s="85">
        <f t="shared" si="42"/>
        <v>2.2113638026311735</v>
      </c>
      <c r="F247" s="85">
        <f t="shared" si="43"/>
        <v>2.3356804038245178</v>
      </c>
      <c r="G247" s="398">
        <v>3</v>
      </c>
      <c r="H247" s="398">
        <v>5</v>
      </c>
      <c r="I247" s="397">
        <v>70</v>
      </c>
      <c r="J247" s="728"/>
      <c r="K247" s="729"/>
      <c r="L247" s="730"/>
      <c r="R247"/>
      <c r="S247"/>
    </row>
    <row r="248" spans="1:19" ht="45">
      <c r="A248" s="396" t="s">
        <v>792</v>
      </c>
      <c r="B248" s="688">
        <v>2</v>
      </c>
      <c r="C248" s="688">
        <v>8</v>
      </c>
      <c r="D248" s="689">
        <v>65</v>
      </c>
      <c r="E248" s="85">
        <f t="shared" si="42"/>
        <v>2.2113638026311735</v>
      </c>
      <c r="F248" s="85">
        <f t="shared" si="43"/>
        <v>2.3356804038245178</v>
      </c>
      <c r="G248" s="688">
        <v>3</v>
      </c>
      <c r="H248" s="688">
        <v>5</v>
      </c>
      <c r="I248" s="689">
        <v>70</v>
      </c>
      <c r="J248" s="728"/>
      <c r="K248" s="729"/>
      <c r="L248" s="730"/>
      <c r="R248"/>
      <c r="S248"/>
    </row>
    <row r="249" spans="1:19" ht="45.75" thickBot="1">
      <c r="A249" s="438" t="s">
        <v>793</v>
      </c>
      <c r="B249" s="442">
        <v>2</v>
      </c>
      <c r="C249" s="442">
        <v>8</v>
      </c>
      <c r="D249" s="441">
        <v>65</v>
      </c>
      <c r="E249" s="476">
        <f t="shared" si="42"/>
        <v>2.2113638026311735</v>
      </c>
      <c r="F249" s="476">
        <f t="shared" si="43"/>
        <v>2.3356804038245178</v>
      </c>
      <c r="G249" s="442">
        <v>4</v>
      </c>
      <c r="H249" s="442">
        <v>5</v>
      </c>
      <c r="I249" s="441">
        <v>70</v>
      </c>
      <c r="J249" s="779"/>
      <c r="K249" s="780"/>
      <c r="L249" s="781"/>
      <c r="R249"/>
      <c r="S249"/>
    </row>
    <row r="250" spans="1:19" ht="45.75" thickTop="1">
      <c r="A250" s="411" t="s">
        <v>407</v>
      </c>
      <c r="B250" s="451">
        <v>1</v>
      </c>
      <c r="C250" s="451">
        <v>5</v>
      </c>
      <c r="D250" s="452">
        <v>65</v>
      </c>
      <c r="E250" s="486">
        <f>($E$252*0.52*SQRT($C250)*D250^0.9*$B$215^0.8)/1000</f>
        <v>1.7482365878913895</v>
      </c>
      <c r="F250" s="453">
        <f>MIN($B$53*$D250*$B$52/1000,(2.3*SQRT($B$51*$B$53*$B$52))/1000+(E250/4),$B$53*$D250*$B$52*(SQRT(2+4*$B$51/($B$53*$D250^2*$B$52))-1)/1000+E250/4)</f>
        <v>2.2198986001395715</v>
      </c>
      <c r="G250" s="451">
        <v>2</v>
      </c>
      <c r="H250" s="451">
        <v>5</v>
      </c>
      <c r="I250" s="452">
        <v>70</v>
      </c>
      <c r="J250" s="453">
        <f>(0.3*0.52*SQRT($H250)*I250^0.9*$B$50^0.8)/1000</f>
        <v>1.8688154683555778</v>
      </c>
      <c r="K250" s="453">
        <f>MIN($C$53*$I250*$C$52/1000,(2.3*SQRT($C$51*$C$53*$C$52))/1000+(J250/4),$C$53*$I250*$C$53*(SQRT(2+4*$C$51/($C$53*$I250^2*$C$52))-1)/1000+J250/4)</f>
        <v>1.4223746078391131</v>
      </c>
      <c r="L250" s="453">
        <f>B250*F250+G250*K250</f>
        <v>5.0646478158177981</v>
      </c>
      <c r="R250"/>
      <c r="S250"/>
    </row>
    <row r="251" spans="1:19" ht="45">
      <c r="A251" s="411" t="s">
        <v>408</v>
      </c>
      <c r="B251" s="304">
        <v>1</v>
      </c>
      <c r="C251" s="304">
        <v>5</v>
      </c>
      <c r="D251" s="407">
        <v>65</v>
      </c>
      <c r="E251" s="85">
        <f>($E$252*0.52*SQRT($C251)*D251^0.9*$B$215^0.8)/1000</f>
        <v>1.7482365878913895</v>
      </c>
      <c r="F251" s="447">
        <f>MIN($B$53*$D251*$B$52/1000,(2.3*SQRT($B$51*$B$53*$B$52))/1000+(E251/4),$B$53*$D251*$B$52*(SQRT(2+4*$B$51/($B$53*$D251^2*$B$52))-1)/1000+E251/4)</f>
        <v>2.2198986001395715</v>
      </c>
      <c r="G251" s="304">
        <v>2</v>
      </c>
      <c r="H251" s="304">
        <v>5</v>
      </c>
      <c r="I251" s="407">
        <v>70</v>
      </c>
      <c r="J251" s="447">
        <f>(0.3*0.52*SQRT($H251)*I251^0.9*$B$50^0.8)/1000</f>
        <v>1.8688154683555778</v>
      </c>
      <c r="K251" s="447">
        <f>MIN($C$53*$I251*$C$52/1000,(2.3*SQRT($C$51*$C$53*$C$52))/1000+(J251/4),$C$53*$I251*$C$53*(SQRT(2+4*$C$51/($C$53*$I251^2*$C$52))-1)/1000+J251/4)</f>
        <v>1.4223746078391131</v>
      </c>
      <c r="L251" s="447">
        <f>B251*F251+G251*K251</f>
        <v>5.0646478158177981</v>
      </c>
      <c r="R251"/>
      <c r="S251"/>
    </row>
    <row r="252" spans="1:19">
      <c r="A252" s="91"/>
      <c r="D252" s="23" t="s">
        <v>308</v>
      </c>
      <c r="E252" s="430">
        <v>0.3</v>
      </c>
      <c r="N252" t="s">
        <v>171</v>
      </c>
      <c r="O252" t="s">
        <v>172</v>
      </c>
      <c r="P252" s="2" t="s">
        <v>187</v>
      </c>
      <c r="Q252" s="2" t="s">
        <v>187</v>
      </c>
      <c r="R252"/>
      <c r="S252"/>
    </row>
    <row r="253" spans="1:19">
      <c r="A253" s="3"/>
      <c r="N253" t="s">
        <v>175</v>
      </c>
      <c r="O253" t="s">
        <v>176</v>
      </c>
      <c r="P253" t="s">
        <v>177</v>
      </c>
      <c r="Q253" t="s">
        <v>178</v>
      </c>
      <c r="R253"/>
      <c r="S253"/>
    </row>
    <row r="254" spans="1:19" ht="18">
      <c r="A254" s="4" t="s">
        <v>2</v>
      </c>
      <c r="B254" s="5" t="s">
        <v>169</v>
      </c>
      <c r="C254" s="5" t="s">
        <v>154</v>
      </c>
      <c r="D254" s="5" t="s">
        <v>159</v>
      </c>
      <c r="E254" s="5" t="s">
        <v>179</v>
      </c>
      <c r="F254" s="5" t="s">
        <v>157</v>
      </c>
      <c r="G254" s="5" t="s">
        <v>180</v>
      </c>
      <c r="H254" s="5" t="s">
        <v>181</v>
      </c>
      <c r="I254" s="5" t="s">
        <v>182</v>
      </c>
      <c r="J254" s="165"/>
      <c r="K254" s="165"/>
      <c r="L254" s="165"/>
      <c r="N254" s="5" t="s">
        <v>181</v>
      </c>
      <c r="O254" s="5" t="s">
        <v>184</v>
      </c>
      <c r="P254" s="5" t="s">
        <v>184</v>
      </c>
      <c r="Q254" s="5" t="s">
        <v>184</v>
      </c>
      <c r="R254"/>
      <c r="S254"/>
    </row>
    <row r="255" spans="1:19">
      <c r="A255" s="8"/>
      <c r="B255" s="62" t="s">
        <v>17</v>
      </c>
      <c r="C255" s="9" t="s">
        <v>19</v>
      </c>
      <c r="D255" s="9" t="s">
        <v>78</v>
      </c>
      <c r="E255" s="9" t="s">
        <v>78</v>
      </c>
      <c r="F255" s="9" t="s">
        <v>18</v>
      </c>
      <c r="G255" s="9" t="s">
        <v>17</v>
      </c>
      <c r="H255" s="9" t="s">
        <v>18</v>
      </c>
      <c r="I255" s="9" t="s">
        <v>17</v>
      </c>
      <c r="J255" s="165"/>
      <c r="K255" s="165"/>
      <c r="L255" s="165"/>
      <c r="N255" s="9" t="s">
        <v>18</v>
      </c>
      <c r="O255" s="9" t="s">
        <v>18</v>
      </c>
      <c r="P255" s="9" t="s">
        <v>18</v>
      </c>
      <c r="Q255" s="9" t="s">
        <v>18</v>
      </c>
      <c r="R255"/>
      <c r="S255"/>
    </row>
    <row r="256" spans="1:19" ht="43.9" customHeight="1">
      <c r="A256" s="396" t="s">
        <v>385</v>
      </c>
      <c r="B256" s="788" t="s">
        <v>170</v>
      </c>
      <c r="C256" s="397">
        <v>2.8</v>
      </c>
      <c r="D256" s="398">
        <v>29</v>
      </c>
      <c r="E256" s="432">
        <v>43</v>
      </c>
      <c r="F256" s="433">
        <v>0</v>
      </c>
      <c r="G256" s="303">
        <f t="shared" ref="G256:G277" si="44">$F224/SQRT((1/$C256+F256/$D256)^2+(F256/$E256)^2)</f>
        <v>6.5399051307086493</v>
      </c>
      <c r="H256" s="433">
        <v>73</v>
      </c>
      <c r="I256" s="434">
        <f t="shared" ref="I256:I277" si="45">$F224/SQRT((1/$C256+H256/$D256)^2+(H256/$E256)^2)</f>
        <v>0.69966362556761941</v>
      </c>
      <c r="J256" s="100"/>
      <c r="K256" s="100"/>
      <c r="L256" s="100"/>
      <c r="N256" s="433">
        <v>73</v>
      </c>
      <c r="O256" s="433">
        <f>21+10+16+36/2</f>
        <v>65</v>
      </c>
      <c r="P256" s="433">
        <f>21+10+19+16/2</f>
        <v>58</v>
      </c>
      <c r="Q256" s="433">
        <f>21+10+19+52/2</f>
        <v>76</v>
      </c>
      <c r="R256"/>
      <c r="S256"/>
    </row>
    <row r="257" spans="1:19" ht="45">
      <c r="A257" s="396" t="s">
        <v>386</v>
      </c>
      <c r="B257" s="789"/>
      <c r="C257" s="397">
        <v>3.8</v>
      </c>
      <c r="D257" s="398">
        <v>42</v>
      </c>
      <c r="E257" s="432">
        <v>81</v>
      </c>
      <c r="F257" s="433">
        <v>0</v>
      </c>
      <c r="G257" s="303">
        <f t="shared" si="44"/>
        <v>8.8755855345331689</v>
      </c>
      <c r="H257" s="433">
        <v>83</v>
      </c>
      <c r="I257" s="434">
        <f t="shared" si="45"/>
        <v>0.94843965605745983</v>
      </c>
      <c r="J257" s="100"/>
      <c r="K257" s="100"/>
      <c r="L257" s="100"/>
      <c r="N257" s="433">
        <v>83</v>
      </c>
      <c r="O257" s="433">
        <f>31+10+16+36/2</f>
        <v>75</v>
      </c>
      <c r="P257" s="433">
        <f>31+10+19+16/2</f>
        <v>68</v>
      </c>
      <c r="Q257" s="433">
        <f>31+10+19+52/2</f>
        <v>86</v>
      </c>
      <c r="R257"/>
      <c r="S257"/>
    </row>
    <row r="258" spans="1:19" ht="45">
      <c r="A258" s="396" t="s">
        <v>387</v>
      </c>
      <c r="B258" s="789"/>
      <c r="C258" s="397">
        <v>5.6</v>
      </c>
      <c r="D258" s="398">
        <v>72</v>
      </c>
      <c r="E258" s="432">
        <v>212</v>
      </c>
      <c r="F258" s="433">
        <v>0</v>
      </c>
      <c r="G258" s="303">
        <f t="shared" si="44"/>
        <v>13.079810261417299</v>
      </c>
      <c r="H258" s="433">
        <v>93</v>
      </c>
      <c r="I258" s="434">
        <f t="shared" si="45"/>
        <v>1.5223220596940228</v>
      </c>
      <c r="J258" s="100"/>
      <c r="K258" s="100"/>
      <c r="L258" s="100"/>
      <c r="N258" s="433">
        <v>93</v>
      </c>
      <c r="O258" s="433">
        <f>41+10+16+36/2</f>
        <v>85</v>
      </c>
      <c r="P258" s="433">
        <f>41+10+19+16/2</f>
        <v>78</v>
      </c>
      <c r="Q258" s="433">
        <f>41+10+19+52/2</f>
        <v>96</v>
      </c>
      <c r="R258"/>
      <c r="S258"/>
    </row>
    <row r="259" spans="1:19" ht="45">
      <c r="A259" s="396" t="s">
        <v>388</v>
      </c>
      <c r="B259" s="789"/>
      <c r="C259" s="397">
        <v>7.3</v>
      </c>
      <c r="D259" s="398">
        <v>109</v>
      </c>
      <c r="E259" s="432">
        <v>433</v>
      </c>
      <c r="F259" s="433">
        <v>0</v>
      </c>
      <c r="G259" s="303">
        <f t="shared" si="44"/>
        <v>17.050466947918981</v>
      </c>
      <c r="H259" s="433">
        <v>103</v>
      </c>
      <c r="I259" s="434">
        <f t="shared" si="45"/>
        <v>2.1084306822776826</v>
      </c>
      <c r="J259" s="100"/>
      <c r="K259" s="100"/>
      <c r="L259" s="100"/>
      <c r="N259" s="433">
        <v>103</v>
      </c>
      <c r="O259" s="433">
        <f>51+10+16+36/2</f>
        <v>95</v>
      </c>
      <c r="P259" s="433">
        <f>51+10+19+16/2</f>
        <v>88</v>
      </c>
      <c r="Q259" s="433">
        <f>51+10+19+52/2</f>
        <v>106</v>
      </c>
      <c r="R259"/>
      <c r="S259"/>
    </row>
    <row r="260" spans="1:19" ht="45">
      <c r="A260" s="396" t="s">
        <v>389</v>
      </c>
      <c r="B260" s="789"/>
      <c r="C260" s="397">
        <v>9.1</v>
      </c>
      <c r="D260" s="398">
        <v>154</v>
      </c>
      <c r="E260" s="432">
        <v>767</v>
      </c>
      <c r="F260" s="433">
        <v>0</v>
      </c>
      <c r="G260" s="303">
        <f t="shared" si="44"/>
        <v>21.254691674803112</v>
      </c>
      <c r="H260" s="433">
        <v>113</v>
      </c>
      <c r="I260" s="434">
        <f t="shared" si="45"/>
        <v>2.7272490675802317</v>
      </c>
      <c r="J260" s="100"/>
      <c r="K260" s="100"/>
      <c r="L260" s="100"/>
      <c r="N260" s="433">
        <v>113</v>
      </c>
      <c r="O260" s="433">
        <f>61+10+16+36/2</f>
        <v>105</v>
      </c>
      <c r="P260" s="433">
        <f>61+10+19+16/2</f>
        <v>98</v>
      </c>
      <c r="Q260" s="433">
        <f>61+10+19+52/2</f>
        <v>116</v>
      </c>
      <c r="R260"/>
      <c r="S260"/>
    </row>
    <row r="261" spans="1:19" ht="45">
      <c r="A261" s="396" t="s">
        <v>390</v>
      </c>
      <c r="B261" s="789"/>
      <c r="C261" s="397">
        <v>10.9</v>
      </c>
      <c r="D261" s="398">
        <v>208</v>
      </c>
      <c r="E261" s="432">
        <v>1241</v>
      </c>
      <c r="F261" s="433">
        <v>0</v>
      </c>
      <c r="G261" s="303">
        <f t="shared" si="44"/>
        <v>25.458916401687247</v>
      </c>
      <c r="H261" s="433">
        <v>123</v>
      </c>
      <c r="I261" s="434">
        <f t="shared" si="45"/>
        <v>3.383855678405205</v>
      </c>
      <c r="J261" s="100"/>
      <c r="K261" s="100"/>
      <c r="L261" s="100"/>
      <c r="N261" s="433">
        <v>123</v>
      </c>
      <c r="O261" s="433">
        <f>71+10+16+36/2</f>
        <v>115</v>
      </c>
      <c r="P261" s="433">
        <f>71+10+19+16/2</f>
        <v>108</v>
      </c>
      <c r="Q261" s="433">
        <f>71+10+19+52/2</f>
        <v>126</v>
      </c>
      <c r="R261"/>
      <c r="S261"/>
    </row>
    <row r="262" spans="1:19" ht="45">
      <c r="A262" s="396" t="s">
        <v>391</v>
      </c>
      <c r="B262" s="789"/>
      <c r="C262" s="397">
        <v>6.6</v>
      </c>
      <c r="D262" s="398">
        <v>182</v>
      </c>
      <c r="E262" s="432">
        <v>1140</v>
      </c>
      <c r="F262" s="433">
        <v>0</v>
      </c>
      <c r="G262" s="303">
        <f t="shared" si="44"/>
        <v>15.415490665241817</v>
      </c>
      <c r="H262" s="433">
        <v>118</v>
      </c>
      <c r="I262" s="434">
        <f t="shared" si="45"/>
        <v>2.8959392357891027</v>
      </c>
      <c r="J262" s="100"/>
      <c r="K262" s="100"/>
      <c r="L262" s="100"/>
      <c r="N262" s="433">
        <v>118</v>
      </c>
      <c r="O262" s="433">
        <f>66+10+16+36/2</f>
        <v>110</v>
      </c>
      <c r="P262" s="433">
        <f>66+10+19+16/2</f>
        <v>103</v>
      </c>
      <c r="Q262" s="433">
        <f>66+10+19+52/2</f>
        <v>121</v>
      </c>
      <c r="R262"/>
      <c r="S262"/>
    </row>
    <row r="263" spans="1:19" ht="45">
      <c r="A263" s="396" t="s">
        <v>392</v>
      </c>
      <c r="B263" s="789"/>
      <c r="C263" s="397">
        <v>10.1</v>
      </c>
      <c r="D263" s="398">
        <v>319</v>
      </c>
      <c r="E263" s="432">
        <v>2603</v>
      </c>
      <c r="F263" s="433">
        <v>0</v>
      </c>
      <c r="G263" s="303">
        <f t="shared" si="44"/>
        <v>23.590372078627627</v>
      </c>
      <c r="H263" s="433">
        <v>139</v>
      </c>
      <c r="I263" s="434">
        <f t="shared" si="45"/>
        <v>4.3462101466486533</v>
      </c>
      <c r="J263" s="100"/>
      <c r="K263" s="100"/>
      <c r="L263" s="100"/>
      <c r="N263" s="433">
        <v>139</v>
      </c>
      <c r="O263" s="433">
        <f>87+10+16+36/2</f>
        <v>131</v>
      </c>
      <c r="P263" s="433">
        <f>87+10+19+16/2</f>
        <v>124</v>
      </c>
      <c r="Q263" s="433">
        <f>87+10+19+52/2</f>
        <v>142</v>
      </c>
      <c r="R263"/>
      <c r="S263"/>
    </row>
    <row r="264" spans="1:19" ht="45">
      <c r="A264" s="396" t="s">
        <v>393</v>
      </c>
      <c r="B264" s="789"/>
      <c r="C264" s="397">
        <v>13.7</v>
      </c>
      <c r="D264" s="398">
        <v>486</v>
      </c>
      <c r="E264" s="432">
        <v>4918</v>
      </c>
      <c r="F264" s="433">
        <v>0</v>
      </c>
      <c r="G264" s="303">
        <f t="shared" si="44"/>
        <v>31.99882153239589</v>
      </c>
      <c r="H264" s="433">
        <v>162</v>
      </c>
      <c r="I264" s="434">
        <f t="shared" si="45"/>
        <v>5.7294947405109848</v>
      </c>
      <c r="J264" s="100"/>
      <c r="K264" s="100"/>
      <c r="L264" s="100"/>
      <c r="N264" s="433">
        <v>162</v>
      </c>
      <c r="O264" s="433">
        <f>110+10+16+36/2</f>
        <v>154</v>
      </c>
      <c r="P264" s="433">
        <f>110+10+19+16/2</f>
        <v>147</v>
      </c>
      <c r="Q264" s="433">
        <f>110+10+19+52/2</f>
        <v>165</v>
      </c>
      <c r="R264"/>
      <c r="S264"/>
    </row>
    <row r="265" spans="1:19" ht="45">
      <c r="A265" s="396" t="s">
        <v>394</v>
      </c>
      <c r="B265" s="789"/>
      <c r="C265" s="397">
        <v>13.7</v>
      </c>
      <c r="D265" s="398">
        <v>486</v>
      </c>
      <c r="E265" s="432">
        <v>4918</v>
      </c>
      <c r="F265" s="433">
        <v>0</v>
      </c>
      <c r="G265" s="303">
        <f t="shared" si="44"/>
        <v>31.99882153239589</v>
      </c>
      <c r="H265" s="154">
        <f>53/2+16+10+130</f>
        <v>182.5</v>
      </c>
      <c r="I265" s="434">
        <f t="shared" si="45"/>
        <v>5.189943829273024</v>
      </c>
      <c r="J265" s="100"/>
      <c r="K265" s="100"/>
      <c r="L265" s="100"/>
      <c r="N265" s="437"/>
      <c r="O265" s="437"/>
      <c r="P265" s="437"/>
      <c r="Q265" s="437"/>
      <c r="R265"/>
      <c r="S265"/>
    </row>
    <row r="266" spans="1:19" ht="45.75" thickBot="1">
      <c r="A266" s="438" t="s">
        <v>395</v>
      </c>
      <c r="B266" s="790"/>
      <c r="C266" s="441">
        <v>13.7</v>
      </c>
      <c r="D266" s="442">
        <v>486</v>
      </c>
      <c r="E266" s="480">
        <v>4918</v>
      </c>
      <c r="F266" s="481">
        <v>0</v>
      </c>
      <c r="G266" s="475">
        <f t="shared" si="44"/>
        <v>31.99882153239589</v>
      </c>
      <c r="H266" s="493">
        <f>53/2+16+10+150</f>
        <v>202.5</v>
      </c>
      <c r="I266" s="482">
        <f t="shared" si="45"/>
        <v>4.7532350477089675</v>
      </c>
      <c r="J266" s="100"/>
      <c r="K266" s="100"/>
      <c r="L266" s="100"/>
      <c r="N266" s="437"/>
      <c r="O266" s="437"/>
      <c r="P266" s="437"/>
      <c r="Q266" s="437"/>
      <c r="R266"/>
      <c r="S266"/>
    </row>
    <row r="267" spans="1:19" ht="47.45" customHeight="1" thickTop="1">
      <c r="A267" s="411" t="s">
        <v>396</v>
      </c>
      <c r="B267" s="776" t="s">
        <v>170</v>
      </c>
      <c r="C267" s="412">
        <v>2.8</v>
      </c>
      <c r="D267" s="413">
        <v>26</v>
      </c>
      <c r="E267" s="483">
        <v>51</v>
      </c>
      <c r="F267" s="484">
        <v>0</v>
      </c>
      <c r="G267" s="420">
        <f t="shared" si="44"/>
        <v>6.5399051307086493</v>
      </c>
      <c r="H267" s="484">
        <v>0</v>
      </c>
      <c r="I267" s="485">
        <f t="shared" si="45"/>
        <v>6.5399051307086493</v>
      </c>
      <c r="J267" s="100"/>
      <c r="K267" s="100"/>
      <c r="L267" s="100"/>
      <c r="N267" s="437"/>
      <c r="O267" s="437"/>
      <c r="P267" s="437"/>
      <c r="Q267" s="437"/>
      <c r="R267"/>
      <c r="S267"/>
    </row>
    <row r="268" spans="1:19" ht="45">
      <c r="A268" s="396" t="s">
        <v>397</v>
      </c>
      <c r="B268" s="723"/>
      <c r="C268" s="397">
        <v>3.8</v>
      </c>
      <c r="D268" s="398">
        <v>46</v>
      </c>
      <c r="E268" s="432">
        <v>131</v>
      </c>
      <c r="F268" s="433">
        <v>0</v>
      </c>
      <c r="G268" s="303">
        <f t="shared" si="44"/>
        <v>8.8755855345331689</v>
      </c>
      <c r="H268" s="433">
        <v>0</v>
      </c>
      <c r="I268" s="434">
        <f t="shared" si="45"/>
        <v>8.8755855345331689</v>
      </c>
      <c r="J268" s="100"/>
      <c r="K268" s="100"/>
      <c r="L268" s="100"/>
      <c r="N268" s="437"/>
      <c r="O268" s="437"/>
      <c r="P268" s="437"/>
      <c r="Q268" s="437"/>
      <c r="R268"/>
      <c r="S268"/>
    </row>
    <row r="269" spans="1:19" ht="45">
      <c r="A269" s="396" t="s">
        <v>398</v>
      </c>
      <c r="B269" s="723"/>
      <c r="C269" s="397">
        <v>5.6</v>
      </c>
      <c r="D269" s="398">
        <v>74</v>
      </c>
      <c r="E269" s="432">
        <v>307</v>
      </c>
      <c r="F269" s="433">
        <v>0</v>
      </c>
      <c r="G269" s="303">
        <f t="shared" si="44"/>
        <v>13.079810261417299</v>
      </c>
      <c r="H269" s="433">
        <v>0</v>
      </c>
      <c r="I269" s="434">
        <f t="shared" si="45"/>
        <v>13.079810261417299</v>
      </c>
      <c r="J269" s="100"/>
      <c r="K269" s="100"/>
      <c r="L269" s="100"/>
      <c r="N269" s="437"/>
      <c r="O269" s="437"/>
      <c r="P269" s="437"/>
      <c r="Q269" s="437"/>
      <c r="R269"/>
      <c r="S269"/>
    </row>
    <row r="270" spans="1:19" ht="45">
      <c r="A270" s="396" t="s">
        <v>399</v>
      </c>
      <c r="B270" s="723"/>
      <c r="C270" s="397">
        <v>7.3</v>
      </c>
      <c r="D270" s="398">
        <v>110</v>
      </c>
      <c r="E270" s="432">
        <v>595</v>
      </c>
      <c r="F270" s="433">
        <v>0</v>
      </c>
      <c r="G270" s="303">
        <f t="shared" si="44"/>
        <v>17.050466947918981</v>
      </c>
      <c r="H270" s="433">
        <v>0</v>
      </c>
      <c r="I270" s="434">
        <f t="shared" si="45"/>
        <v>17.050466947918981</v>
      </c>
      <c r="J270" s="100"/>
      <c r="K270" s="100"/>
      <c r="L270" s="100"/>
      <c r="N270" s="437"/>
      <c r="O270" s="437"/>
      <c r="P270" s="437"/>
      <c r="Q270" s="437"/>
      <c r="R270"/>
      <c r="S270"/>
    </row>
    <row r="271" spans="1:19" ht="45">
      <c r="A271" s="396" t="s">
        <v>400</v>
      </c>
      <c r="B271" s="723"/>
      <c r="C271" s="397">
        <v>9.1</v>
      </c>
      <c r="D271" s="398">
        <v>153</v>
      </c>
      <c r="E271" s="432">
        <v>1025</v>
      </c>
      <c r="F271" s="433">
        <v>0</v>
      </c>
      <c r="G271" s="303">
        <f t="shared" si="44"/>
        <v>21.254691674803112</v>
      </c>
      <c r="H271" s="433">
        <v>0</v>
      </c>
      <c r="I271" s="434">
        <f t="shared" si="45"/>
        <v>21.254691674803112</v>
      </c>
      <c r="J271" s="100"/>
      <c r="K271" s="100"/>
      <c r="L271" s="100"/>
      <c r="N271" s="437"/>
      <c r="O271" s="437"/>
      <c r="P271" s="437"/>
      <c r="Q271" s="437"/>
      <c r="R271"/>
      <c r="S271"/>
    </row>
    <row r="272" spans="1:19" ht="45">
      <c r="A272" s="396" t="s">
        <v>401</v>
      </c>
      <c r="B272" s="723"/>
      <c r="C272" s="397">
        <v>10.9</v>
      </c>
      <c r="D272" s="398">
        <v>205</v>
      </c>
      <c r="E272" s="432">
        <v>1629</v>
      </c>
      <c r="F272" s="433">
        <v>0</v>
      </c>
      <c r="G272" s="303">
        <f t="shared" si="44"/>
        <v>25.458916401687247</v>
      </c>
      <c r="H272" s="433">
        <v>0</v>
      </c>
      <c r="I272" s="434">
        <f t="shared" si="45"/>
        <v>25.458916401687247</v>
      </c>
      <c r="J272" s="100"/>
      <c r="K272" s="100"/>
      <c r="L272" s="100"/>
      <c r="N272" s="437"/>
      <c r="O272" s="437"/>
      <c r="P272" s="437"/>
      <c r="Q272" s="437"/>
      <c r="R272"/>
      <c r="S272"/>
    </row>
    <row r="273" spans="1:19" ht="45">
      <c r="A273" s="396" t="s">
        <v>402</v>
      </c>
      <c r="B273" s="723"/>
      <c r="C273" s="397">
        <v>6.6</v>
      </c>
      <c r="D273" s="398">
        <v>181</v>
      </c>
      <c r="E273" s="432">
        <v>1414</v>
      </c>
      <c r="F273" s="433">
        <v>0</v>
      </c>
      <c r="G273" s="303">
        <f t="shared" si="44"/>
        <v>15.415490665241817</v>
      </c>
      <c r="H273" s="433">
        <v>0</v>
      </c>
      <c r="I273" s="434">
        <f t="shared" si="45"/>
        <v>15.415490665241817</v>
      </c>
      <c r="J273" s="100"/>
      <c r="K273" s="100"/>
      <c r="L273" s="100"/>
      <c r="N273" s="437"/>
      <c r="O273" s="437"/>
      <c r="P273" s="437"/>
      <c r="Q273" s="437"/>
      <c r="R273"/>
      <c r="S273"/>
    </row>
    <row r="274" spans="1:19" ht="45">
      <c r="A274" s="396" t="s">
        <v>403</v>
      </c>
      <c r="B274" s="723"/>
      <c r="C274" s="397">
        <v>10.1</v>
      </c>
      <c r="D274" s="398">
        <v>317</v>
      </c>
      <c r="E274" s="432">
        <v>3232</v>
      </c>
      <c r="F274" s="433">
        <v>0</v>
      </c>
      <c r="G274" s="303">
        <f t="shared" si="44"/>
        <v>23.590372078627627</v>
      </c>
      <c r="H274" s="433">
        <v>0</v>
      </c>
      <c r="I274" s="434">
        <f t="shared" si="45"/>
        <v>23.590372078627627</v>
      </c>
      <c r="J274" s="100"/>
      <c r="K274" s="100"/>
      <c r="L274" s="100"/>
      <c r="N274" s="437"/>
      <c r="O274" s="437"/>
      <c r="P274" s="437"/>
      <c r="Q274" s="437"/>
      <c r="R274"/>
      <c r="S274"/>
    </row>
    <row r="275" spans="1:19" ht="45">
      <c r="A275" s="396" t="s">
        <v>404</v>
      </c>
      <c r="B275" s="723"/>
      <c r="C275" s="397">
        <v>13.7</v>
      </c>
      <c r="D275" s="398">
        <v>483</v>
      </c>
      <c r="E275" s="432">
        <v>6114</v>
      </c>
      <c r="F275" s="433">
        <v>0</v>
      </c>
      <c r="G275" s="303">
        <f t="shared" si="44"/>
        <v>31.99882153239589</v>
      </c>
      <c r="H275" s="433">
        <v>0</v>
      </c>
      <c r="I275" s="434">
        <f t="shared" si="45"/>
        <v>31.99882153239589</v>
      </c>
      <c r="J275" s="100"/>
      <c r="K275" s="100"/>
      <c r="L275" s="100"/>
      <c r="N275" s="437"/>
      <c r="O275" s="437"/>
      <c r="P275" s="437"/>
      <c r="Q275" s="437"/>
      <c r="R275"/>
      <c r="S275"/>
    </row>
    <row r="276" spans="1:19" ht="45">
      <c r="A276" s="396" t="s">
        <v>405</v>
      </c>
      <c r="B276" s="723"/>
      <c r="C276" s="397">
        <v>13.7</v>
      </c>
      <c r="D276" s="398">
        <v>483</v>
      </c>
      <c r="E276" s="432">
        <v>6114</v>
      </c>
      <c r="F276" s="433">
        <v>0</v>
      </c>
      <c r="G276" s="303">
        <f t="shared" si="44"/>
        <v>31.99882153239589</v>
      </c>
      <c r="H276" s="433">
        <v>0</v>
      </c>
      <c r="I276" s="434">
        <f t="shared" si="45"/>
        <v>31.99882153239589</v>
      </c>
      <c r="J276" s="100"/>
      <c r="K276" s="100"/>
      <c r="L276" s="100"/>
      <c r="N276" s="437"/>
      <c r="O276" s="437"/>
      <c r="P276" s="437"/>
      <c r="Q276" s="437"/>
      <c r="R276"/>
      <c r="S276"/>
    </row>
    <row r="277" spans="1:19" ht="45.75" thickBot="1">
      <c r="A277" s="438" t="s">
        <v>406</v>
      </c>
      <c r="B277" s="723"/>
      <c r="C277" s="441">
        <v>13.7</v>
      </c>
      <c r="D277" s="442">
        <v>483</v>
      </c>
      <c r="E277" s="480">
        <v>6114</v>
      </c>
      <c r="F277" s="481">
        <v>0</v>
      </c>
      <c r="G277" s="475">
        <f t="shared" si="44"/>
        <v>31.99882153239589</v>
      </c>
      <c r="H277" s="481">
        <v>0</v>
      </c>
      <c r="I277" s="482">
        <f t="shared" si="45"/>
        <v>31.99882153239589</v>
      </c>
      <c r="J277" s="100"/>
      <c r="K277" s="100"/>
      <c r="L277" s="100"/>
      <c r="N277" s="437"/>
      <c r="O277" s="437"/>
      <c r="P277" s="437"/>
      <c r="Q277" s="437"/>
      <c r="R277"/>
      <c r="S277"/>
    </row>
    <row r="278" spans="1:19" ht="45.75" thickTop="1">
      <c r="A278" s="411" t="s">
        <v>790</v>
      </c>
      <c r="B278" s="723"/>
      <c r="C278" s="397">
        <v>3.3</v>
      </c>
      <c r="D278" s="398">
        <v>69</v>
      </c>
      <c r="E278" s="432">
        <v>100000</v>
      </c>
      <c r="F278" s="433">
        <v>0</v>
      </c>
      <c r="G278" s="397">
        <f t="shared" ref="G278:G281" si="46">$F246/SQRT((1/$C278+F278/$D278)^2+(F278/$E278)^2)</f>
        <v>7.7077453326209087</v>
      </c>
      <c r="H278" s="433">
        <v>0</v>
      </c>
      <c r="I278" s="498">
        <f t="shared" ref="I278:I281" si="47">$F246/SQRT((1/$C278+H278/$D278)^2+(H278/$E278)^2)</f>
        <v>7.7077453326209087</v>
      </c>
      <c r="J278" s="100"/>
      <c r="K278" s="100"/>
      <c r="L278" s="100"/>
      <c r="N278" s="437"/>
      <c r="O278" s="437"/>
      <c r="P278" s="437"/>
      <c r="Q278" s="437"/>
      <c r="R278"/>
      <c r="S278"/>
    </row>
    <row r="279" spans="1:19" ht="45">
      <c r="A279" s="396" t="s">
        <v>791</v>
      </c>
      <c r="B279" s="723"/>
      <c r="C279" s="397">
        <v>4</v>
      </c>
      <c r="D279" s="398">
        <v>99</v>
      </c>
      <c r="E279" s="432">
        <v>100000</v>
      </c>
      <c r="F279" s="433">
        <v>0</v>
      </c>
      <c r="G279" s="397">
        <f t="shared" si="46"/>
        <v>9.3427216152980712</v>
      </c>
      <c r="H279" s="433">
        <v>0</v>
      </c>
      <c r="I279" s="498">
        <f t="shared" si="47"/>
        <v>9.3427216152980712</v>
      </c>
      <c r="J279" s="100"/>
      <c r="K279" s="100"/>
      <c r="L279" s="100"/>
      <c r="N279" s="437"/>
      <c r="O279" s="437"/>
      <c r="P279" s="437"/>
      <c r="Q279" s="437"/>
      <c r="R279"/>
      <c r="S279"/>
    </row>
    <row r="280" spans="1:19" ht="45">
      <c r="A280" s="396" t="s">
        <v>792</v>
      </c>
      <c r="B280" s="723"/>
      <c r="C280" s="397">
        <v>4</v>
      </c>
      <c r="D280" s="398">
        <v>123</v>
      </c>
      <c r="E280" s="432">
        <v>100000</v>
      </c>
      <c r="F280" s="433">
        <v>0</v>
      </c>
      <c r="G280" s="397">
        <f t="shared" si="46"/>
        <v>9.3427216152980712</v>
      </c>
      <c r="H280" s="433">
        <v>0</v>
      </c>
      <c r="I280" s="498">
        <f t="shared" si="47"/>
        <v>9.3427216152980712</v>
      </c>
      <c r="J280" s="100"/>
      <c r="K280" s="100"/>
      <c r="L280" s="100"/>
      <c r="N280" s="437"/>
      <c r="O280" s="437"/>
      <c r="P280" s="437"/>
      <c r="Q280" s="437"/>
      <c r="R280"/>
      <c r="S280"/>
    </row>
    <row r="281" spans="1:19" ht="45.75" thickBot="1">
      <c r="A281" s="438" t="s">
        <v>793</v>
      </c>
      <c r="B281" s="723"/>
      <c r="C281" s="441">
        <v>4.7</v>
      </c>
      <c r="D281" s="442">
        <v>159</v>
      </c>
      <c r="E281" s="480">
        <v>100000</v>
      </c>
      <c r="F281" s="481">
        <v>0</v>
      </c>
      <c r="G281" s="441">
        <f t="shared" si="46"/>
        <v>10.977697897975233</v>
      </c>
      <c r="H281" s="481">
        <v>0</v>
      </c>
      <c r="I281" s="500">
        <f t="shared" si="47"/>
        <v>10.977697897975233</v>
      </c>
      <c r="J281" s="100"/>
      <c r="K281" s="100"/>
      <c r="L281" s="100"/>
      <c r="N281" s="437"/>
      <c r="O281" s="437"/>
      <c r="P281" s="437"/>
      <c r="Q281" s="437"/>
      <c r="R281"/>
      <c r="S281"/>
    </row>
    <row r="282" spans="1:19" ht="45.75" thickTop="1">
      <c r="A282" s="411" t="s">
        <v>407</v>
      </c>
      <c r="B282" s="723"/>
      <c r="C282" s="412">
        <v>2.7</v>
      </c>
      <c r="D282" s="413">
        <v>23</v>
      </c>
      <c r="E282" s="483">
        <v>0</v>
      </c>
      <c r="F282" s="484">
        <v>0</v>
      </c>
      <c r="G282" s="420">
        <f>$F250/SQRT((1/$C282+F282/$D282)^2)</f>
        <v>5.9937262203768435</v>
      </c>
      <c r="H282" s="484">
        <v>0</v>
      </c>
      <c r="I282" s="485">
        <f>$F250/SQRT((1/$C282+H282/$D282)^2)</f>
        <v>5.9937262203768435</v>
      </c>
      <c r="J282" s="100"/>
      <c r="K282" s="100"/>
      <c r="L282" s="100"/>
      <c r="N282" s="437"/>
      <c r="O282" s="437"/>
      <c r="P282" s="437"/>
      <c r="Q282" s="437"/>
      <c r="R282"/>
      <c r="S282"/>
    </row>
    <row r="283" spans="1:19" ht="45">
      <c r="A283" s="411" t="s">
        <v>408</v>
      </c>
      <c r="B283" s="724"/>
      <c r="C283" s="397">
        <v>2.7</v>
      </c>
      <c r="D283" s="398">
        <v>25</v>
      </c>
      <c r="E283" s="432">
        <v>0</v>
      </c>
      <c r="F283" s="433">
        <v>0</v>
      </c>
      <c r="G283" s="303">
        <f>$F251/SQRT((1/$C283+F283/$D283)^2)</f>
        <v>5.9937262203768435</v>
      </c>
      <c r="H283" s="433">
        <v>0</v>
      </c>
      <c r="I283" s="434">
        <f>$F251/SQRT((1/$C283+H283/$D283)^2)</f>
        <v>5.9937262203768435</v>
      </c>
      <c r="J283" s="100"/>
      <c r="K283" s="100"/>
      <c r="L283" s="100"/>
      <c r="N283" s="437"/>
      <c r="O283" s="437"/>
      <c r="P283" s="437"/>
      <c r="Q283" s="437"/>
      <c r="R283"/>
      <c r="S283"/>
    </row>
    <row r="284" spans="1:19">
      <c r="A284" s="3"/>
      <c r="R284"/>
      <c r="S284"/>
    </row>
    <row r="285" spans="1:19">
      <c r="A285" s="3"/>
      <c r="R285"/>
      <c r="S285"/>
    </row>
    <row r="286" spans="1:19" ht="18">
      <c r="A286" s="4" t="s">
        <v>2</v>
      </c>
      <c r="B286" s="5" t="s">
        <v>43</v>
      </c>
      <c r="C286" s="5" t="s">
        <v>9</v>
      </c>
      <c r="D286" s="5" t="s">
        <v>44</v>
      </c>
      <c r="E286" s="5" t="s">
        <v>69</v>
      </c>
      <c r="F286" s="5" t="s">
        <v>70</v>
      </c>
      <c r="G286" s="5" t="s">
        <v>43</v>
      </c>
      <c r="H286" s="5" t="s">
        <v>9</v>
      </c>
      <c r="I286" s="5" t="s">
        <v>44</v>
      </c>
      <c r="J286" s="5" t="s">
        <v>69</v>
      </c>
      <c r="K286" s="5" t="s">
        <v>70</v>
      </c>
      <c r="L286" s="5" t="s">
        <v>185</v>
      </c>
      <c r="R286"/>
      <c r="S286"/>
    </row>
    <row r="287" spans="1:19">
      <c r="A287" s="8"/>
      <c r="B287" s="9" t="s">
        <v>19</v>
      </c>
      <c r="C287" s="9" t="s">
        <v>18</v>
      </c>
      <c r="D287" s="9" t="s">
        <v>18</v>
      </c>
      <c r="E287" s="9" t="s">
        <v>17</v>
      </c>
      <c r="F287" s="9" t="s">
        <v>17</v>
      </c>
      <c r="G287" s="9" t="s">
        <v>19</v>
      </c>
      <c r="H287" s="9" t="s">
        <v>18</v>
      </c>
      <c r="I287" s="9" t="s">
        <v>18</v>
      </c>
      <c r="J287" s="9" t="s">
        <v>17</v>
      </c>
      <c r="K287" s="9" t="s">
        <v>17</v>
      </c>
      <c r="L287" s="62" t="s">
        <v>17</v>
      </c>
      <c r="R287"/>
      <c r="S287"/>
    </row>
    <row r="288" spans="1:19" ht="45">
      <c r="A288" s="396" t="s">
        <v>385</v>
      </c>
      <c r="B288" s="63">
        <v>1</v>
      </c>
      <c r="C288" s="63">
        <v>8</v>
      </c>
      <c r="D288" s="303">
        <v>35</v>
      </c>
      <c r="E288" s="85">
        <f>(0.52*SQRT($C288)*D288^0.9*$B$215^0.8)/1000</f>
        <v>4.2225826668958426</v>
      </c>
      <c r="F288" s="85">
        <f t="shared" ref="F288:F309" si="48">MIN(2.3*SQRT($B$216*$B$219*$B$217)/1000+(E288/4),$B$219*$B$217*D288/1000,$B$219*$B$217*D288/1000*(SQRT(2+4*$B$216/($B$219*$B$217*D288^2))-1)+E288/4)</f>
        <v>3.5986908599833538</v>
      </c>
      <c r="G288" s="63">
        <v>2</v>
      </c>
      <c r="H288" s="63">
        <v>5</v>
      </c>
      <c r="I288" s="303">
        <v>45</v>
      </c>
      <c r="J288" s="725" t="s">
        <v>170</v>
      </c>
      <c r="K288" s="726"/>
      <c r="L288" s="727"/>
      <c r="R288"/>
      <c r="S288"/>
    </row>
    <row r="289" spans="1:19" ht="45">
      <c r="A289" s="396" t="s">
        <v>386</v>
      </c>
      <c r="B289" s="63">
        <v>2</v>
      </c>
      <c r="C289" s="63">
        <v>8</v>
      </c>
      <c r="D289" s="303">
        <v>35</v>
      </c>
      <c r="E289" s="85">
        <f t="shared" ref="E289:E309" si="49">(0.52*SQRT($C289)*D289^0.9*$B$215^0.8)/1000</f>
        <v>4.2225826668958426</v>
      </c>
      <c r="F289" s="85">
        <f t="shared" si="48"/>
        <v>3.5986908599833538</v>
      </c>
      <c r="G289" s="63">
        <v>2</v>
      </c>
      <c r="H289" s="63">
        <v>5</v>
      </c>
      <c r="I289" s="303">
        <v>45</v>
      </c>
      <c r="J289" s="728"/>
      <c r="K289" s="729"/>
      <c r="L289" s="730"/>
      <c r="R289"/>
      <c r="S289"/>
    </row>
    <row r="290" spans="1:19" ht="45">
      <c r="A290" s="396" t="s">
        <v>387</v>
      </c>
      <c r="B290" s="63">
        <v>2</v>
      </c>
      <c r="C290" s="63">
        <v>8</v>
      </c>
      <c r="D290" s="303">
        <v>35</v>
      </c>
      <c r="E290" s="85">
        <f t="shared" si="49"/>
        <v>4.2225826668958426</v>
      </c>
      <c r="F290" s="85">
        <f t="shared" si="48"/>
        <v>3.5986908599833538</v>
      </c>
      <c r="G290" s="63">
        <v>4</v>
      </c>
      <c r="H290" s="63">
        <v>5</v>
      </c>
      <c r="I290" s="303">
        <v>45</v>
      </c>
      <c r="J290" s="728"/>
      <c r="K290" s="729"/>
      <c r="L290" s="730"/>
      <c r="R290"/>
      <c r="S290"/>
    </row>
    <row r="291" spans="1:19" ht="45">
      <c r="A291" s="396" t="s">
        <v>388</v>
      </c>
      <c r="B291" s="63">
        <v>2</v>
      </c>
      <c r="C291" s="63">
        <v>8</v>
      </c>
      <c r="D291" s="303">
        <v>35</v>
      </c>
      <c r="E291" s="85">
        <f t="shared" si="49"/>
        <v>4.2225826668958426</v>
      </c>
      <c r="F291" s="85">
        <f t="shared" si="48"/>
        <v>3.5986908599833538</v>
      </c>
      <c r="G291" s="63">
        <v>6</v>
      </c>
      <c r="H291" s="63">
        <v>5</v>
      </c>
      <c r="I291" s="303">
        <v>45</v>
      </c>
      <c r="J291" s="728"/>
      <c r="K291" s="729"/>
      <c r="L291" s="730"/>
      <c r="R291"/>
      <c r="S291"/>
    </row>
    <row r="292" spans="1:19" ht="45">
      <c r="A292" s="396" t="s">
        <v>389</v>
      </c>
      <c r="B292" s="63">
        <v>2</v>
      </c>
      <c r="C292" s="63">
        <v>8</v>
      </c>
      <c r="D292" s="303">
        <v>35</v>
      </c>
      <c r="E292" s="85">
        <f t="shared" si="49"/>
        <v>4.2225826668958426</v>
      </c>
      <c r="F292" s="85">
        <f t="shared" si="48"/>
        <v>3.5986908599833538</v>
      </c>
      <c r="G292" s="63">
        <v>8</v>
      </c>
      <c r="H292" s="63">
        <v>5</v>
      </c>
      <c r="I292" s="303">
        <v>45</v>
      </c>
      <c r="J292" s="728"/>
      <c r="K292" s="729"/>
      <c r="L292" s="730"/>
      <c r="R292"/>
      <c r="S292"/>
    </row>
    <row r="293" spans="1:19" ht="45">
      <c r="A293" s="396" t="s">
        <v>390</v>
      </c>
      <c r="B293" s="63">
        <v>2</v>
      </c>
      <c r="C293" s="63">
        <v>8</v>
      </c>
      <c r="D293" s="303">
        <v>35</v>
      </c>
      <c r="E293" s="85">
        <f t="shared" si="49"/>
        <v>4.2225826668958426</v>
      </c>
      <c r="F293" s="85">
        <f t="shared" si="48"/>
        <v>3.5986908599833538</v>
      </c>
      <c r="G293" s="63">
        <v>10</v>
      </c>
      <c r="H293" s="63">
        <v>5</v>
      </c>
      <c r="I293" s="303">
        <v>45</v>
      </c>
      <c r="J293" s="728"/>
      <c r="K293" s="729"/>
      <c r="L293" s="730"/>
      <c r="R293"/>
      <c r="S293"/>
    </row>
    <row r="294" spans="1:19" ht="45">
      <c r="A294" s="396" t="s">
        <v>391</v>
      </c>
      <c r="B294" s="63">
        <v>3</v>
      </c>
      <c r="C294" s="63">
        <v>8</v>
      </c>
      <c r="D294" s="303">
        <v>35</v>
      </c>
      <c r="E294" s="85">
        <f t="shared" si="49"/>
        <v>4.2225826668958426</v>
      </c>
      <c r="F294" s="85">
        <f t="shared" si="48"/>
        <v>3.5986908599833538</v>
      </c>
      <c r="G294" s="63">
        <v>4</v>
      </c>
      <c r="H294" s="63">
        <v>5</v>
      </c>
      <c r="I294" s="303">
        <v>45</v>
      </c>
      <c r="J294" s="728"/>
      <c r="K294" s="729"/>
      <c r="L294" s="730"/>
      <c r="R294"/>
      <c r="S294"/>
    </row>
    <row r="295" spans="1:19" ht="45">
      <c r="A295" s="396" t="s">
        <v>392</v>
      </c>
      <c r="B295" s="63">
        <v>3</v>
      </c>
      <c r="C295" s="63">
        <v>8</v>
      </c>
      <c r="D295" s="303">
        <v>35</v>
      </c>
      <c r="E295" s="85">
        <f t="shared" si="49"/>
        <v>4.2225826668958426</v>
      </c>
      <c r="F295" s="85">
        <f t="shared" si="48"/>
        <v>3.5986908599833538</v>
      </c>
      <c r="G295" s="63">
        <v>8</v>
      </c>
      <c r="H295" s="63">
        <v>5</v>
      </c>
      <c r="I295" s="303">
        <v>45</v>
      </c>
      <c r="J295" s="728"/>
      <c r="K295" s="729"/>
      <c r="L295" s="730"/>
      <c r="R295"/>
      <c r="S295"/>
    </row>
    <row r="296" spans="1:19" ht="45">
      <c r="A296" s="396" t="s">
        <v>393</v>
      </c>
      <c r="B296" s="63">
        <v>3</v>
      </c>
      <c r="C296" s="63">
        <v>8</v>
      </c>
      <c r="D296" s="303">
        <v>35</v>
      </c>
      <c r="E296" s="85">
        <f t="shared" si="49"/>
        <v>4.2225826668958426</v>
      </c>
      <c r="F296" s="85">
        <f t="shared" si="48"/>
        <v>3.5986908599833538</v>
      </c>
      <c r="G296" s="63">
        <v>12</v>
      </c>
      <c r="H296" s="63">
        <v>5</v>
      </c>
      <c r="I296" s="303">
        <v>45</v>
      </c>
      <c r="J296" s="728"/>
      <c r="K296" s="729"/>
      <c r="L296" s="730"/>
      <c r="R296"/>
      <c r="S296"/>
    </row>
    <row r="297" spans="1:19" ht="45">
      <c r="A297" s="396" t="s">
        <v>394</v>
      </c>
      <c r="B297" s="63">
        <v>3</v>
      </c>
      <c r="C297" s="63">
        <v>8</v>
      </c>
      <c r="D297" s="303">
        <v>35</v>
      </c>
      <c r="E297" s="85">
        <f t="shared" si="49"/>
        <v>4.2225826668958426</v>
      </c>
      <c r="F297" s="85">
        <f t="shared" si="48"/>
        <v>3.5986908599833538</v>
      </c>
      <c r="G297" s="63">
        <v>16</v>
      </c>
      <c r="H297" s="63">
        <v>5</v>
      </c>
      <c r="I297" s="303">
        <v>45</v>
      </c>
      <c r="J297" s="728"/>
      <c r="K297" s="729"/>
      <c r="L297" s="730"/>
      <c r="R297"/>
      <c r="S297"/>
    </row>
    <row r="298" spans="1:19" ht="45.75" thickBot="1">
      <c r="A298" s="438" t="s">
        <v>395</v>
      </c>
      <c r="B298" s="474">
        <v>3</v>
      </c>
      <c r="C298" s="474">
        <v>8</v>
      </c>
      <c r="D298" s="475">
        <v>35</v>
      </c>
      <c r="E298" s="476">
        <f t="shared" si="49"/>
        <v>4.2225826668958426</v>
      </c>
      <c r="F298" s="476">
        <f t="shared" si="48"/>
        <v>3.5986908599833538</v>
      </c>
      <c r="G298" s="474">
        <v>20</v>
      </c>
      <c r="H298" s="474">
        <v>5</v>
      </c>
      <c r="I298" s="475">
        <v>45</v>
      </c>
      <c r="J298" s="779"/>
      <c r="K298" s="780"/>
      <c r="L298" s="781"/>
      <c r="R298"/>
      <c r="S298"/>
    </row>
    <row r="299" spans="1:19" ht="45.75" thickTop="1">
      <c r="A299" s="411" t="s">
        <v>396</v>
      </c>
      <c r="B299" s="421">
        <v>1</v>
      </c>
      <c r="C299" s="421">
        <v>8</v>
      </c>
      <c r="D299" s="420">
        <v>35</v>
      </c>
      <c r="E299" s="486">
        <f>(0.52*SQRT($C299)*D299^0.9*$B$215^0.8)/1000</f>
        <v>4.2225826668958426</v>
      </c>
      <c r="F299" s="486">
        <f t="shared" si="48"/>
        <v>3.5986908599833538</v>
      </c>
      <c r="G299" s="421">
        <v>2</v>
      </c>
      <c r="H299" s="421">
        <v>5</v>
      </c>
      <c r="I299" s="420">
        <v>45</v>
      </c>
      <c r="J299" s="728" t="s">
        <v>170</v>
      </c>
      <c r="K299" s="729"/>
      <c r="L299" s="730"/>
      <c r="R299"/>
      <c r="S299"/>
    </row>
    <row r="300" spans="1:19" ht="45">
      <c r="A300" s="396" t="s">
        <v>397</v>
      </c>
      <c r="B300" s="63">
        <v>2</v>
      </c>
      <c r="C300" s="63">
        <v>8</v>
      </c>
      <c r="D300" s="303">
        <v>35</v>
      </c>
      <c r="E300" s="85">
        <f t="shared" si="49"/>
        <v>4.2225826668958426</v>
      </c>
      <c r="F300" s="85">
        <f t="shared" si="48"/>
        <v>3.5986908599833538</v>
      </c>
      <c r="G300" s="63">
        <v>2</v>
      </c>
      <c r="H300" s="63">
        <v>5</v>
      </c>
      <c r="I300" s="303">
        <v>45</v>
      </c>
      <c r="J300" s="728"/>
      <c r="K300" s="729"/>
      <c r="L300" s="730"/>
      <c r="R300"/>
      <c r="S300"/>
    </row>
    <row r="301" spans="1:19" ht="45">
      <c r="A301" s="396" t="s">
        <v>398</v>
      </c>
      <c r="B301" s="63">
        <v>2</v>
      </c>
      <c r="C301" s="63">
        <v>8</v>
      </c>
      <c r="D301" s="303">
        <v>35</v>
      </c>
      <c r="E301" s="85">
        <f t="shared" si="49"/>
        <v>4.2225826668958426</v>
      </c>
      <c r="F301" s="85">
        <f t="shared" si="48"/>
        <v>3.5986908599833538</v>
      </c>
      <c r="G301" s="63">
        <v>4</v>
      </c>
      <c r="H301" s="63">
        <v>5</v>
      </c>
      <c r="I301" s="303">
        <v>45</v>
      </c>
      <c r="J301" s="728"/>
      <c r="K301" s="729"/>
      <c r="L301" s="730"/>
      <c r="R301"/>
      <c r="S301"/>
    </row>
    <row r="302" spans="1:19" ht="45">
      <c r="A302" s="396" t="s">
        <v>399</v>
      </c>
      <c r="B302" s="63">
        <v>2</v>
      </c>
      <c r="C302" s="63">
        <v>8</v>
      </c>
      <c r="D302" s="303">
        <v>35</v>
      </c>
      <c r="E302" s="85">
        <f t="shared" si="49"/>
        <v>4.2225826668958426</v>
      </c>
      <c r="F302" s="85">
        <f t="shared" si="48"/>
        <v>3.5986908599833538</v>
      </c>
      <c r="G302" s="63">
        <v>6</v>
      </c>
      <c r="H302" s="63">
        <v>5</v>
      </c>
      <c r="I302" s="303">
        <v>45</v>
      </c>
      <c r="J302" s="728"/>
      <c r="K302" s="729"/>
      <c r="L302" s="730"/>
      <c r="R302"/>
      <c r="S302"/>
    </row>
    <row r="303" spans="1:19" ht="45">
      <c r="A303" s="396" t="s">
        <v>400</v>
      </c>
      <c r="B303" s="63">
        <v>2</v>
      </c>
      <c r="C303" s="63">
        <v>8</v>
      </c>
      <c r="D303" s="303">
        <v>35</v>
      </c>
      <c r="E303" s="85">
        <f t="shared" si="49"/>
        <v>4.2225826668958426</v>
      </c>
      <c r="F303" s="85">
        <f t="shared" si="48"/>
        <v>3.5986908599833538</v>
      </c>
      <c r="G303" s="63">
        <v>8</v>
      </c>
      <c r="H303" s="63">
        <v>5</v>
      </c>
      <c r="I303" s="303">
        <v>45</v>
      </c>
      <c r="J303" s="728"/>
      <c r="K303" s="729"/>
      <c r="L303" s="730"/>
      <c r="R303"/>
      <c r="S303"/>
    </row>
    <row r="304" spans="1:19" ht="45">
      <c r="A304" s="396" t="s">
        <v>401</v>
      </c>
      <c r="B304" s="63">
        <v>2</v>
      </c>
      <c r="C304" s="63">
        <v>8</v>
      </c>
      <c r="D304" s="303">
        <v>35</v>
      </c>
      <c r="E304" s="85">
        <f t="shared" si="49"/>
        <v>4.2225826668958426</v>
      </c>
      <c r="F304" s="85">
        <f t="shared" si="48"/>
        <v>3.5986908599833538</v>
      </c>
      <c r="G304" s="63">
        <v>10</v>
      </c>
      <c r="H304" s="63">
        <v>5</v>
      </c>
      <c r="I304" s="303">
        <v>45</v>
      </c>
      <c r="J304" s="728"/>
      <c r="K304" s="729"/>
      <c r="L304" s="730"/>
      <c r="R304"/>
      <c r="S304"/>
    </row>
    <row r="305" spans="1:19" ht="45">
      <c r="A305" s="396" t="s">
        <v>402</v>
      </c>
      <c r="B305" s="63">
        <v>3</v>
      </c>
      <c r="C305" s="63">
        <v>8</v>
      </c>
      <c r="D305" s="303">
        <v>35</v>
      </c>
      <c r="E305" s="85">
        <f t="shared" si="49"/>
        <v>4.2225826668958426</v>
      </c>
      <c r="F305" s="85">
        <f t="shared" si="48"/>
        <v>3.5986908599833538</v>
      </c>
      <c r="G305" s="63">
        <v>4</v>
      </c>
      <c r="H305" s="63">
        <v>5</v>
      </c>
      <c r="I305" s="303">
        <v>45</v>
      </c>
      <c r="J305" s="728"/>
      <c r="K305" s="729"/>
      <c r="L305" s="730"/>
      <c r="R305"/>
      <c r="S305"/>
    </row>
    <row r="306" spans="1:19" ht="45">
      <c r="A306" s="396" t="s">
        <v>403</v>
      </c>
      <c r="B306" s="63">
        <v>3</v>
      </c>
      <c r="C306" s="63">
        <v>8</v>
      </c>
      <c r="D306" s="303">
        <v>35</v>
      </c>
      <c r="E306" s="85">
        <f t="shared" si="49"/>
        <v>4.2225826668958426</v>
      </c>
      <c r="F306" s="85">
        <f t="shared" si="48"/>
        <v>3.5986908599833538</v>
      </c>
      <c r="G306" s="63">
        <v>8</v>
      </c>
      <c r="H306" s="63">
        <v>5</v>
      </c>
      <c r="I306" s="303">
        <v>45</v>
      </c>
      <c r="J306" s="728"/>
      <c r="K306" s="729"/>
      <c r="L306" s="730"/>
      <c r="R306"/>
      <c r="S306"/>
    </row>
    <row r="307" spans="1:19" ht="45">
      <c r="A307" s="396" t="s">
        <v>404</v>
      </c>
      <c r="B307" s="63">
        <v>3</v>
      </c>
      <c r="C307" s="63">
        <v>8</v>
      </c>
      <c r="D307" s="303">
        <v>35</v>
      </c>
      <c r="E307" s="85">
        <f t="shared" si="49"/>
        <v>4.2225826668958426</v>
      </c>
      <c r="F307" s="85">
        <f t="shared" si="48"/>
        <v>3.5986908599833538</v>
      </c>
      <c r="G307" s="63">
        <v>12</v>
      </c>
      <c r="H307" s="63">
        <v>5</v>
      </c>
      <c r="I307" s="303">
        <v>45</v>
      </c>
      <c r="J307" s="728"/>
      <c r="K307" s="729"/>
      <c r="L307" s="730"/>
      <c r="R307"/>
      <c r="S307"/>
    </row>
    <row r="308" spans="1:19" ht="45">
      <c r="A308" s="396" t="s">
        <v>405</v>
      </c>
      <c r="B308" s="63">
        <v>3</v>
      </c>
      <c r="C308" s="63">
        <v>8</v>
      </c>
      <c r="D308" s="303">
        <v>35</v>
      </c>
      <c r="E308" s="85">
        <f t="shared" si="49"/>
        <v>4.2225826668958426</v>
      </c>
      <c r="F308" s="85">
        <f t="shared" si="48"/>
        <v>3.5986908599833538</v>
      </c>
      <c r="G308" s="63">
        <v>16</v>
      </c>
      <c r="H308" s="63">
        <v>5</v>
      </c>
      <c r="I308" s="303">
        <v>45</v>
      </c>
      <c r="J308" s="728"/>
      <c r="K308" s="729"/>
      <c r="L308" s="730"/>
      <c r="R308"/>
      <c r="S308"/>
    </row>
    <row r="309" spans="1:19" ht="45.75" thickBot="1">
      <c r="A309" s="438" t="s">
        <v>406</v>
      </c>
      <c r="B309" s="474">
        <v>3</v>
      </c>
      <c r="C309" s="474">
        <v>8</v>
      </c>
      <c r="D309" s="475">
        <v>35</v>
      </c>
      <c r="E309" s="476">
        <f t="shared" si="49"/>
        <v>4.2225826668958426</v>
      </c>
      <c r="F309" s="476">
        <f t="shared" si="48"/>
        <v>3.5986908599833538</v>
      </c>
      <c r="G309" s="474">
        <v>20</v>
      </c>
      <c r="H309" s="474">
        <v>5</v>
      </c>
      <c r="I309" s="475">
        <v>45</v>
      </c>
      <c r="J309" s="779"/>
      <c r="K309" s="780"/>
      <c r="L309" s="781"/>
      <c r="R309"/>
      <c r="S309"/>
    </row>
    <row r="310" spans="1:19" ht="45.75" thickTop="1">
      <c r="A310" s="411" t="s">
        <v>790</v>
      </c>
      <c r="B310" s="398">
        <v>2</v>
      </c>
      <c r="C310" s="398">
        <v>8</v>
      </c>
      <c r="D310" s="397">
        <v>35</v>
      </c>
      <c r="E310" s="479">
        <f t="shared" ref="E310:E313" si="50">(0.52*SQRT($C310)*D310^0.9*$B$215^0.8)/1000</f>
        <v>4.2225826668958426</v>
      </c>
      <c r="F310" s="479">
        <f t="shared" ref="F310:F313" si="51">MIN(2.3*SQRT($B$216*$B$219*$B$217)/1000+(E310/4),$B$219*$B$217*D310/1000,$B$219*$B$217*D310/1000*(SQRT(2+4*$B$216/($B$219*$B$217*D310^2))-1)+E310/4)</f>
        <v>3.5986908599833538</v>
      </c>
      <c r="G310" s="398">
        <v>2</v>
      </c>
      <c r="H310" s="398">
        <v>5</v>
      </c>
      <c r="I310" s="397">
        <v>45</v>
      </c>
      <c r="J310" s="793" t="s">
        <v>170</v>
      </c>
      <c r="K310" s="794"/>
      <c r="L310" s="795"/>
      <c r="R310"/>
      <c r="S310"/>
    </row>
    <row r="311" spans="1:19" ht="45">
      <c r="A311" s="396" t="s">
        <v>791</v>
      </c>
      <c r="B311" s="398">
        <v>2</v>
      </c>
      <c r="C311" s="398">
        <v>8</v>
      </c>
      <c r="D311" s="397">
        <v>35</v>
      </c>
      <c r="E311" s="85">
        <f t="shared" si="50"/>
        <v>4.2225826668958426</v>
      </c>
      <c r="F311" s="85">
        <f t="shared" si="51"/>
        <v>3.5986908599833538</v>
      </c>
      <c r="G311" s="398">
        <v>3</v>
      </c>
      <c r="H311" s="398">
        <v>5</v>
      </c>
      <c r="I311" s="397">
        <v>45</v>
      </c>
      <c r="J311" s="728"/>
      <c r="K311" s="729"/>
      <c r="L311" s="730"/>
      <c r="R311"/>
      <c r="S311"/>
    </row>
    <row r="312" spans="1:19" ht="45">
      <c r="A312" s="396" t="s">
        <v>792</v>
      </c>
      <c r="B312" s="398">
        <v>2</v>
      </c>
      <c r="C312" s="398">
        <v>8</v>
      </c>
      <c r="D312" s="397">
        <v>35</v>
      </c>
      <c r="E312" s="85">
        <f t="shared" si="50"/>
        <v>4.2225826668958426</v>
      </c>
      <c r="F312" s="85">
        <f t="shared" si="51"/>
        <v>3.5986908599833538</v>
      </c>
      <c r="G312" s="398">
        <v>3</v>
      </c>
      <c r="H312" s="398">
        <v>5</v>
      </c>
      <c r="I312" s="397">
        <v>45</v>
      </c>
      <c r="J312" s="728"/>
      <c r="K312" s="729"/>
      <c r="L312" s="730"/>
      <c r="R312"/>
      <c r="S312"/>
    </row>
    <row r="313" spans="1:19" ht="45.75" thickBot="1">
      <c r="A313" s="438" t="s">
        <v>793</v>
      </c>
      <c r="B313" s="442">
        <v>2</v>
      </c>
      <c r="C313" s="442">
        <v>8</v>
      </c>
      <c r="D313" s="441">
        <v>35</v>
      </c>
      <c r="E313" s="476">
        <f t="shared" si="50"/>
        <v>4.2225826668958426</v>
      </c>
      <c r="F313" s="476">
        <f t="shared" si="51"/>
        <v>3.5986908599833538</v>
      </c>
      <c r="G313" s="442">
        <v>4</v>
      </c>
      <c r="H313" s="442">
        <v>5</v>
      </c>
      <c r="I313" s="441">
        <v>45</v>
      </c>
      <c r="J313" s="779"/>
      <c r="K313" s="780"/>
      <c r="L313" s="781"/>
      <c r="R313"/>
      <c r="S313"/>
    </row>
    <row r="314" spans="1:19" ht="45.75" thickTop="1">
      <c r="A314" s="411" t="s">
        <v>407</v>
      </c>
      <c r="B314" s="451">
        <v>1</v>
      </c>
      <c r="C314" s="451">
        <v>5</v>
      </c>
      <c r="D314" s="452">
        <v>35</v>
      </c>
      <c r="E314" s="486">
        <f>($E$252*0.52*SQRT($C314)*D314^0.9*$B$215^0.8)/1000</f>
        <v>1.0014734126804203</v>
      </c>
      <c r="F314" s="453">
        <f>MIN($B$53*$D314*$B$52/1000,(2.3*SQRT($B$51*$B$53*$B$52))/1000+(E314/4),$B$53*$D314*$B$52*(SQRT(2+4*$B$51/($B$53*$D314^2*$B$52))-1)/1000+E314/4)</f>
        <v>1.5900016465162135</v>
      </c>
      <c r="G314" s="451">
        <v>2</v>
      </c>
      <c r="H314" s="451">
        <v>5</v>
      </c>
      <c r="I314" s="452">
        <v>45</v>
      </c>
      <c r="J314" s="453">
        <f>(0.3*0.52*SQRT($H314)*I314^0.9*$B$50^0.8)/1000</f>
        <v>1.2556524446697936</v>
      </c>
      <c r="K314" s="453">
        <f>MIN($C$53*$I314*$C$52/1000,(2.3*SQRT($C$51*$C$53*$C$52))/1000+(J314/4),$C$53*$I314*$C$53*(SQRT(2+4*$C$51/($C$53*$I314^2*$C$52))-1)/1000+J314/4)</f>
        <v>1.269083851917667</v>
      </c>
      <c r="L314" s="453">
        <f>B314*F314+G314*K314</f>
        <v>4.1281693503515475</v>
      </c>
      <c r="R314"/>
      <c r="S314"/>
    </row>
    <row r="315" spans="1:19" ht="45">
      <c r="A315" s="411" t="s">
        <v>408</v>
      </c>
      <c r="B315" s="304">
        <v>1</v>
      </c>
      <c r="C315" s="304">
        <v>5</v>
      </c>
      <c r="D315" s="407">
        <v>35</v>
      </c>
      <c r="E315" s="85">
        <f>($E$252*0.52*SQRT($C315)*D315^0.9*$B$215^0.8)/1000</f>
        <v>1.0014734126804203</v>
      </c>
      <c r="F315" s="447">
        <f>MIN($B$53*$D315*$B$52/1000,(2.3*SQRT($B$51*$B$53*$B$52))/1000+(E315/4),$B$53*$D315*$B$52*(SQRT(2+4*$B$51/($B$53*$D315^2*$B$52))-1)/1000+E315/4)</f>
        <v>1.5900016465162135</v>
      </c>
      <c r="G315" s="304">
        <v>2</v>
      </c>
      <c r="H315" s="304">
        <v>5</v>
      </c>
      <c r="I315" s="407">
        <v>45</v>
      </c>
      <c r="J315" s="447">
        <f>(0.3*0.52*SQRT($H315)*I315^0.9*$B$50^0.8)/1000</f>
        <v>1.2556524446697936</v>
      </c>
      <c r="K315" s="447">
        <f>MIN($C$53*$I315*$C$52/1000,(2.3*SQRT($C$51*$C$53*$C$52))/1000+(J315/4),$C$53*$I315*$C$53*(SQRT(2+4*$C$51/($C$53*$I315^2*$C$52))-1)/1000+J315/4)</f>
        <v>1.269083851917667</v>
      </c>
      <c r="L315" s="447">
        <f>B315*F315+G315*K315</f>
        <v>4.1281693503515475</v>
      </c>
      <c r="N315" t="s">
        <v>171</v>
      </c>
      <c r="O315" t="s">
        <v>172</v>
      </c>
      <c r="P315" s="2" t="s">
        <v>173</v>
      </c>
      <c r="Q315" s="2" t="s">
        <v>174</v>
      </c>
      <c r="R315"/>
      <c r="S315"/>
    </row>
    <row r="316" spans="1:19">
      <c r="A316" s="3"/>
      <c r="N316" t="s">
        <v>186</v>
      </c>
      <c r="O316" t="s">
        <v>186</v>
      </c>
      <c r="P316" s="2" t="s">
        <v>187</v>
      </c>
      <c r="Q316" s="2" t="s">
        <v>187</v>
      </c>
      <c r="R316"/>
      <c r="S316"/>
    </row>
    <row r="317" spans="1:19">
      <c r="A317" s="3"/>
      <c r="N317" t="s">
        <v>175</v>
      </c>
      <c r="O317" t="s">
        <v>176</v>
      </c>
      <c r="P317" t="s">
        <v>177</v>
      </c>
      <c r="Q317" t="s">
        <v>178</v>
      </c>
      <c r="R317"/>
      <c r="S317"/>
    </row>
    <row r="318" spans="1:19" ht="18">
      <c r="A318" s="4" t="s">
        <v>2</v>
      </c>
      <c r="B318" s="5" t="s">
        <v>185</v>
      </c>
      <c r="C318" s="5" t="s">
        <v>188</v>
      </c>
      <c r="D318" s="5" t="s">
        <v>154</v>
      </c>
      <c r="E318" s="5" t="s">
        <v>159</v>
      </c>
      <c r="F318" s="5" t="s">
        <v>179</v>
      </c>
      <c r="G318" s="5" t="s">
        <v>160</v>
      </c>
      <c r="H318" s="5" t="s">
        <v>161</v>
      </c>
      <c r="I318" s="5" t="s">
        <v>189</v>
      </c>
      <c r="J318" s="5" t="s">
        <v>184</v>
      </c>
      <c r="K318" s="5" t="s">
        <v>190</v>
      </c>
      <c r="N318" s="5" t="s">
        <v>181</v>
      </c>
      <c r="O318" s="5" t="s">
        <v>184</v>
      </c>
      <c r="P318" s="5" t="s">
        <v>184</v>
      </c>
      <c r="Q318" s="5" t="s">
        <v>184</v>
      </c>
      <c r="R318"/>
      <c r="S318"/>
    </row>
    <row r="319" spans="1:19">
      <c r="A319" s="8"/>
      <c r="B319" s="62" t="s">
        <v>17</v>
      </c>
      <c r="C319" s="9" t="s">
        <v>17</v>
      </c>
      <c r="D319" s="9" t="s">
        <v>19</v>
      </c>
      <c r="E319" s="9" t="s">
        <v>78</v>
      </c>
      <c r="F319" s="9" t="s">
        <v>78</v>
      </c>
      <c r="G319" s="9" t="s">
        <v>78</v>
      </c>
      <c r="H319" s="9" t="s">
        <v>18</v>
      </c>
      <c r="I319" s="9" t="s">
        <v>17</v>
      </c>
      <c r="J319" s="9" t="s">
        <v>18</v>
      </c>
      <c r="K319" s="9" t="s">
        <v>17</v>
      </c>
      <c r="N319" s="9" t="s">
        <v>18</v>
      </c>
      <c r="O319" s="9" t="s">
        <v>18</v>
      </c>
      <c r="P319" s="9" t="s">
        <v>18</v>
      </c>
      <c r="Q319" s="9" t="s">
        <v>18</v>
      </c>
      <c r="R319"/>
      <c r="S319"/>
    </row>
    <row r="320" spans="1:19" ht="46.15" customHeight="1">
      <c r="A320" s="396" t="s">
        <v>385</v>
      </c>
      <c r="B320" s="743" t="s">
        <v>170</v>
      </c>
      <c r="C320" s="744"/>
      <c r="D320" s="397">
        <v>2.8</v>
      </c>
      <c r="E320" s="398">
        <v>29</v>
      </c>
      <c r="F320" s="432">
        <v>43</v>
      </c>
      <c r="G320" s="85">
        <v>7.28</v>
      </c>
      <c r="H320" s="433">
        <v>0</v>
      </c>
      <c r="I320" s="308">
        <f t="shared" ref="I320:I341" si="52">$F288/SQRT((1/$D320+H320/$E320)^2+(H320/$F320)^2+(F288/(G320*E288))^2)</f>
        <v>9.5750598206072546</v>
      </c>
      <c r="J320" s="433">
        <v>73</v>
      </c>
      <c r="K320" s="303">
        <f t="shared" ref="K320:K341" si="53">$F288/SQRT((1/$D320+J320/$E320)^2+(J320/$F320)^2+(F288/(G320*E288))^2)</f>
        <v>1.0773418837428164</v>
      </c>
      <c r="N320" s="152">
        <v>73</v>
      </c>
      <c r="O320" s="152">
        <f>21+10+16+36/2</f>
        <v>65</v>
      </c>
      <c r="P320" s="152">
        <f>21+10+19+16/2</f>
        <v>58</v>
      </c>
      <c r="Q320" s="152">
        <f>21+10+19+52/2</f>
        <v>76</v>
      </c>
      <c r="R320"/>
      <c r="S320"/>
    </row>
    <row r="321" spans="1:19" ht="45">
      <c r="A321" s="396" t="s">
        <v>386</v>
      </c>
      <c r="B321" s="745"/>
      <c r="C321" s="746"/>
      <c r="D321" s="397">
        <v>3.8</v>
      </c>
      <c r="E321" s="398">
        <v>42</v>
      </c>
      <c r="F321" s="432">
        <v>81</v>
      </c>
      <c r="G321" s="85">
        <v>8.61</v>
      </c>
      <c r="H321" s="433">
        <v>0</v>
      </c>
      <c r="I321" s="308">
        <f t="shared" si="52"/>
        <v>12.799531425496344</v>
      </c>
      <c r="J321" s="433">
        <v>83</v>
      </c>
      <c r="K321" s="303">
        <f t="shared" si="53"/>
        <v>1.4601258847978573</v>
      </c>
      <c r="N321" s="152">
        <v>83</v>
      </c>
      <c r="O321" s="152">
        <f>31+10+16+36/2</f>
        <v>75</v>
      </c>
      <c r="P321" s="152">
        <f>31+10+19+16/2</f>
        <v>68</v>
      </c>
      <c r="Q321" s="152">
        <f>31+10+19+52/2</f>
        <v>86</v>
      </c>
      <c r="R321"/>
      <c r="S321"/>
    </row>
    <row r="322" spans="1:19" ht="45">
      <c r="A322" s="396" t="s">
        <v>387</v>
      </c>
      <c r="B322" s="745"/>
      <c r="C322" s="746"/>
      <c r="D322" s="397">
        <v>5.6</v>
      </c>
      <c r="E322" s="398">
        <v>72</v>
      </c>
      <c r="F322" s="432">
        <v>212</v>
      </c>
      <c r="G322" s="85">
        <v>14.6</v>
      </c>
      <c r="H322" s="433">
        <v>0</v>
      </c>
      <c r="I322" s="308">
        <f t="shared" si="52"/>
        <v>19.155204983288076</v>
      </c>
      <c r="J322" s="433">
        <v>93</v>
      </c>
      <c r="K322" s="303">
        <f t="shared" si="53"/>
        <v>2.343816325561825</v>
      </c>
      <c r="N322" s="152">
        <v>93</v>
      </c>
      <c r="O322" s="152">
        <f>41+10+16+36/2</f>
        <v>85</v>
      </c>
      <c r="P322" s="152">
        <f>41+10+19+16/2</f>
        <v>78</v>
      </c>
      <c r="Q322" s="152">
        <f>41+10+19+52/2</f>
        <v>96</v>
      </c>
      <c r="R322"/>
      <c r="S322"/>
    </row>
    <row r="323" spans="1:19" ht="45">
      <c r="A323" s="396" t="s">
        <v>388</v>
      </c>
      <c r="B323" s="745"/>
      <c r="C323" s="746"/>
      <c r="D323" s="397">
        <v>7.3</v>
      </c>
      <c r="E323" s="398">
        <v>109</v>
      </c>
      <c r="F323" s="432">
        <v>433</v>
      </c>
      <c r="G323" s="85">
        <v>20.5</v>
      </c>
      <c r="H323" s="433">
        <v>0</v>
      </c>
      <c r="I323" s="308">
        <f t="shared" si="52"/>
        <v>25.138289776898255</v>
      </c>
      <c r="J323" s="433">
        <v>103</v>
      </c>
      <c r="K323" s="303">
        <f t="shared" si="53"/>
        <v>3.2462715282357855</v>
      </c>
      <c r="N323" s="152">
        <v>103</v>
      </c>
      <c r="O323" s="152">
        <f>51+10+16+36/2</f>
        <v>95</v>
      </c>
      <c r="P323" s="152">
        <f>51+10+19+16/2</f>
        <v>88</v>
      </c>
      <c r="Q323" s="152">
        <f>51+10+19+52/2</f>
        <v>106</v>
      </c>
      <c r="R323"/>
      <c r="S323"/>
    </row>
    <row r="324" spans="1:19" ht="45">
      <c r="A324" s="396" t="s">
        <v>389</v>
      </c>
      <c r="B324" s="745"/>
      <c r="C324" s="746"/>
      <c r="D324" s="397">
        <v>9.1</v>
      </c>
      <c r="E324" s="398">
        <v>154</v>
      </c>
      <c r="F324" s="432">
        <v>767</v>
      </c>
      <c r="G324" s="85">
        <v>26.4</v>
      </c>
      <c r="H324" s="433">
        <v>0</v>
      </c>
      <c r="I324" s="308">
        <f t="shared" si="52"/>
        <v>31.420360726476584</v>
      </c>
      <c r="J324" s="433">
        <v>113</v>
      </c>
      <c r="K324" s="303">
        <f t="shared" si="53"/>
        <v>4.1990167926003492</v>
      </c>
      <c r="N324" s="152">
        <v>113</v>
      </c>
      <c r="O324" s="152">
        <f>61+10+16+36/2</f>
        <v>105</v>
      </c>
      <c r="P324" s="152">
        <f>61+10+19+16/2</f>
        <v>98</v>
      </c>
      <c r="Q324" s="152">
        <f>61+10+19+52/2</f>
        <v>116</v>
      </c>
      <c r="R324"/>
      <c r="S324"/>
    </row>
    <row r="325" spans="1:19" ht="45">
      <c r="A325" s="396" t="s">
        <v>390</v>
      </c>
      <c r="B325" s="745"/>
      <c r="C325" s="746"/>
      <c r="D325" s="397">
        <v>10.9</v>
      </c>
      <c r="E325" s="398">
        <v>208</v>
      </c>
      <c r="F325" s="432">
        <v>1241</v>
      </c>
      <c r="G325" s="85">
        <v>32.4</v>
      </c>
      <c r="H325" s="433">
        <v>0</v>
      </c>
      <c r="I325" s="308">
        <f t="shared" si="52"/>
        <v>37.706512457973133</v>
      </c>
      <c r="J325" s="433">
        <v>123</v>
      </c>
      <c r="K325" s="303">
        <f t="shared" si="53"/>
        <v>5.2098813632303296</v>
      </c>
      <c r="N325" s="152">
        <v>123</v>
      </c>
      <c r="O325" s="152">
        <f>71+10+16+36/2</f>
        <v>115</v>
      </c>
      <c r="P325" s="152">
        <f>71+10+19+16/2</f>
        <v>108</v>
      </c>
      <c r="Q325" s="152">
        <f>71+10+19+52/2</f>
        <v>126</v>
      </c>
    </row>
    <row r="326" spans="1:19" ht="45">
      <c r="A326" s="396" t="s">
        <v>391</v>
      </c>
      <c r="B326" s="745"/>
      <c r="C326" s="746"/>
      <c r="D326" s="397">
        <v>6.6</v>
      </c>
      <c r="E326" s="398">
        <v>182</v>
      </c>
      <c r="F326" s="432">
        <v>1140</v>
      </c>
      <c r="G326" s="85">
        <v>15.9</v>
      </c>
      <c r="H326" s="433">
        <v>0</v>
      </c>
      <c r="I326" s="308">
        <f t="shared" si="52"/>
        <v>22.391516755529722</v>
      </c>
      <c r="J326" s="433">
        <v>118</v>
      </c>
      <c r="K326" s="303">
        <f t="shared" si="53"/>
        <v>4.4520867950019305</v>
      </c>
      <c r="N326" s="152">
        <v>118</v>
      </c>
      <c r="O326" s="152">
        <f>66+10+16+36/2</f>
        <v>110</v>
      </c>
      <c r="P326" s="152">
        <f>66+10+19+16/2</f>
        <v>103</v>
      </c>
      <c r="Q326" s="152">
        <f>66+10+19+52/2</f>
        <v>121</v>
      </c>
    </row>
    <row r="327" spans="1:19" ht="45">
      <c r="A327" s="396" t="s">
        <v>392</v>
      </c>
      <c r="B327" s="745"/>
      <c r="C327" s="746"/>
      <c r="D327" s="397">
        <v>10.1</v>
      </c>
      <c r="E327" s="398">
        <v>319</v>
      </c>
      <c r="F327" s="432">
        <v>2603</v>
      </c>
      <c r="G327" s="85">
        <v>27.8</v>
      </c>
      <c r="H327" s="433">
        <v>0</v>
      </c>
      <c r="I327" s="308">
        <f t="shared" si="52"/>
        <v>34.720522818787899</v>
      </c>
      <c r="J327" s="433">
        <v>139</v>
      </c>
      <c r="K327" s="303">
        <f t="shared" si="53"/>
        <v>6.6855380114436862</v>
      </c>
      <c r="N327" s="152">
        <v>139</v>
      </c>
      <c r="O327" s="152">
        <f>87+10+16+36/2</f>
        <v>131</v>
      </c>
      <c r="P327" s="152">
        <f>87+10+19+16/2</f>
        <v>124</v>
      </c>
      <c r="Q327" s="152">
        <f>87+10+19+52/2</f>
        <v>142</v>
      </c>
    </row>
    <row r="328" spans="1:19" ht="45">
      <c r="A328" s="396" t="s">
        <v>393</v>
      </c>
      <c r="B328" s="745"/>
      <c r="C328" s="746"/>
      <c r="D328" s="397">
        <v>13.7</v>
      </c>
      <c r="E328" s="398">
        <v>486</v>
      </c>
      <c r="F328" s="432">
        <v>4918</v>
      </c>
      <c r="G328" s="85">
        <v>39.700000000000003</v>
      </c>
      <c r="H328" s="433">
        <v>0</v>
      </c>
      <c r="I328" s="308">
        <f t="shared" si="52"/>
        <v>47.298913774104406</v>
      </c>
      <c r="J328" s="433">
        <v>162</v>
      </c>
      <c r="K328" s="303">
        <f t="shared" si="53"/>
        <v>8.8154832035508512</v>
      </c>
      <c r="N328" s="154">
        <v>162</v>
      </c>
      <c r="O328" s="154">
        <f>110+10+16+36/2</f>
        <v>154</v>
      </c>
      <c r="P328" s="154">
        <f>110+10+19+16/2</f>
        <v>147</v>
      </c>
      <c r="Q328" s="154">
        <f>110+10+19+52/2</f>
        <v>165</v>
      </c>
    </row>
    <row r="329" spans="1:19" ht="45">
      <c r="A329" s="396" t="s">
        <v>394</v>
      </c>
      <c r="B329" s="745"/>
      <c r="C329" s="746"/>
      <c r="D329" s="397">
        <v>13.7</v>
      </c>
      <c r="E329" s="398">
        <v>486</v>
      </c>
      <c r="F329" s="432">
        <v>4918</v>
      </c>
      <c r="G329" s="85">
        <v>39.700000000000003</v>
      </c>
      <c r="H329" s="433">
        <v>0</v>
      </c>
      <c r="I329" s="308">
        <f t="shared" si="52"/>
        <v>47.298913774104406</v>
      </c>
      <c r="J329" s="433">
        <v>182.5</v>
      </c>
      <c r="K329" s="303">
        <f t="shared" si="53"/>
        <v>7.9873047380207698</v>
      </c>
      <c r="N329" s="154">
        <f>53/2+16+10+130</f>
        <v>182.5</v>
      </c>
      <c r="O329" s="154">
        <f>36/2+16+10+130</f>
        <v>174</v>
      </c>
      <c r="P329" s="154">
        <f>16/2+19+10+130</f>
        <v>167</v>
      </c>
      <c r="Q329" s="154">
        <f>52/2+19+10+130</f>
        <v>185</v>
      </c>
    </row>
    <row r="330" spans="1:19" ht="45.75" thickBot="1">
      <c r="A330" s="438" t="s">
        <v>395</v>
      </c>
      <c r="B330" s="791"/>
      <c r="C330" s="792"/>
      <c r="D330" s="441">
        <v>13.7</v>
      </c>
      <c r="E330" s="442">
        <v>486</v>
      </c>
      <c r="F330" s="480">
        <v>4918</v>
      </c>
      <c r="G330" s="476">
        <v>39.700000000000003</v>
      </c>
      <c r="H330" s="481">
        <v>0</v>
      </c>
      <c r="I330" s="491">
        <f t="shared" si="52"/>
        <v>47.298913774104406</v>
      </c>
      <c r="J330" s="481">
        <v>202.5</v>
      </c>
      <c r="K330" s="475">
        <f t="shared" si="53"/>
        <v>7.3165504773545376</v>
      </c>
      <c r="N330" s="154">
        <f>53/2+16+10+150</f>
        <v>202.5</v>
      </c>
      <c r="O330" s="154">
        <f>36/2+16+10+150</f>
        <v>194</v>
      </c>
      <c r="P330" s="154">
        <f>16/2+19+10+150</f>
        <v>187</v>
      </c>
      <c r="Q330" s="154">
        <f>52/2+19+10+150</f>
        <v>205</v>
      </c>
    </row>
    <row r="331" spans="1:19" ht="43.9" customHeight="1" thickTop="1">
      <c r="A331" s="411" t="s">
        <v>396</v>
      </c>
      <c r="B331" s="777" t="s">
        <v>170</v>
      </c>
      <c r="C331" s="778"/>
      <c r="D331" s="412">
        <v>2.8</v>
      </c>
      <c r="E331" s="413">
        <v>26</v>
      </c>
      <c r="F331" s="483">
        <v>51</v>
      </c>
      <c r="G331" s="486">
        <v>5.46</v>
      </c>
      <c r="H331" s="484">
        <v>0</v>
      </c>
      <c r="I331" s="492">
        <f t="shared" si="52"/>
        <v>9.2330305421811047</v>
      </c>
      <c r="J331" s="484">
        <v>0</v>
      </c>
      <c r="K331" s="420">
        <f t="shared" si="53"/>
        <v>9.2330305421811047</v>
      </c>
    </row>
    <row r="332" spans="1:19" ht="45">
      <c r="A332" s="396" t="s">
        <v>397</v>
      </c>
      <c r="B332" s="745"/>
      <c r="C332" s="746"/>
      <c r="D332" s="397">
        <v>3.8</v>
      </c>
      <c r="E332" s="398">
        <v>46</v>
      </c>
      <c r="F332" s="432">
        <v>131</v>
      </c>
      <c r="G332" s="85">
        <v>6.44</v>
      </c>
      <c r="H332" s="433">
        <v>0</v>
      </c>
      <c r="I332" s="308">
        <f t="shared" si="52"/>
        <v>12.217209267647137</v>
      </c>
      <c r="J332" s="433">
        <v>0</v>
      </c>
      <c r="K332" s="303">
        <f t="shared" si="53"/>
        <v>12.217209267647137</v>
      </c>
    </row>
    <row r="333" spans="1:19" ht="45">
      <c r="A333" s="396" t="s">
        <v>398</v>
      </c>
      <c r="B333" s="745"/>
      <c r="C333" s="746"/>
      <c r="D333" s="397">
        <v>5.6</v>
      </c>
      <c r="E333" s="398">
        <v>74</v>
      </c>
      <c r="F333" s="432">
        <v>307</v>
      </c>
      <c r="G333" s="85">
        <v>10.9</v>
      </c>
      <c r="H333" s="433">
        <v>0</v>
      </c>
      <c r="I333" s="308">
        <f t="shared" si="52"/>
        <v>18.460624437427914</v>
      </c>
      <c r="J333" s="433">
        <v>0</v>
      </c>
      <c r="K333" s="303">
        <f t="shared" si="53"/>
        <v>18.460624437427914</v>
      </c>
      <c r="N333" s="437"/>
      <c r="O333" s="437"/>
      <c r="P333" s="437"/>
      <c r="Q333" s="437"/>
    </row>
    <row r="334" spans="1:19" ht="45">
      <c r="A334" s="396" t="s">
        <v>399</v>
      </c>
      <c r="B334" s="745"/>
      <c r="C334" s="746"/>
      <c r="D334" s="397">
        <v>7.3</v>
      </c>
      <c r="E334" s="398">
        <v>110</v>
      </c>
      <c r="F334" s="432">
        <v>595</v>
      </c>
      <c r="G334" s="85">
        <v>15.4</v>
      </c>
      <c r="H334" s="433">
        <v>0</v>
      </c>
      <c r="I334" s="308">
        <f t="shared" si="52"/>
        <v>24.357853816270559</v>
      </c>
      <c r="J334" s="433">
        <v>0</v>
      </c>
      <c r="K334" s="303">
        <f t="shared" si="53"/>
        <v>24.357853816270559</v>
      </c>
      <c r="N334" s="437"/>
      <c r="O334" s="437"/>
      <c r="P334" s="437"/>
      <c r="Q334" s="437"/>
    </row>
    <row r="335" spans="1:19" ht="45">
      <c r="A335" s="396" t="s">
        <v>400</v>
      </c>
      <c r="B335" s="745"/>
      <c r="C335" s="746"/>
      <c r="D335" s="397">
        <v>9.1</v>
      </c>
      <c r="E335" s="398">
        <v>153</v>
      </c>
      <c r="F335" s="432">
        <v>1025</v>
      </c>
      <c r="G335" s="85">
        <v>19.899999999999999</v>
      </c>
      <c r="H335" s="433">
        <v>0</v>
      </c>
      <c r="I335" s="308">
        <f t="shared" si="52"/>
        <v>30.512776920174119</v>
      </c>
      <c r="J335" s="433">
        <v>0</v>
      </c>
      <c r="K335" s="303">
        <f t="shared" si="53"/>
        <v>30.512776920174119</v>
      </c>
      <c r="N335" s="437"/>
      <c r="O335" s="437"/>
      <c r="P335" s="437"/>
      <c r="Q335" s="437"/>
    </row>
    <row r="336" spans="1:19" ht="45">
      <c r="A336" s="396" t="s">
        <v>401</v>
      </c>
      <c r="B336" s="745"/>
      <c r="C336" s="746"/>
      <c r="D336" s="397">
        <v>10.9</v>
      </c>
      <c r="E336" s="398">
        <v>205</v>
      </c>
      <c r="F336" s="432">
        <v>1629</v>
      </c>
      <c r="G336" s="85">
        <v>24.4</v>
      </c>
      <c r="H336" s="433">
        <v>0</v>
      </c>
      <c r="I336" s="308">
        <f t="shared" si="52"/>
        <v>36.658825363232978</v>
      </c>
      <c r="J336" s="433">
        <v>0</v>
      </c>
      <c r="K336" s="303">
        <f t="shared" si="53"/>
        <v>36.658825363232978</v>
      </c>
      <c r="N336" s="437"/>
      <c r="O336" s="437"/>
      <c r="P336" s="437"/>
      <c r="Q336" s="437"/>
    </row>
    <row r="337" spans="1:23" ht="45">
      <c r="A337" s="396" t="s">
        <v>402</v>
      </c>
      <c r="B337" s="745"/>
      <c r="C337" s="746"/>
      <c r="D337" s="397">
        <v>6.6</v>
      </c>
      <c r="E337" s="398">
        <v>181</v>
      </c>
      <c r="F337" s="432">
        <v>1414</v>
      </c>
      <c r="G337" s="85">
        <v>11.9</v>
      </c>
      <c r="H337" s="433">
        <v>0</v>
      </c>
      <c r="I337" s="308">
        <f t="shared" si="52"/>
        <v>21.473372743639604</v>
      </c>
      <c r="J337" s="433">
        <v>0</v>
      </c>
      <c r="K337" s="303">
        <f t="shared" si="53"/>
        <v>21.473372743639604</v>
      </c>
      <c r="N337" s="437"/>
      <c r="O337" s="437"/>
      <c r="P337" s="437"/>
      <c r="Q337" s="437"/>
    </row>
    <row r="338" spans="1:23" ht="45">
      <c r="A338" s="396" t="s">
        <v>403</v>
      </c>
      <c r="B338" s="745"/>
      <c r="C338" s="746"/>
      <c r="D338" s="397">
        <v>10.1</v>
      </c>
      <c r="E338" s="398">
        <v>317</v>
      </c>
      <c r="F338" s="432">
        <v>3232</v>
      </c>
      <c r="G338" s="85">
        <v>20.9</v>
      </c>
      <c r="H338" s="433">
        <v>0</v>
      </c>
      <c r="I338" s="308">
        <f t="shared" si="52"/>
        <v>33.608033043901308</v>
      </c>
      <c r="J338" s="433">
        <v>0</v>
      </c>
      <c r="K338" s="303">
        <f t="shared" si="53"/>
        <v>33.608033043901308</v>
      </c>
      <c r="N338" s="437"/>
      <c r="O338" s="437"/>
      <c r="P338" s="437"/>
      <c r="Q338" s="437"/>
    </row>
    <row r="339" spans="1:23" ht="45">
      <c r="A339" s="396" t="s">
        <v>404</v>
      </c>
      <c r="B339" s="745"/>
      <c r="C339" s="746"/>
      <c r="D339" s="397">
        <v>13.7</v>
      </c>
      <c r="E339" s="398">
        <v>483</v>
      </c>
      <c r="F339" s="432">
        <v>6114</v>
      </c>
      <c r="G339" s="85">
        <v>29.8</v>
      </c>
      <c r="H339" s="433">
        <v>0</v>
      </c>
      <c r="I339" s="308">
        <f t="shared" si="52"/>
        <v>45.904378693838133</v>
      </c>
      <c r="J339" s="433">
        <v>0</v>
      </c>
      <c r="K339" s="303">
        <f t="shared" si="53"/>
        <v>45.904378693838133</v>
      </c>
      <c r="N339" s="437"/>
      <c r="O339" s="437"/>
      <c r="P339" s="437"/>
      <c r="Q339" s="437"/>
    </row>
    <row r="340" spans="1:23" ht="45">
      <c r="A340" s="396" t="s">
        <v>405</v>
      </c>
      <c r="B340" s="745"/>
      <c r="C340" s="746"/>
      <c r="D340" s="397">
        <v>13.7</v>
      </c>
      <c r="E340" s="398">
        <v>483</v>
      </c>
      <c r="F340" s="432">
        <v>6114</v>
      </c>
      <c r="G340" s="85">
        <v>29.8</v>
      </c>
      <c r="H340" s="433">
        <v>0</v>
      </c>
      <c r="I340" s="308">
        <f t="shared" si="52"/>
        <v>45.904378693838133</v>
      </c>
      <c r="J340" s="433">
        <v>0</v>
      </c>
      <c r="K340" s="303">
        <f t="shared" si="53"/>
        <v>45.904378693838133</v>
      </c>
      <c r="N340" s="437"/>
      <c r="O340" s="437"/>
      <c r="P340" s="437"/>
      <c r="Q340" s="437"/>
    </row>
    <row r="341" spans="1:23" ht="45.75" thickBot="1">
      <c r="A341" s="438" t="s">
        <v>406</v>
      </c>
      <c r="B341" s="745"/>
      <c r="C341" s="746"/>
      <c r="D341" s="441">
        <v>13.7</v>
      </c>
      <c r="E341" s="442">
        <v>483</v>
      </c>
      <c r="F341" s="480">
        <v>6114</v>
      </c>
      <c r="G341" s="476">
        <v>29.8</v>
      </c>
      <c r="H341" s="481">
        <v>0</v>
      </c>
      <c r="I341" s="491">
        <f t="shared" si="52"/>
        <v>45.904378693838133</v>
      </c>
      <c r="J341" s="481">
        <v>0</v>
      </c>
      <c r="K341" s="475">
        <f t="shared" si="53"/>
        <v>45.904378693838133</v>
      </c>
      <c r="N341" s="437"/>
      <c r="O341" s="437"/>
      <c r="P341" s="437"/>
      <c r="Q341" s="437"/>
    </row>
    <row r="342" spans="1:23" ht="45.75" thickTop="1">
      <c r="A342" s="411" t="s">
        <v>790</v>
      </c>
      <c r="B342" s="745"/>
      <c r="C342" s="746"/>
      <c r="D342" s="397">
        <v>3.3</v>
      </c>
      <c r="E342" s="398">
        <v>69</v>
      </c>
      <c r="F342" s="432">
        <v>1000000</v>
      </c>
      <c r="G342" s="85">
        <v>1.1000000000000001</v>
      </c>
      <c r="H342" s="433">
        <v>0</v>
      </c>
      <c r="I342" s="403">
        <f t="shared" ref="I342:I345" si="54">$F310/SQRT((1/$D342+H342/$E342)^2+(H342/$F342)^2+(F310/(G342*E310))^2)</f>
        <v>4.3257420407901845</v>
      </c>
      <c r="J342" s="433">
        <v>0</v>
      </c>
      <c r="K342" s="397">
        <f t="shared" ref="K342:K345" si="55">$F310/SQRT((1/$D342+J342/$E342)^2+(J342/$F342)^2+(F310/(G342*E310))^2)</f>
        <v>4.3257420407901845</v>
      </c>
      <c r="N342" s="437"/>
      <c r="O342" s="437"/>
      <c r="P342" s="437"/>
      <c r="Q342" s="437"/>
    </row>
    <row r="343" spans="1:23" ht="45">
      <c r="A343" s="396" t="s">
        <v>791</v>
      </c>
      <c r="B343" s="745"/>
      <c r="C343" s="746"/>
      <c r="D343" s="397">
        <v>4</v>
      </c>
      <c r="E343" s="398">
        <v>99</v>
      </c>
      <c r="F343" s="432">
        <v>1000000</v>
      </c>
      <c r="G343" s="85">
        <v>1.47</v>
      </c>
      <c r="H343" s="433">
        <v>0</v>
      </c>
      <c r="I343" s="403">
        <f t="shared" si="54"/>
        <v>5.6998499553586548</v>
      </c>
      <c r="J343" s="433">
        <v>0</v>
      </c>
      <c r="K343" s="397">
        <f t="shared" si="55"/>
        <v>5.6998499553586548</v>
      </c>
      <c r="N343" s="437"/>
      <c r="O343" s="437"/>
      <c r="P343" s="437"/>
      <c r="Q343" s="437"/>
    </row>
    <row r="344" spans="1:23" ht="45">
      <c r="A344" s="396" t="s">
        <v>792</v>
      </c>
      <c r="B344" s="745"/>
      <c r="C344" s="746"/>
      <c r="D344" s="397">
        <v>4</v>
      </c>
      <c r="E344" s="398">
        <v>123</v>
      </c>
      <c r="F344" s="432">
        <v>1000000</v>
      </c>
      <c r="G344" s="85">
        <v>1.47</v>
      </c>
      <c r="H344" s="433">
        <v>0</v>
      </c>
      <c r="I344" s="403">
        <f t="shared" si="54"/>
        <v>5.6998499553586548</v>
      </c>
      <c r="J344" s="433">
        <v>0</v>
      </c>
      <c r="K344" s="397">
        <f t="shared" si="55"/>
        <v>5.6998499553586548</v>
      </c>
      <c r="N344" s="437"/>
      <c r="O344" s="437"/>
      <c r="P344" s="437"/>
      <c r="Q344" s="437"/>
    </row>
    <row r="345" spans="1:23" ht="45.75" thickBot="1">
      <c r="A345" s="438" t="s">
        <v>793</v>
      </c>
      <c r="B345" s="745"/>
      <c r="C345" s="746"/>
      <c r="D345" s="441">
        <v>4.7</v>
      </c>
      <c r="E345" s="442">
        <v>159</v>
      </c>
      <c r="F345" s="480">
        <v>1000000</v>
      </c>
      <c r="G345" s="476">
        <v>2.2000000000000002</v>
      </c>
      <c r="H345" s="481">
        <v>0</v>
      </c>
      <c r="I345" s="472">
        <f t="shared" si="54"/>
        <v>8.1423948599315175</v>
      </c>
      <c r="J345" s="481">
        <v>0</v>
      </c>
      <c r="K345" s="441">
        <f t="shared" si="55"/>
        <v>8.1423948599315175</v>
      </c>
      <c r="N345" s="437"/>
      <c r="O345" s="437"/>
      <c r="P345" s="437"/>
      <c r="Q345" s="437"/>
    </row>
    <row r="346" spans="1:23" ht="45.75" thickTop="1">
      <c r="A346" s="411" t="s">
        <v>407</v>
      </c>
      <c r="B346" s="745"/>
      <c r="C346" s="746"/>
      <c r="D346" s="412">
        <v>2.7</v>
      </c>
      <c r="E346" s="413">
        <v>23</v>
      </c>
      <c r="F346" s="483">
        <v>0</v>
      </c>
      <c r="G346" s="486">
        <v>1.1599999999999999</v>
      </c>
      <c r="H346" s="484">
        <v>0</v>
      </c>
      <c r="I346" s="492">
        <f>$F314/SQRT((1/$D346+H346/$E346)^2+(F314/(G346*E314))^2)</f>
        <v>1.1213768528916248</v>
      </c>
      <c r="J346" s="484">
        <v>0</v>
      </c>
      <c r="K346" s="420">
        <f>$F314/SQRT((1/$D346+J346/$E346)^2+(F314/(G346*E314))^2)</f>
        <v>1.1213768528916248</v>
      </c>
      <c r="N346" s="437"/>
      <c r="O346" s="437"/>
      <c r="P346" s="437"/>
      <c r="Q346" s="437"/>
    </row>
    <row r="347" spans="1:23" ht="45">
      <c r="A347" s="411" t="s">
        <v>408</v>
      </c>
      <c r="B347" s="745"/>
      <c r="C347" s="746"/>
      <c r="D347" s="397">
        <v>2.7</v>
      </c>
      <c r="E347" s="398">
        <v>25</v>
      </c>
      <c r="F347" s="432">
        <v>0</v>
      </c>
      <c r="G347" s="85">
        <v>1.1599999999999999</v>
      </c>
      <c r="H347" s="433">
        <v>0</v>
      </c>
      <c r="I347" s="308">
        <f>$F315/SQRT((1/$D347+H347/$E347)^2+(F315/(G347*E315))^2)</f>
        <v>1.1213768528916248</v>
      </c>
      <c r="J347" s="433">
        <v>0</v>
      </c>
      <c r="K347" s="303">
        <f>$F315/SQRT((1/$D347+J347/$E347)^2+(F315/(G347*E315))^2)</f>
        <v>1.1213768528916248</v>
      </c>
      <c r="N347" s="437"/>
      <c r="O347" s="437"/>
      <c r="P347" s="437"/>
      <c r="Q347" s="437"/>
    </row>
    <row r="348" spans="1:23">
      <c r="A348" s="3"/>
    </row>
    <row r="349" spans="1:23" ht="75">
      <c r="A349" s="3"/>
      <c r="B349" s="77"/>
      <c r="E349" s="156" t="s">
        <v>191</v>
      </c>
      <c r="H349" s="157" t="s">
        <v>192</v>
      </c>
      <c r="I349" s="157" t="s">
        <v>193</v>
      </c>
    </row>
    <row r="350" spans="1:23" ht="18">
      <c r="A350" s="4" t="s">
        <v>2</v>
      </c>
      <c r="B350" s="78" t="s">
        <v>158</v>
      </c>
      <c r="C350" s="78" t="s">
        <v>164</v>
      </c>
      <c r="D350" s="78" t="s">
        <v>162</v>
      </c>
      <c r="E350" s="79" t="s">
        <v>165</v>
      </c>
      <c r="F350" s="5" t="s">
        <v>182</v>
      </c>
      <c r="G350" s="5" t="s">
        <v>190</v>
      </c>
      <c r="H350" s="79" t="s">
        <v>195</v>
      </c>
      <c r="I350" s="79" t="s">
        <v>196</v>
      </c>
      <c r="K350" s="710" t="s">
        <v>166</v>
      </c>
      <c r="L350" s="711"/>
      <c r="M350" s="711"/>
      <c r="N350" s="711"/>
      <c r="O350" s="712"/>
      <c r="P350"/>
      <c r="Q350" s="710" t="s">
        <v>194</v>
      </c>
      <c r="R350" s="711"/>
      <c r="S350" s="711"/>
      <c r="T350" s="711"/>
      <c r="U350" s="712"/>
      <c r="V350" s="710" t="s">
        <v>199</v>
      </c>
      <c r="W350" s="712"/>
    </row>
    <row r="351" spans="1:23" ht="30">
      <c r="A351" s="8"/>
      <c r="B351" s="81" t="s">
        <v>17</v>
      </c>
      <c r="C351" s="82" t="s">
        <v>17</v>
      </c>
      <c r="D351" s="82" t="s">
        <v>17</v>
      </c>
      <c r="E351" s="83" t="s">
        <v>17</v>
      </c>
      <c r="F351" s="9" t="s">
        <v>17</v>
      </c>
      <c r="G351" s="9" t="s">
        <v>17</v>
      </c>
      <c r="H351" s="83" t="s">
        <v>17</v>
      </c>
      <c r="I351" s="83" t="s">
        <v>17</v>
      </c>
      <c r="K351" s="95">
        <v>0.6</v>
      </c>
      <c r="L351" s="95">
        <v>0.7</v>
      </c>
      <c r="M351" s="95">
        <v>0.8</v>
      </c>
      <c r="N351" s="95">
        <v>0.9</v>
      </c>
      <c r="O351" s="95">
        <v>1</v>
      </c>
      <c r="P351"/>
      <c r="Q351" s="95">
        <v>0.6</v>
      </c>
      <c r="R351" s="95">
        <v>0.7</v>
      </c>
      <c r="S351" s="95">
        <v>0.8</v>
      </c>
      <c r="T351" s="95">
        <v>0.9</v>
      </c>
      <c r="U351" s="95">
        <v>1</v>
      </c>
      <c r="V351" s="159" t="s">
        <v>200</v>
      </c>
      <c r="W351" s="159" t="s">
        <v>201</v>
      </c>
    </row>
    <row r="352" spans="1:23" ht="45">
      <c r="A352" s="396" t="s">
        <v>385</v>
      </c>
      <c r="B352" s="64">
        <f t="shared" ref="B352:B373" si="56">G256</f>
        <v>6.5399051307086493</v>
      </c>
      <c r="C352" s="64">
        <v>3</v>
      </c>
      <c r="D352" s="64">
        <f t="shared" ref="D352:D373" si="57">I320</f>
        <v>9.5750598206072546</v>
      </c>
      <c r="E352" s="141">
        <f t="shared" ref="E352:E379" si="58">MIN(B352,C352,D352)</f>
        <v>3</v>
      </c>
      <c r="F352" s="64">
        <f t="shared" ref="F352:F373" si="59">I256</f>
        <v>0.69966362556761941</v>
      </c>
      <c r="G352" s="64">
        <f t="shared" ref="G352:G373" si="60">K320</f>
        <v>1.0773418837428164</v>
      </c>
      <c r="H352" s="141">
        <f t="shared" ref="H352:H359" si="61">MIN(F352:G352,C352)</f>
        <v>0.69966362556761941</v>
      </c>
      <c r="I352" s="141">
        <f>H352+$B$220</f>
        <v>4.6996636255676192</v>
      </c>
      <c r="K352" s="88">
        <f t="shared" ref="K352:O361" si="62">MIN(K$351*$B352/$B$380,$C352/$C$380,K$351*$D352/$D$380)</f>
        <v>3</v>
      </c>
      <c r="L352" s="88">
        <f t="shared" si="62"/>
        <v>3</v>
      </c>
      <c r="M352" s="88">
        <f t="shared" si="62"/>
        <v>3</v>
      </c>
      <c r="N352" s="88">
        <f t="shared" si="62"/>
        <v>3</v>
      </c>
      <c r="O352" s="88">
        <f t="shared" si="62"/>
        <v>3</v>
      </c>
      <c r="P352"/>
      <c r="Q352" s="88">
        <f t="shared" ref="Q352:U367" si="63">MIN(Q$351*$F352/1.3,$C352/1,Q$351*$G352/1.3)</f>
        <v>0.32292167333890126</v>
      </c>
      <c r="R352" s="88">
        <f t="shared" si="63"/>
        <v>0.37674195222871809</v>
      </c>
      <c r="S352" s="88">
        <f t="shared" si="63"/>
        <v>0.43056223111853503</v>
      </c>
      <c r="T352" s="88">
        <f t="shared" si="63"/>
        <v>0.48438251000835192</v>
      </c>
      <c r="U352" s="88">
        <f t="shared" si="63"/>
        <v>0.53820278889816875</v>
      </c>
      <c r="V352" s="496">
        <f>Q352*200/1.35</f>
        <v>47.840247902059446</v>
      </c>
      <c r="W352" s="496">
        <f>I352*0.6/1.3*200/1.35</f>
        <v>321.34452140633294</v>
      </c>
    </row>
    <row r="353" spans="1:23" ht="45">
      <c r="A353" s="396" t="s">
        <v>386</v>
      </c>
      <c r="B353" s="64">
        <f t="shared" si="56"/>
        <v>8.8755855345331689</v>
      </c>
      <c r="C353" s="64">
        <v>6</v>
      </c>
      <c r="D353" s="64">
        <f t="shared" si="57"/>
        <v>12.799531425496344</v>
      </c>
      <c r="E353" s="141">
        <f t="shared" si="58"/>
        <v>6</v>
      </c>
      <c r="F353" s="64">
        <f t="shared" si="59"/>
        <v>0.94843965605745983</v>
      </c>
      <c r="G353" s="64">
        <f t="shared" si="60"/>
        <v>1.4601258847978573</v>
      </c>
      <c r="H353" s="141">
        <f t="shared" si="61"/>
        <v>0.94843965605745983</v>
      </c>
      <c r="I353" s="141">
        <f t="shared" ref="I353:I359" si="64">H353+$B$220</f>
        <v>4.9484396560574595</v>
      </c>
      <c r="K353" s="88">
        <f t="shared" si="62"/>
        <v>4.0964240928614624</v>
      </c>
      <c r="L353" s="88">
        <f t="shared" si="62"/>
        <v>4.7791614416717056</v>
      </c>
      <c r="M353" s="88">
        <f t="shared" si="62"/>
        <v>5.4618987904819498</v>
      </c>
      <c r="N353" s="88">
        <f t="shared" si="62"/>
        <v>6</v>
      </c>
      <c r="O353" s="88">
        <f t="shared" si="62"/>
        <v>6</v>
      </c>
      <c r="P353"/>
      <c r="Q353" s="88">
        <f t="shared" si="63"/>
        <v>0.43774137971882759</v>
      </c>
      <c r="R353" s="88">
        <f t="shared" si="63"/>
        <v>0.51069827633863218</v>
      </c>
      <c r="S353" s="88">
        <f t="shared" si="63"/>
        <v>0.58365517295843683</v>
      </c>
      <c r="T353" s="88">
        <f t="shared" si="63"/>
        <v>0.65661206957824148</v>
      </c>
      <c r="U353" s="88">
        <f t="shared" si="63"/>
        <v>0.72956896619804601</v>
      </c>
      <c r="V353" s="496">
        <f t="shared" ref="V353:V362" si="65">Q353*200/1.35</f>
        <v>64.850574773159636</v>
      </c>
      <c r="W353" s="496">
        <f t="shared" ref="W353:W362" si="66">I353*0.6/1.3*200/1.35</f>
        <v>338.35484827743312</v>
      </c>
    </row>
    <row r="354" spans="1:23" ht="45">
      <c r="A354" s="396" t="s">
        <v>387</v>
      </c>
      <c r="B354" s="64">
        <f t="shared" si="56"/>
        <v>13.079810261417299</v>
      </c>
      <c r="C354" s="64">
        <v>7.5</v>
      </c>
      <c r="D354" s="64">
        <f t="shared" si="57"/>
        <v>19.155204983288076</v>
      </c>
      <c r="E354" s="141">
        <f t="shared" si="58"/>
        <v>7.5</v>
      </c>
      <c r="F354" s="64">
        <f t="shared" si="59"/>
        <v>1.5223220596940228</v>
      </c>
      <c r="G354" s="64">
        <f t="shared" si="60"/>
        <v>2.343816325561825</v>
      </c>
      <c r="H354" s="141">
        <f t="shared" si="61"/>
        <v>1.5223220596940228</v>
      </c>
      <c r="I354" s="141">
        <f t="shared" si="64"/>
        <v>5.522322059694023</v>
      </c>
      <c r="K354" s="88">
        <f t="shared" si="62"/>
        <v>6.0368355052695222</v>
      </c>
      <c r="L354" s="88">
        <f t="shared" si="62"/>
        <v>7.0429747561477765</v>
      </c>
      <c r="M354" s="88">
        <f t="shared" si="62"/>
        <v>7.5</v>
      </c>
      <c r="N354" s="88">
        <f t="shared" si="62"/>
        <v>7.5</v>
      </c>
      <c r="O354" s="88">
        <f t="shared" si="62"/>
        <v>7.5</v>
      </c>
      <c r="P354"/>
      <c r="Q354" s="88">
        <f t="shared" si="63"/>
        <v>0.70261018139724118</v>
      </c>
      <c r="R354" s="88">
        <f t="shared" si="63"/>
        <v>0.81971187829678149</v>
      </c>
      <c r="S354" s="88">
        <f t="shared" si="63"/>
        <v>0.9368135751963218</v>
      </c>
      <c r="T354" s="88">
        <f t="shared" si="63"/>
        <v>1.0539152720958618</v>
      </c>
      <c r="U354" s="88">
        <f t="shared" si="63"/>
        <v>1.1710169689954022</v>
      </c>
      <c r="V354" s="496">
        <f t="shared" si="65"/>
        <v>104.09039724403571</v>
      </c>
      <c r="W354" s="496">
        <f t="shared" si="66"/>
        <v>377.59467074830923</v>
      </c>
    </row>
    <row r="355" spans="1:23" ht="45">
      <c r="A355" s="396" t="s">
        <v>388</v>
      </c>
      <c r="B355" s="64">
        <f t="shared" si="56"/>
        <v>17.050466947918981</v>
      </c>
      <c r="C355" s="64">
        <v>9</v>
      </c>
      <c r="D355" s="64">
        <f t="shared" si="57"/>
        <v>25.138289776898255</v>
      </c>
      <c r="E355" s="141">
        <f t="shared" si="58"/>
        <v>9</v>
      </c>
      <c r="F355" s="64">
        <f t="shared" si="59"/>
        <v>2.1084306822776826</v>
      </c>
      <c r="G355" s="64">
        <f t="shared" si="60"/>
        <v>3.2462715282357855</v>
      </c>
      <c r="H355" s="141">
        <f t="shared" si="61"/>
        <v>2.1084306822776826</v>
      </c>
      <c r="I355" s="141">
        <f t="shared" si="64"/>
        <v>6.1084306822776826</v>
      </c>
      <c r="K355" s="88">
        <f t="shared" si="62"/>
        <v>7.8694462836549137</v>
      </c>
      <c r="L355" s="88">
        <f t="shared" si="62"/>
        <v>9</v>
      </c>
      <c r="M355" s="88">
        <f t="shared" si="62"/>
        <v>9</v>
      </c>
      <c r="N355" s="88">
        <f t="shared" si="62"/>
        <v>9</v>
      </c>
      <c r="O355" s="88">
        <f t="shared" si="62"/>
        <v>9</v>
      </c>
      <c r="P355"/>
      <c r="Q355" s="88">
        <f t="shared" si="63"/>
        <v>0.97312185335893031</v>
      </c>
      <c r="R355" s="88">
        <f t="shared" si="63"/>
        <v>1.1353088289187521</v>
      </c>
      <c r="S355" s="88">
        <f t="shared" si="63"/>
        <v>1.2974958044785738</v>
      </c>
      <c r="T355" s="88">
        <f t="shared" si="63"/>
        <v>1.4596827800383956</v>
      </c>
      <c r="U355" s="88">
        <f t="shared" si="63"/>
        <v>1.6218697555982173</v>
      </c>
      <c r="V355" s="496">
        <f t="shared" si="65"/>
        <v>144.16620049761929</v>
      </c>
      <c r="W355" s="496">
        <f t="shared" si="66"/>
        <v>417.67047400189279</v>
      </c>
    </row>
    <row r="356" spans="1:23" ht="45">
      <c r="A356" s="396" t="s">
        <v>389</v>
      </c>
      <c r="B356" s="64">
        <f t="shared" si="56"/>
        <v>21.254691674803112</v>
      </c>
      <c r="C356" s="64">
        <v>9</v>
      </c>
      <c r="D356" s="64">
        <f t="shared" si="57"/>
        <v>31.420360726476584</v>
      </c>
      <c r="E356" s="141">
        <f t="shared" si="58"/>
        <v>9</v>
      </c>
      <c r="F356" s="64">
        <f t="shared" si="59"/>
        <v>2.7272490675802317</v>
      </c>
      <c r="G356" s="64">
        <f t="shared" si="60"/>
        <v>4.1990167926003492</v>
      </c>
      <c r="H356" s="141">
        <f t="shared" si="61"/>
        <v>2.7272490675802317</v>
      </c>
      <c r="I356" s="141">
        <f t="shared" si="64"/>
        <v>6.7272490675802317</v>
      </c>
      <c r="K356" s="88">
        <f t="shared" si="62"/>
        <v>9</v>
      </c>
      <c r="L356" s="88">
        <f t="shared" si="62"/>
        <v>9</v>
      </c>
      <c r="M356" s="88">
        <f t="shared" si="62"/>
        <v>9</v>
      </c>
      <c r="N356" s="88">
        <f t="shared" si="62"/>
        <v>9</v>
      </c>
      <c r="O356" s="88">
        <f t="shared" si="62"/>
        <v>9</v>
      </c>
      <c r="P356"/>
      <c r="Q356" s="88">
        <f t="shared" si="63"/>
        <v>1.2587303388831836</v>
      </c>
      <c r="R356" s="88">
        <f t="shared" si="63"/>
        <v>1.4685187286970476</v>
      </c>
      <c r="S356" s="88">
        <f t="shared" si="63"/>
        <v>1.678307118510912</v>
      </c>
      <c r="T356" s="88">
        <f t="shared" si="63"/>
        <v>1.8880955083247757</v>
      </c>
      <c r="U356" s="88">
        <f t="shared" si="63"/>
        <v>2.0978838981386398</v>
      </c>
      <c r="V356" s="496">
        <f t="shared" si="65"/>
        <v>186.47856872343459</v>
      </c>
      <c r="W356" s="496">
        <f t="shared" si="66"/>
        <v>459.98284222770809</v>
      </c>
    </row>
    <row r="357" spans="1:23" ht="45">
      <c r="A357" s="396" t="s">
        <v>390</v>
      </c>
      <c r="B357" s="64">
        <f t="shared" si="56"/>
        <v>25.458916401687247</v>
      </c>
      <c r="C357" s="64">
        <v>9</v>
      </c>
      <c r="D357" s="64">
        <f t="shared" si="57"/>
        <v>37.706512457973133</v>
      </c>
      <c r="E357" s="141">
        <f t="shared" si="58"/>
        <v>9</v>
      </c>
      <c r="F357" s="64">
        <f t="shared" si="59"/>
        <v>3.383855678405205</v>
      </c>
      <c r="G357" s="64">
        <f t="shared" si="60"/>
        <v>5.2098813632303296</v>
      </c>
      <c r="H357" s="141">
        <f t="shared" si="61"/>
        <v>3.383855678405205</v>
      </c>
      <c r="I357" s="141">
        <f t="shared" si="64"/>
        <v>7.3838556784052045</v>
      </c>
      <c r="K357" s="88">
        <f t="shared" si="62"/>
        <v>9</v>
      </c>
      <c r="L357" s="88">
        <f t="shared" si="62"/>
        <v>9</v>
      </c>
      <c r="M357" s="88">
        <f t="shared" si="62"/>
        <v>9</v>
      </c>
      <c r="N357" s="88">
        <f t="shared" si="62"/>
        <v>9</v>
      </c>
      <c r="O357" s="88">
        <f t="shared" si="62"/>
        <v>9</v>
      </c>
      <c r="P357"/>
      <c r="Q357" s="88">
        <f t="shared" si="63"/>
        <v>1.5617795438793252</v>
      </c>
      <c r="R357" s="88">
        <f t="shared" si="63"/>
        <v>1.8220761345258794</v>
      </c>
      <c r="S357" s="88">
        <f t="shared" si="63"/>
        <v>2.082372725172434</v>
      </c>
      <c r="T357" s="88">
        <f t="shared" si="63"/>
        <v>2.3426693158189877</v>
      </c>
      <c r="U357" s="88">
        <f t="shared" si="63"/>
        <v>2.6029659064655424</v>
      </c>
      <c r="V357" s="496">
        <f t="shared" si="65"/>
        <v>231.3747472413815</v>
      </c>
      <c r="W357" s="496">
        <f t="shared" si="66"/>
        <v>504.879020745655</v>
      </c>
    </row>
    <row r="358" spans="1:23" ht="45">
      <c r="A358" s="396" t="s">
        <v>391</v>
      </c>
      <c r="B358" s="64">
        <f t="shared" si="56"/>
        <v>15.415490665241817</v>
      </c>
      <c r="C358" s="64">
        <v>6</v>
      </c>
      <c r="D358" s="64">
        <f t="shared" si="57"/>
        <v>22.391516755529722</v>
      </c>
      <c r="E358" s="141">
        <f t="shared" si="58"/>
        <v>6</v>
      </c>
      <c r="F358" s="64">
        <f t="shared" si="59"/>
        <v>2.8959392357891027</v>
      </c>
      <c r="G358" s="64">
        <f t="shared" si="60"/>
        <v>4.4520867950019305</v>
      </c>
      <c r="H358" s="141">
        <f t="shared" si="61"/>
        <v>2.8959392357891027</v>
      </c>
      <c r="I358" s="141">
        <f t="shared" si="64"/>
        <v>6.8959392357891023</v>
      </c>
      <c r="K358" s="88">
        <f t="shared" si="62"/>
        <v>6</v>
      </c>
      <c r="L358" s="88">
        <f t="shared" si="62"/>
        <v>6</v>
      </c>
      <c r="M358" s="88">
        <f t="shared" si="62"/>
        <v>6</v>
      </c>
      <c r="N358" s="88">
        <f t="shared" si="62"/>
        <v>6</v>
      </c>
      <c r="O358" s="88">
        <f t="shared" si="62"/>
        <v>6</v>
      </c>
      <c r="P358"/>
      <c r="Q358" s="88">
        <f t="shared" si="63"/>
        <v>1.3365873395949703</v>
      </c>
      <c r="R358" s="88">
        <f t="shared" si="63"/>
        <v>1.5593518961941319</v>
      </c>
      <c r="S358" s="88">
        <f t="shared" si="63"/>
        <v>1.782116452793294</v>
      </c>
      <c r="T358" s="88">
        <f t="shared" si="63"/>
        <v>2.0048810093924558</v>
      </c>
      <c r="U358" s="88">
        <f t="shared" si="63"/>
        <v>2.2276455659916174</v>
      </c>
      <c r="V358" s="496">
        <f t="shared" si="65"/>
        <v>198.01293919925484</v>
      </c>
      <c r="W358" s="496">
        <f t="shared" si="66"/>
        <v>471.51721270352823</v>
      </c>
    </row>
    <row r="359" spans="1:23" ht="45">
      <c r="A359" s="396" t="s">
        <v>392</v>
      </c>
      <c r="B359" s="64">
        <f t="shared" si="56"/>
        <v>23.590372078627627</v>
      </c>
      <c r="C359" s="64">
        <v>7.5</v>
      </c>
      <c r="D359" s="64">
        <f t="shared" si="57"/>
        <v>34.720522818787899</v>
      </c>
      <c r="E359" s="141">
        <f t="shared" si="58"/>
        <v>7.5</v>
      </c>
      <c r="F359" s="64">
        <f t="shared" si="59"/>
        <v>4.3462101466486533</v>
      </c>
      <c r="G359" s="64">
        <f t="shared" si="60"/>
        <v>6.6855380114436862</v>
      </c>
      <c r="H359" s="141">
        <f t="shared" si="61"/>
        <v>4.3462101466486533</v>
      </c>
      <c r="I359" s="141">
        <f t="shared" si="64"/>
        <v>8.3462101466486533</v>
      </c>
      <c r="K359" s="88">
        <f t="shared" si="62"/>
        <v>7.5</v>
      </c>
      <c r="L359" s="88">
        <f t="shared" si="62"/>
        <v>7.5</v>
      </c>
      <c r="M359" s="88">
        <f t="shared" si="62"/>
        <v>7.5</v>
      </c>
      <c r="N359" s="88">
        <f t="shared" si="62"/>
        <v>7.5</v>
      </c>
      <c r="O359" s="88">
        <f t="shared" si="62"/>
        <v>7.5</v>
      </c>
      <c r="P359"/>
      <c r="Q359" s="88">
        <f t="shared" si="63"/>
        <v>2.0059431446070706</v>
      </c>
      <c r="R359" s="88">
        <f t="shared" si="63"/>
        <v>2.3402670020415823</v>
      </c>
      <c r="S359" s="88">
        <f t="shared" si="63"/>
        <v>2.6745908594760945</v>
      </c>
      <c r="T359" s="88">
        <f t="shared" si="63"/>
        <v>3.0089147169106063</v>
      </c>
      <c r="U359" s="88">
        <f t="shared" si="63"/>
        <v>3.3432385743451181</v>
      </c>
      <c r="V359" s="496">
        <f t="shared" si="65"/>
        <v>297.17676216401043</v>
      </c>
      <c r="W359" s="496">
        <f t="shared" si="66"/>
        <v>570.68103566828393</v>
      </c>
    </row>
    <row r="360" spans="1:23" ht="45">
      <c r="A360" s="396" t="s">
        <v>393</v>
      </c>
      <c r="B360" s="64">
        <f t="shared" si="56"/>
        <v>31.99882153239589</v>
      </c>
      <c r="C360" s="64">
        <v>9</v>
      </c>
      <c r="D360" s="64">
        <f t="shared" si="57"/>
        <v>47.298913774104406</v>
      </c>
      <c r="E360" s="141">
        <f t="shared" si="58"/>
        <v>9</v>
      </c>
      <c r="F360" s="64">
        <f t="shared" si="59"/>
        <v>5.7294947405109848</v>
      </c>
      <c r="G360" s="64">
        <f t="shared" si="60"/>
        <v>8.8154832035508512</v>
      </c>
      <c r="H360" s="141">
        <f>MIN(F360:G360,C360)</f>
        <v>5.7294947405109848</v>
      </c>
      <c r="I360" s="141">
        <f>H360+$B$220</f>
        <v>9.7294947405109848</v>
      </c>
      <c r="K360" s="88">
        <f t="shared" si="62"/>
        <v>9</v>
      </c>
      <c r="L360" s="88">
        <f t="shared" si="62"/>
        <v>9</v>
      </c>
      <c r="M360" s="88">
        <f t="shared" si="62"/>
        <v>9</v>
      </c>
      <c r="N360" s="88">
        <f t="shared" si="62"/>
        <v>9</v>
      </c>
      <c r="O360" s="88">
        <f t="shared" si="62"/>
        <v>9</v>
      </c>
      <c r="P360"/>
      <c r="Q360" s="88">
        <f t="shared" si="63"/>
        <v>2.6443821879281466</v>
      </c>
      <c r="R360" s="88">
        <f t="shared" si="63"/>
        <v>3.0851125525828378</v>
      </c>
      <c r="S360" s="88">
        <f t="shared" si="63"/>
        <v>3.5258429172375294</v>
      </c>
      <c r="T360" s="88">
        <f t="shared" si="63"/>
        <v>3.9665732818922201</v>
      </c>
      <c r="U360" s="88">
        <f t="shared" si="63"/>
        <v>4.4073036465469109</v>
      </c>
      <c r="V360" s="496">
        <f t="shared" si="65"/>
        <v>391.76032413750318</v>
      </c>
      <c r="W360" s="496">
        <f t="shared" si="66"/>
        <v>665.26459764177673</v>
      </c>
    </row>
    <row r="361" spans="1:23" ht="45">
      <c r="A361" s="396" t="s">
        <v>394</v>
      </c>
      <c r="B361" s="64">
        <f t="shared" si="56"/>
        <v>31.99882153239589</v>
      </c>
      <c r="C361" s="64">
        <v>9</v>
      </c>
      <c r="D361" s="64">
        <f t="shared" si="57"/>
        <v>47.298913774104406</v>
      </c>
      <c r="E361" s="141">
        <f t="shared" si="58"/>
        <v>9</v>
      </c>
      <c r="F361" s="64">
        <f t="shared" si="59"/>
        <v>5.189943829273024</v>
      </c>
      <c r="G361" s="64">
        <f t="shared" si="60"/>
        <v>7.9873047380207698</v>
      </c>
      <c r="H361" s="141">
        <f t="shared" ref="H361:H379" si="67">MIN(F361:G361,C361)</f>
        <v>5.189943829273024</v>
      </c>
      <c r="I361" s="141">
        <f t="shared" ref="I361:I379" si="68">H361+$B$220</f>
        <v>9.1899438292730231</v>
      </c>
      <c r="K361" s="88">
        <f t="shared" si="62"/>
        <v>9</v>
      </c>
      <c r="L361" s="88">
        <f t="shared" si="62"/>
        <v>9</v>
      </c>
      <c r="M361" s="88">
        <f t="shared" si="62"/>
        <v>9</v>
      </c>
      <c r="N361" s="88">
        <f t="shared" si="62"/>
        <v>9</v>
      </c>
      <c r="O361" s="88">
        <f t="shared" si="62"/>
        <v>9</v>
      </c>
      <c r="P361"/>
      <c r="Q361" s="88">
        <f t="shared" si="63"/>
        <v>2.3953586904337034</v>
      </c>
      <c r="R361" s="88">
        <f t="shared" si="63"/>
        <v>2.7945851388393201</v>
      </c>
      <c r="S361" s="88">
        <f t="shared" si="63"/>
        <v>3.1938115872449377</v>
      </c>
      <c r="T361" s="88">
        <f t="shared" si="63"/>
        <v>3.5930380356505549</v>
      </c>
      <c r="U361" s="88">
        <f t="shared" si="63"/>
        <v>3.9922644840561721</v>
      </c>
      <c r="V361" s="496">
        <f t="shared" si="65"/>
        <v>354.86795413832641</v>
      </c>
      <c r="W361" s="496">
        <f t="shared" si="66"/>
        <v>628.3722276425998</v>
      </c>
    </row>
    <row r="362" spans="1:23" ht="45.75" thickBot="1">
      <c r="A362" s="438" t="s">
        <v>395</v>
      </c>
      <c r="B362" s="487">
        <f t="shared" si="56"/>
        <v>31.99882153239589</v>
      </c>
      <c r="C362" s="487">
        <v>9</v>
      </c>
      <c r="D362" s="487">
        <f t="shared" si="57"/>
        <v>47.298913774104406</v>
      </c>
      <c r="E362" s="488">
        <f t="shared" si="58"/>
        <v>9</v>
      </c>
      <c r="F362" s="487">
        <f t="shared" si="59"/>
        <v>4.7532350477089675</v>
      </c>
      <c r="G362" s="487">
        <f t="shared" si="60"/>
        <v>7.3165504773545376</v>
      </c>
      <c r="H362" s="488">
        <f t="shared" si="67"/>
        <v>4.7532350477089675</v>
      </c>
      <c r="I362" s="488">
        <f t="shared" si="68"/>
        <v>8.7532350477089675</v>
      </c>
      <c r="K362" s="370">
        <f t="shared" ref="K362:O373" si="69">MIN(K$351*$B362/$B$380,$C362/$C$380,K$351*$D362/$D$380)</f>
        <v>9</v>
      </c>
      <c r="L362" s="370">
        <f t="shared" si="69"/>
        <v>9</v>
      </c>
      <c r="M362" s="370">
        <f t="shared" si="69"/>
        <v>9</v>
      </c>
      <c r="N362" s="370">
        <f t="shared" si="69"/>
        <v>9</v>
      </c>
      <c r="O362" s="370">
        <f t="shared" si="69"/>
        <v>9</v>
      </c>
      <c r="P362"/>
      <c r="Q362" s="370">
        <f t="shared" si="63"/>
        <v>2.1938007912502924</v>
      </c>
      <c r="R362" s="370">
        <f t="shared" si="63"/>
        <v>2.5594342564586743</v>
      </c>
      <c r="S362" s="370">
        <f t="shared" si="63"/>
        <v>2.9250677216670571</v>
      </c>
      <c r="T362" s="370">
        <f t="shared" si="63"/>
        <v>3.290701186875439</v>
      </c>
      <c r="U362" s="370">
        <f t="shared" si="63"/>
        <v>3.6563346520838209</v>
      </c>
      <c r="V362" s="497">
        <f t="shared" si="65"/>
        <v>325.0075246296729</v>
      </c>
      <c r="W362" s="497">
        <f t="shared" si="66"/>
        <v>598.51179813394651</v>
      </c>
    </row>
    <row r="363" spans="1:23" ht="45.75" thickTop="1">
      <c r="A363" s="411" t="s">
        <v>396</v>
      </c>
      <c r="B363" s="489">
        <f t="shared" si="56"/>
        <v>6.5399051307086493</v>
      </c>
      <c r="C363" s="489">
        <v>1.8</v>
      </c>
      <c r="D363" s="489">
        <f t="shared" si="57"/>
        <v>9.2330305421811047</v>
      </c>
      <c r="E363" s="490">
        <f t="shared" si="58"/>
        <v>1.8</v>
      </c>
      <c r="F363" s="489">
        <f t="shared" si="59"/>
        <v>6.5399051307086493</v>
      </c>
      <c r="G363" s="489">
        <f t="shared" si="60"/>
        <v>9.2330305421811047</v>
      </c>
      <c r="H363" s="490">
        <f t="shared" si="67"/>
        <v>1.8</v>
      </c>
      <c r="I363" s="490">
        <f t="shared" si="68"/>
        <v>5.8</v>
      </c>
      <c r="K363" s="371">
        <f t="shared" si="69"/>
        <v>1.8</v>
      </c>
      <c r="L363" s="371">
        <f t="shared" si="69"/>
        <v>1.8</v>
      </c>
      <c r="M363" s="371">
        <f t="shared" si="69"/>
        <v>1.8</v>
      </c>
      <c r="N363" s="371">
        <f t="shared" si="69"/>
        <v>1.8</v>
      </c>
      <c r="O363" s="371">
        <f t="shared" si="69"/>
        <v>1.8</v>
      </c>
      <c r="P363"/>
      <c r="Q363" s="371">
        <f t="shared" si="63"/>
        <v>1.8</v>
      </c>
      <c r="R363" s="371">
        <f t="shared" si="63"/>
        <v>1.8</v>
      </c>
      <c r="S363" s="371">
        <f t="shared" si="63"/>
        <v>1.8</v>
      </c>
      <c r="T363" s="371">
        <f t="shared" si="63"/>
        <v>1.8</v>
      </c>
      <c r="U363" s="371">
        <f t="shared" si="63"/>
        <v>1.8</v>
      </c>
      <c r="V363" s="494"/>
    </row>
    <row r="364" spans="1:23" ht="45">
      <c r="A364" s="396" t="s">
        <v>397</v>
      </c>
      <c r="B364" s="64">
        <f t="shared" si="56"/>
        <v>8.8755855345331689</v>
      </c>
      <c r="C364" s="64">
        <v>3.6</v>
      </c>
      <c r="D364" s="64">
        <f t="shared" si="57"/>
        <v>12.217209267647137</v>
      </c>
      <c r="E364" s="141">
        <f t="shared" si="58"/>
        <v>3.6</v>
      </c>
      <c r="F364" s="64">
        <f t="shared" si="59"/>
        <v>8.8755855345331689</v>
      </c>
      <c r="G364" s="64">
        <f t="shared" si="60"/>
        <v>12.217209267647137</v>
      </c>
      <c r="H364" s="141">
        <f t="shared" si="67"/>
        <v>3.6</v>
      </c>
      <c r="I364" s="141">
        <f t="shared" si="68"/>
        <v>7.6</v>
      </c>
      <c r="K364" s="88">
        <f t="shared" si="69"/>
        <v>3.6</v>
      </c>
      <c r="L364" s="88">
        <f t="shared" si="69"/>
        <v>3.6</v>
      </c>
      <c r="M364" s="88">
        <f t="shared" si="69"/>
        <v>3.6</v>
      </c>
      <c r="N364" s="88">
        <f t="shared" si="69"/>
        <v>3.6</v>
      </c>
      <c r="O364" s="88">
        <f t="shared" si="69"/>
        <v>3.6</v>
      </c>
      <c r="P364"/>
      <c r="Q364" s="88">
        <f t="shared" si="63"/>
        <v>3.6</v>
      </c>
      <c r="R364" s="88">
        <f t="shared" si="63"/>
        <v>3.6</v>
      </c>
      <c r="S364" s="88">
        <f t="shared" si="63"/>
        <v>3.6</v>
      </c>
      <c r="T364" s="88">
        <f t="shared" si="63"/>
        <v>3.6</v>
      </c>
      <c r="U364" s="88">
        <f t="shared" si="63"/>
        <v>3.6</v>
      </c>
      <c r="V364" s="495"/>
    </row>
    <row r="365" spans="1:23" ht="45">
      <c r="A365" s="396" t="s">
        <v>398</v>
      </c>
      <c r="B365" s="64">
        <f t="shared" si="56"/>
        <v>13.079810261417299</v>
      </c>
      <c r="C365" s="64">
        <v>4.5</v>
      </c>
      <c r="D365" s="64">
        <f t="shared" si="57"/>
        <v>18.460624437427914</v>
      </c>
      <c r="E365" s="141">
        <f t="shared" si="58"/>
        <v>4.5</v>
      </c>
      <c r="F365" s="64">
        <f t="shared" si="59"/>
        <v>13.079810261417299</v>
      </c>
      <c r="G365" s="64">
        <f t="shared" si="60"/>
        <v>18.460624437427914</v>
      </c>
      <c r="H365" s="141">
        <f t="shared" si="67"/>
        <v>4.5</v>
      </c>
      <c r="I365" s="141">
        <f t="shared" si="68"/>
        <v>8.5</v>
      </c>
      <c r="K365" s="88">
        <f t="shared" si="69"/>
        <v>4.5</v>
      </c>
      <c r="L365" s="88">
        <f t="shared" si="69"/>
        <v>4.5</v>
      </c>
      <c r="M365" s="88">
        <f t="shared" si="69"/>
        <v>4.5</v>
      </c>
      <c r="N365" s="88">
        <f t="shared" si="69"/>
        <v>4.5</v>
      </c>
      <c r="O365" s="88">
        <f t="shared" si="69"/>
        <v>4.5</v>
      </c>
      <c r="P365"/>
      <c r="Q365" s="88">
        <f t="shared" si="63"/>
        <v>4.5</v>
      </c>
      <c r="R365" s="88">
        <f t="shared" si="63"/>
        <v>4.5</v>
      </c>
      <c r="S365" s="88">
        <f t="shared" si="63"/>
        <v>4.5</v>
      </c>
      <c r="T365" s="88">
        <f t="shared" si="63"/>
        <v>4.5</v>
      </c>
      <c r="U365" s="88">
        <f t="shared" si="63"/>
        <v>4.5</v>
      </c>
      <c r="V365" s="495"/>
    </row>
    <row r="366" spans="1:23" ht="45">
      <c r="A366" s="396" t="s">
        <v>399</v>
      </c>
      <c r="B366" s="64">
        <f t="shared" si="56"/>
        <v>17.050466947918981</v>
      </c>
      <c r="C366" s="64">
        <v>5.4</v>
      </c>
      <c r="D366" s="64">
        <f t="shared" si="57"/>
        <v>24.357853816270559</v>
      </c>
      <c r="E366" s="141">
        <f t="shared" si="58"/>
        <v>5.4</v>
      </c>
      <c r="F366" s="64">
        <f t="shared" si="59"/>
        <v>17.050466947918981</v>
      </c>
      <c r="G366" s="64">
        <f t="shared" si="60"/>
        <v>24.357853816270559</v>
      </c>
      <c r="H366" s="141">
        <f t="shared" si="67"/>
        <v>5.4</v>
      </c>
      <c r="I366" s="141">
        <f t="shared" si="68"/>
        <v>9.4</v>
      </c>
      <c r="K366" s="88">
        <f t="shared" si="69"/>
        <v>5.4</v>
      </c>
      <c r="L366" s="88">
        <f t="shared" si="69"/>
        <v>5.4</v>
      </c>
      <c r="M366" s="88">
        <f t="shared" si="69"/>
        <v>5.4</v>
      </c>
      <c r="N366" s="88">
        <f t="shared" si="69"/>
        <v>5.4</v>
      </c>
      <c r="O366" s="88">
        <f t="shared" si="69"/>
        <v>5.4</v>
      </c>
      <c r="P366"/>
      <c r="Q366" s="88">
        <f t="shared" si="63"/>
        <v>5.4</v>
      </c>
      <c r="R366" s="88">
        <f t="shared" si="63"/>
        <v>5.4</v>
      </c>
      <c r="S366" s="88">
        <f t="shared" si="63"/>
        <v>5.4</v>
      </c>
      <c r="T366" s="88">
        <f t="shared" si="63"/>
        <v>5.4</v>
      </c>
      <c r="U366" s="88">
        <f t="shared" si="63"/>
        <v>5.4</v>
      </c>
      <c r="V366" s="495"/>
    </row>
    <row r="367" spans="1:23" ht="45">
      <c r="A367" s="396" t="s">
        <v>400</v>
      </c>
      <c r="B367" s="64">
        <f t="shared" si="56"/>
        <v>21.254691674803112</v>
      </c>
      <c r="C367" s="64">
        <v>5.4</v>
      </c>
      <c r="D367" s="64">
        <f t="shared" si="57"/>
        <v>30.512776920174119</v>
      </c>
      <c r="E367" s="141">
        <f t="shared" si="58"/>
        <v>5.4</v>
      </c>
      <c r="F367" s="64">
        <f t="shared" si="59"/>
        <v>21.254691674803112</v>
      </c>
      <c r="G367" s="64">
        <f t="shared" si="60"/>
        <v>30.512776920174119</v>
      </c>
      <c r="H367" s="141">
        <f t="shared" si="67"/>
        <v>5.4</v>
      </c>
      <c r="I367" s="141">
        <f t="shared" si="68"/>
        <v>9.4</v>
      </c>
      <c r="K367" s="88">
        <f t="shared" si="69"/>
        <v>5.4</v>
      </c>
      <c r="L367" s="88">
        <f t="shared" si="69"/>
        <v>5.4</v>
      </c>
      <c r="M367" s="88">
        <f t="shared" si="69"/>
        <v>5.4</v>
      </c>
      <c r="N367" s="88">
        <f t="shared" si="69"/>
        <v>5.4</v>
      </c>
      <c r="O367" s="88">
        <f t="shared" si="69"/>
        <v>5.4</v>
      </c>
      <c r="P367"/>
      <c r="Q367" s="88">
        <f t="shared" si="63"/>
        <v>5.4</v>
      </c>
      <c r="R367" s="88">
        <f t="shared" si="63"/>
        <v>5.4</v>
      </c>
      <c r="S367" s="88">
        <f t="shared" si="63"/>
        <v>5.4</v>
      </c>
      <c r="T367" s="88">
        <f t="shared" si="63"/>
        <v>5.4</v>
      </c>
      <c r="U367" s="88">
        <f t="shared" si="63"/>
        <v>5.4</v>
      </c>
      <c r="V367" s="495"/>
    </row>
    <row r="368" spans="1:23" ht="45">
      <c r="A368" s="396" t="s">
        <v>401</v>
      </c>
      <c r="B368" s="64">
        <f t="shared" si="56"/>
        <v>25.458916401687247</v>
      </c>
      <c r="C368" s="64">
        <v>5.4</v>
      </c>
      <c r="D368" s="64">
        <f t="shared" si="57"/>
        <v>36.658825363232978</v>
      </c>
      <c r="E368" s="141">
        <f t="shared" si="58"/>
        <v>5.4</v>
      </c>
      <c r="F368" s="64">
        <f t="shared" si="59"/>
        <v>25.458916401687247</v>
      </c>
      <c r="G368" s="64">
        <f t="shared" si="60"/>
        <v>36.658825363232978</v>
      </c>
      <c r="H368" s="141">
        <f t="shared" si="67"/>
        <v>5.4</v>
      </c>
      <c r="I368" s="141">
        <f t="shared" si="68"/>
        <v>9.4</v>
      </c>
      <c r="K368" s="88">
        <f t="shared" si="69"/>
        <v>5.4</v>
      </c>
      <c r="L368" s="88">
        <f t="shared" si="69"/>
        <v>5.4</v>
      </c>
      <c r="M368" s="88">
        <f t="shared" si="69"/>
        <v>5.4</v>
      </c>
      <c r="N368" s="88">
        <f t="shared" si="69"/>
        <v>5.4</v>
      </c>
      <c r="O368" s="88">
        <f t="shared" si="69"/>
        <v>5.4</v>
      </c>
      <c r="P368"/>
      <c r="Q368" s="88">
        <f t="shared" ref="Q368:U373" si="70">MIN(Q$351*$F368/1.3,$C368/1,Q$351*$G368/1.3)</f>
        <v>5.4</v>
      </c>
      <c r="R368" s="88">
        <f t="shared" si="70"/>
        <v>5.4</v>
      </c>
      <c r="S368" s="88">
        <f t="shared" si="70"/>
        <v>5.4</v>
      </c>
      <c r="T368" s="88">
        <f t="shared" si="70"/>
        <v>5.4</v>
      </c>
      <c r="U368" s="88">
        <f t="shared" si="70"/>
        <v>5.4</v>
      </c>
      <c r="V368" s="495"/>
    </row>
    <row r="369" spans="1:22" ht="45">
      <c r="A369" s="396" t="s">
        <v>402</v>
      </c>
      <c r="B369" s="64">
        <f t="shared" si="56"/>
        <v>15.415490665241817</v>
      </c>
      <c r="C369" s="64">
        <v>3.6</v>
      </c>
      <c r="D369" s="64">
        <f t="shared" si="57"/>
        <v>21.473372743639604</v>
      </c>
      <c r="E369" s="141">
        <f t="shared" si="58"/>
        <v>3.6</v>
      </c>
      <c r="F369" s="64">
        <f t="shared" si="59"/>
        <v>15.415490665241817</v>
      </c>
      <c r="G369" s="64">
        <f t="shared" si="60"/>
        <v>21.473372743639604</v>
      </c>
      <c r="H369" s="141">
        <f t="shared" si="67"/>
        <v>3.6</v>
      </c>
      <c r="I369" s="141">
        <f t="shared" si="68"/>
        <v>7.6</v>
      </c>
      <c r="K369" s="88">
        <f t="shared" si="69"/>
        <v>3.6</v>
      </c>
      <c r="L369" s="88">
        <f t="shared" si="69"/>
        <v>3.6</v>
      </c>
      <c r="M369" s="88">
        <f t="shared" si="69"/>
        <v>3.6</v>
      </c>
      <c r="N369" s="88">
        <f t="shared" si="69"/>
        <v>3.6</v>
      </c>
      <c r="O369" s="88">
        <f t="shared" si="69"/>
        <v>3.6</v>
      </c>
      <c r="P369"/>
      <c r="Q369" s="88">
        <f t="shared" si="70"/>
        <v>3.6</v>
      </c>
      <c r="R369" s="88">
        <f t="shared" si="70"/>
        <v>3.6</v>
      </c>
      <c r="S369" s="88">
        <f t="shared" si="70"/>
        <v>3.6</v>
      </c>
      <c r="T369" s="88">
        <f t="shared" si="70"/>
        <v>3.6</v>
      </c>
      <c r="U369" s="88">
        <f t="shared" si="70"/>
        <v>3.6</v>
      </c>
      <c r="V369" s="495"/>
    </row>
    <row r="370" spans="1:22" ht="45">
      <c r="A370" s="396" t="s">
        <v>403</v>
      </c>
      <c r="B370" s="64">
        <f t="shared" si="56"/>
        <v>23.590372078627627</v>
      </c>
      <c r="C370" s="64">
        <v>4.5</v>
      </c>
      <c r="D370" s="64">
        <f t="shared" si="57"/>
        <v>33.608033043901308</v>
      </c>
      <c r="E370" s="141">
        <f t="shared" si="58"/>
        <v>4.5</v>
      </c>
      <c r="F370" s="64">
        <f t="shared" si="59"/>
        <v>23.590372078627627</v>
      </c>
      <c r="G370" s="64">
        <f t="shared" si="60"/>
        <v>33.608033043901308</v>
      </c>
      <c r="H370" s="141">
        <f t="shared" si="67"/>
        <v>4.5</v>
      </c>
      <c r="I370" s="141">
        <f t="shared" si="68"/>
        <v>8.5</v>
      </c>
      <c r="K370" s="88">
        <f t="shared" si="69"/>
        <v>4.5</v>
      </c>
      <c r="L370" s="88">
        <f t="shared" si="69"/>
        <v>4.5</v>
      </c>
      <c r="M370" s="88">
        <f t="shared" si="69"/>
        <v>4.5</v>
      </c>
      <c r="N370" s="88">
        <f t="shared" si="69"/>
        <v>4.5</v>
      </c>
      <c r="O370" s="88">
        <f t="shared" si="69"/>
        <v>4.5</v>
      </c>
      <c r="P370"/>
      <c r="Q370" s="88">
        <f t="shared" si="70"/>
        <v>4.5</v>
      </c>
      <c r="R370" s="88">
        <f t="shared" si="70"/>
        <v>4.5</v>
      </c>
      <c r="S370" s="88">
        <f t="shared" si="70"/>
        <v>4.5</v>
      </c>
      <c r="T370" s="88">
        <f t="shared" si="70"/>
        <v>4.5</v>
      </c>
      <c r="U370" s="88">
        <f t="shared" si="70"/>
        <v>4.5</v>
      </c>
      <c r="V370" s="495"/>
    </row>
    <row r="371" spans="1:22" ht="45">
      <c r="A371" s="396" t="s">
        <v>404</v>
      </c>
      <c r="B371" s="64">
        <f t="shared" si="56"/>
        <v>31.99882153239589</v>
      </c>
      <c r="C371" s="64">
        <v>5.4</v>
      </c>
      <c r="D371" s="64">
        <f t="shared" si="57"/>
        <v>45.904378693838133</v>
      </c>
      <c r="E371" s="141">
        <f t="shared" si="58"/>
        <v>5.4</v>
      </c>
      <c r="F371" s="64">
        <f t="shared" si="59"/>
        <v>31.99882153239589</v>
      </c>
      <c r="G371" s="64">
        <f t="shared" si="60"/>
        <v>45.904378693838133</v>
      </c>
      <c r="H371" s="141">
        <f t="shared" si="67"/>
        <v>5.4</v>
      </c>
      <c r="I371" s="141">
        <f t="shared" si="68"/>
        <v>9.4</v>
      </c>
      <c r="K371" s="88">
        <f t="shared" si="69"/>
        <v>5.4</v>
      </c>
      <c r="L371" s="88">
        <f t="shared" si="69"/>
        <v>5.4</v>
      </c>
      <c r="M371" s="88">
        <f t="shared" si="69"/>
        <v>5.4</v>
      </c>
      <c r="N371" s="88">
        <f t="shared" si="69"/>
        <v>5.4</v>
      </c>
      <c r="O371" s="88">
        <f t="shared" si="69"/>
        <v>5.4</v>
      </c>
      <c r="P371"/>
      <c r="Q371" s="88">
        <f t="shared" si="70"/>
        <v>5.4</v>
      </c>
      <c r="R371" s="88">
        <f t="shared" si="70"/>
        <v>5.4</v>
      </c>
      <c r="S371" s="88">
        <f t="shared" si="70"/>
        <v>5.4</v>
      </c>
      <c r="T371" s="88">
        <f t="shared" si="70"/>
        <v>5.4</v>
      </c>
      <c r="U371" s="88">
        <f t="shared" si="70"/>
        <v>5.4</v>
      </c>
      <c r="V371" s="495"/>
    </row>
    <row r="372" spans="1:22" ht="45">
      <c r="A372" s="396" t="s">
        <v>405</v>
      </c>
      <c r="B372" s="64">
        <f t="shared" si="56"/>
        <v>31.99882153239589</v>
      </c>
      <c r="C372" s="64">
        <v>5.4</v>
      </c>
      <c r="D372" s="64">
        <f t="shared" si="57"/>
        <v>45.904378693838133</v>
      </c>
      <c r="E372" s="141">
        <f t="shared" si="58"/>
        <v>5.4</v>
      </c>
      <c r="F372" s="64">
        <f t="shared" si="59"/>
        <v>31.99882153239589</v>
      </c>
      <c r="G372" s="64">
        <f t="shared" si="60"/>
        <v>45.904378693838133</v>
      </c>
      <c r="H372" s="141">
        <f t="shared" si="67"/>
        <v>5.4</v>
      </c>
      <c r="I372" s="141">
        <f t="shared" si="68"/>
        <v>9.4</v>
      </c>
      <c r="K372" s="88">
        <f t="shared" si="69"/>
        <v>5.4</v>
      </c>
      <c r="L372" s="88">
        <f t="shared" si="69"/>
        <v>5.4</v>
      </c>
      <c r="M372" s="88">
        <f t="shared" si="69"/>
        <v>5.4</v>
      </c>
      <c r="N372" s="88">
        <f t="shared" si="69"/>
        <v>5.4</v>
      </c>
      <c r="O372" s="88">
        <f t="shared" si="69"/>
        <v>5.4</v>
      </c>
      <c r="P372"/>
      <c r="Q372" s="88">
        <f t="shared" si="70"/>
        <v>5.4</v>
      </c>
      <c r="R372" s="88">
        <f t="shared" si="70"/>
        <v>5.4</v>
      </c>
      <c r="S372" s="88">
        <f t="shared" si="70"/>
        <v>5.4</v>
      </c>
      <c r="T372" s="88">
        <f t="shared" si="70"/>
        <v>5.4</v>
      </c>
      <c r="U372" s="88">
        <f t="shared" si="70"/>
        <v>5.4</v>
      </c>
      <c r="V372" s="495"/>
    </row>
    <row r="373" spans="1:22" ht="45.75" thickBot="1">
      <c r="A373" s="438" t="s">
        <v>406</v>
      </c>
      <c r="B373" s="487">
        <f t="shared" si="56"/>
        <v>31.99882153239589</v>
      </c>
      <c r="C373" s="487">
        <v>5.4</v>
      </c>
      <c r="D373" s="487">
        <f t="shared" si="57"/>
        <v>45.904378693838133</v>
      </c>
      <c r="E373" s="488">
        <f t="shared" si="58"/>
        <v>5.4</v>
      </c>
      <c r="F373" s="487">
        <f t="shared" si="59"/>
        <v>31.99882153239589</v>
      </c>
      <c r="G373" s="487">
        <f t="shared" si="60"/>
        <v>45.904378693838133</v>
      </c>
      <c r="H373" s="488">
        <f t="shared" si="67"/>
        <v>5.4</v>
      </c>
      <c r="I373" s="488">
        <f t="shared" si="68"/>
        <v>9.4</v>
      </c>
      <c r="K373" s="370">
        <f t="shared" si="69"/>
        <v>5.4</v>
      </c>
      <c r="L373" s="370">
        <f t="shared" si="69"/>
        <v>5.4</v>
      </c>
      <c r="M373" s="370">
        <f t="shared" si="69"/>
        <v>5.4</v>
      </c>
      <c r="N373" s="370">
        <f t="shared" si="69"/>
        <v>5.4</v>
      </c>
      <c r="O373" s="370">
        <f t="shared" si="69"/>
        <v>5.4</v>
      </c>
      <c r="P373"/>
      <c r="Q373" s="88">
        <f t="shared" si="70"/>
        <v>5.4</v>
      </c>
      <c r="R373" s="88">
        <f t="shared" si="70"/>
        <v>5.4</v>
      </c>
      <c r="S373" s="88">
        <f t="shared" si="70"/>
        <v>5.4</v>
      </c>
      <c r="T373" s="88">
        <f t="shared" si="70"/>
        <v>5.4</v>
      </c>
      <c r="U373" s="88">
        <f t="shared" si="70"/>
        <v>5.4</v>
      </c>
      <c r="V373" s="495"/>
    </row>
    <row r="374" spans="1:22" ht="45.75" thickTop="1">
      <c r="A374" s="396" t="s">
        <v>790</v>
      </c>
      <c r="B374" s="64">
        <f>I278</f>
        <v>7.7077453326209087</v>
      </c>
      <c r="C374" s="64">
        <v>2.5</v>
      </c>
      <c r="D374" s="64">
        <f>K342</f>
        <v>4.3257420407901845</v>
      </c>
      <c r="E374" s="141">
        <f t="shared" si="58"/>
        <v>2.5</v>
      </c>
      <c r="F374" s="691"/>
      <c r="G374" s="692"/>
      <c r="H374" s="693"/>
      <c r="I374" s="693"/>
      <c r="K374" s="88">
        <f>MIN(K$351*$B374/$B$380,$C374/$C$380,K$351*$D374/$D$380)</f>
        <v>1.9964963265185465</v>
      </c>
      <c r="L374" s="88">
        <f t="shared" ref="L374:O377" si="71">MIN(L$351*$B374/$B$380,$C374/$C$380,L$351*$D374/$D$380)</f>
        <v>2.3292457142716376</v>
      </c>
      <c r="M374" s="88">
        <f t="shared" si="71"/>
        <v>2.5</v>
      </c>
      <c r="N374" s="88">
        <f t="shared" si="71"/>
        <v>2.5</v>
      </c>
      <c r="O374" s="88">
        <f t="shared" si="71"/>
        <v>2.5</v>
      </c>
      <c r="P374"/>
      <c r="Q374" s="690"/>
      <c r="R374" s="690"/>
      <c r="S374" s="690"/>
      <c r="T374" s="690"/>
      <c r="U374" s="690"/>
      <c r="V374" s="690"/>
    </row>
    <row r="375" spans="1:22" ht="45">
      <c r="A375" s="396" t="s">
        <v>791</v>
      </c>
      <c r="B375" s="64">
        <f t="shared" ref="B375:B377" si="72">I279</f>
        <v>9.3427216152980712</v>
      </c>
      <c r="C375" s="64">
        <v>2.5</v>
      </c>
      <c r="D375" s="64">
        <f t="shared" ref="D375:D377" si="73">K343</f>
        <v>5.6998499553586548</v>
      </c>
      <c r="E375" s="141">
        <f t="shared" si="58"/>
        <v>2.5</v>
      </c>
      <c r="F375" s="694"/>
      <c r="G375" s="73"/>
      <c r="H375" s="695"/>
      <c r="I375" s="695"/>
      <c r="K375" s="88">
        <f t="shared" ref="K375:K377" si="74">MIN(K$351*$B375/$B$380,$C375/$C$380,K$351*$D375/$D$380)</f>
        <v>2.5</v>
      </c>
      <c r="L375" s="88">
        <f t="shared" si="71"/>
        <v>2.5</v>
      </c>
      <c r="M375" s="88">
        <f t="shared" si="71"/>
        <v>2.5</v>
      </c>
      <c r="N375" s="88">
        <f t="shared" si="71"/>
        <v>2.5</v>
      </c>
      <c r="O375" s="88">
        <f t="shared" si="71"/>
        <v>2.5</v>
      </c>
      <c r="P375"/>
      <c r="Q375" s="690"/>
      <c r="R375" s="690"/>
      <c r="S375" s="690"/>
      <c r="T375" s="690"/>
      <c r="U375" s="690"/>
      <c r="V375" s="690"/>
    </row>
    <row r="376" spans="1:22" ht="45">
      <c r="A376" s="396" t="s">
        <v>792</v>
      </c>
      <c r="B376" s="64">
        <f t="shared" si="72"/>
        <v>9.3427216152980712</v>
      </c>
      <c r="C376" s="64">
        <v>2.5</v>
      </c>
      <c r="D376" s="64">
        <f t="shared" si="73"/>
        <v>5.6998499553586548</v>
      </c>
      <c r="E376" s="141">
        <f t="shared" si="58"/>
        <v>2.5</v>
      </c>
      <c r="F376" s="694"/>
      <c r="G376" s="73"/>
      <c r="H376" s="695"/>
      <c r="I376" s="695"/>
      <c r="K376" s="88">
        <f t="shared" si="74"/>
        <v>2.5</v>
      </c>
      <c r="L376" s="88">
        <f t="shared" si="71"/>
        <v>2.5</v>
      </c>
      <c r="M376" s="88">
        <f t="shared" si="71"/>
        <v>2.5</v>
      </c>
      <c r="N376" s="88">
        <f t="shared" si="71"/>
        <v>2.5</v>
      </c>
      <c r="O376" s="88">
        <f t="shared" si="71"/>
        <v>2.5</v>
      </c>
      <c r="P376"/>
      <c r="Q376" s="690"/>
      <c r="R376" s="690"/>
      <c r="S376" s="690"/>
      <c r="T376" s="690"/>
      <c r="U376" s="690"/>
      <c r="V376" s="690"/>
    </row>
    <row r="377" spans="1:22" ht="45.75" thickBot="1">
      <c r="A377" s="438" t="s">
        <v>793</v>
      </c>
      <c r="B377" s="487">
        <f t="shared" si="72"/>
        <v>10.977697897975233</v>
      </c>
      <c r="C377" s="487">
        <v>2.5</v>
      </c>
      <c r="D377" s="487">
        <f t="shared" si="73"/>
        <v>8.1423948599315175</v>
      </c>
      <c r="E377" s="488">
        <f t="shared" si="58"/>
        <v>2.5</v>
      </c>
      <c r="F377" s="696"/>
      <c r="G377" s="697"/>
      <c r="H377" s="698"/>
      <c r="I377" s="698"/>
      <c r="K377" s="370">
        <f t="shared" si="74"/>
        <v>2.5</v>
      </c>
      <c r="L377" s="370">
        <f t="shared" si="71"/>
        <v>2.5</v>
      </c>
      <c r="M377" s="370">
        <f t="shared" si="71"/>
        <v>2.5</v>
      </c>
      <c r="N377" s="370">
        <f t="shared" si="71"/>
        <v>2.5</v>
      </c>
      <c r="O377" s="370">
        <f t="shared" si="71"/>
        <v>2.5</v>
      </c>
      <c r="P377"/>
      <c r="Q377" s="690"/>
      <c r="R377" s="690"/>
      <c r="S377" s="690"/>
      <c r="T377" s="690"/>
      <c r="U377" s="690"/>
      <c r="V377" s="690"/>
    </row>
    <row r="378" spans="1:22" ht="45.75" thickTop="1">
      <c r="A378" s="411" t="s">
        <v>407</v>
      </c>
      <c r="B378" s="489">
        <f>G282</f>
        <v>5.9937262203768435</v>
      </c>
      <c r="C378" s="489">
        <v>2.5</v>
      </c>
      <c r="D378" s="489">
        <f>I346</f>
        <v>1.1213768528916248</v>
      </c>
      <c r="E378" s="490">
        <f t="shared" si="58"/>
        <v>1.1213768528916248</v>
      </c>
      <c r="F378" s="489">
        <f>I282</f>
        <v>5.9937262203768435</v>
      </c>
      <c r="G378" s="489">
        <f>K346</f>
        <v>1.1213768528916248</v>
      </c>
      <c r="H378" s="490">
        <f t="shared" si="67"/>
        <v>1.1213768528916248</v>
      </c>
      <c r="I378" s="490">
        <f t="shared" si="68"/>
        <v>5.1213768528916246</v>
      </c>
      <c r="K378" s="371">
        <f t="shared" ref="K378:O379" si="75">MIN(K$351*$B378/$B$380,$C378/$C$380,K$351*$D378/$D$380)</f>
        <v>0.51755854748844221</v>
      </c>
      <c r="L378" s="371">
        <f t="shared" si="75"/>
        <v>0.60381830540318249</v>
      </c>
      <c r="M378" s="371">
        <f t="shared" si="75"/>
        <v>0.69007806331792299</v>
      </c>
      <c r="N378" s="371">
        <f t="shared" si="75"/>
        <v>0.77633782123266337</v>
      </c>
      <c r="O378" s="371">
        <f t="shared" si="75"/>
        <v>0.86259757914740365</v>
      </c>
      <c r="P378"/>
      <c r="Q378" s="116"/>
      <c r="R378" s="116"/>
      <c r="S378" s="116"/>
      <c r="T378" s="116"/>
      <c r="U378" s="116"/>
    </row>
    <row r="379" spans="1:22" ht="45">
      <c r="A379" s="411" t="s">
        <v>408</v>
      </c>
      <c r="B379" s="64">
        <f>G283</f>
        <v>5.9937262203768435</v>
      </c>
      <c r="C379" s="64">
        <v>2.5</v>
      </c>
      <c r="D379" s="64">
        <f>I347</f>
        <v>1.1213768528916248</v>
      </c>
      <c r="E379" s="141">
        <f t="shared" si="58"/>
        <v>1.1213768528916248</v>
      </c>
      <c r="F379" s="64">
        <f>I283</f>
        <v>5.9937262203768435</v>
      </c>
      <c r="G379" s="64">
        <f>K347</f>
        <v>1.1213768528916248</v>
      </c>
      <c r="H379" s="141">
        <f t="shared" si="67"/>
        <v>1.1213768528916248</v>
      </c>
      <c r="I379" s="141">
        <f t="shared" si="68"/>
        <v>5.1213768528916246</v>
      </c>
      <c r="K379" s="88">
        <f t="shared" si="75"/>
        <v>0.51755854748844221</v>
      </c>
      <c r="L379" s="88">
        <f t="shared" si="75"/>
        <v>0.60381830540318249</v>
      </c>
      <c r="M379" s="88">
        <f t="shared" si="75"/>
        <v>0.69007806331792299</v>
      </c>
      <c r="N379" s="88">
        <f t="shared" si="75"/>
        <v>0.77633782123266337</v>
      </c>
      <c r="O379" s="88">
        <f t="shared" si="75"/>
        <v>0.86259757914740365</v>
      </c>
      <c r="P379"/>
      <c r="Q379" s="116"/>
      <c r="R379" s="116"/>
      <c r="S379" s="116"/>
      <c r="T379" s="116"/>
      <c r="U379" s="116"/>
    </row>
    <row r="380" spans="1:22">
      <c r="A380" s="361" t="s">
        <v>338</v>
      </c>
      <c r="B380" s="14">
        <v>1.3</v>
      </c>
      <c r="C380" s="359">
        <v>1</v>
      </c>
      <c r="D380" s="14">
        <v>1.3</v>
      </c>
    </row>
    <row r="381" spans="1:22">
      <c r="A381" s="3"/>
      <c r="D381" s="100"/>
    </row>
    <row r="382" spans="1:22" hidden="1">
      <c r="A382" s="161" t="s">
        <v>202</v>
      </c>
      <c r="B382" s="22">
        <v>65</v>
      </c>
      <c r="C382" t="s">
        <v>65</v>
      </c>
      <c r="D382" s="100"/>
    </row>
    <row r="383" spans="1:22" ht="18" hidden="1">
      <c r="A383" s="161" t="s">
        <v>203</v>
      </c>
      <c r="B383">
        <f>16+B382/2</f>
        <v>48.5</v>
      </c>
      <c r="C383" t="s">
        <v>65</v>
      </c>
      <c r="D383" s="162" t="s">
        <v>204</v>
      </c>
      <c r="K383" s="754" t="s">
        <v>227</v>
      </c>
      <c r="L383" s="755"/>
      <c r="M383" s="755"/>
      <c r="N383" s="756"/>
      <c r="S383" s="754" t="s">
        <v>227</v>
      </c>
      <c r="T383" s="755"/>
      <c r="U383" s="755"/>
      <c r="V383" s="756"/>
    </row>
    <row r="384" spans="1:22" ht="18" hidden="1">
      <c r="A384" s="23" t="s">
        <v>39</v>
      </c>
      <c r="B384" s="163">
        <f>B215</f>
        <v>385</v>
      </c>
      <c r="C384" t="s">
        <v>40</v>
      </c>
      <c r="D384" s="100"/>
      <c r="K384" s="758" t="s">
        <v>206</v>
      </c>
      <c r="L384" s="759"/>
      <c r="M384" s="759"/>
      <c r="N384" s="760"/>
      <c r="P384"/>
      <c r="S384" s="758" t="s">
        <v>228</v>
      </c>
      <c r="T384" s="759"/>
      <c r="U384" s="759"/>
      <c r="V384" s="760"/>
    </row>
    <row r="385" spans="1:22" ht="18" hidden="1">
      <c r="A385" s="4" t="s">
        <v>2</v>
      </c>
      <c r="B385" s="164" t="s">
        <v>207</v>
      </c>
      <c r="C385" s="5" t="s">
        <v>208</v>
      </c>
      <c r="D385" s="150" t="s">
        <v>183</v>
      </c>
      <c r="E385" s="164" t="s">
        <v>209</v>
      </c>
      <c r="F385" s="5" t="s">
        <v>210</v>
      </c>
      <c r="G385" s="4" t="s">
        <v>211</v>
      </c>
      <c r="K385" s="764" t="s">
        <v>229</v>
      </c>
      <c r="L385" s="762"/>
      <c r="M385" s="762"/>
      <c r="N385" s="765"/>
      <c r="P385" s="766" t="s">
        <v>199</v>
      </c>
      <c r="Q385" s="766"/>
      <c r="S385" s="764" t="s">
        <v>229</v>
      </c>
      <c r="T385" s="762"/>
      <c r="U385" s="762"/>
      <c r="V385" s="765"/>
    </row>
    <row r="386" spans="1:22" ht="30" hidden="1">
      <c r="A386" s="8"/>
      <c r="B386" s="166" t="s">
        <v>17</v>
      </c>
      <c r="C386" s="8"/>
      <c r="D386" s="151" t="s">
        <v>18</v>
      </c>
      <c r="E386" s="166" t="s">
        <v>18</v>
      </c>
      <c r="F386" s="8"/>
      <c r="G386" s="82" t="s">
        <v>17</v>
      </c>
      <c r="K386" s="178">
        <v>0.6</v>
      </c>
      <c r="L386" s="178">
        <v>0.7</v>
      </c>
      <c r="M386" s="178">
        <v>0.8</v>
      </c>
      <c r="N386" s="178">
        <v>0.9</v>
      </c>
      <c r="P386" s="159" t="s">
        <v>212</v>
      </c>
      <c r="Q386" s="159" t="s">
        <v>201</v>
      </c>
      <c r="S386" s="178">
        <v>0.6</v>
      </c>
      <c r="T386" s="178">
        <v>0.7</v>
      </c>
      <c r="U386" s="178">
        <v>0.8</v>
      </c>
      <c r="V386" s="178">
        <v>0.9</v>
      </c>
    </row>
    <row r="387" spans="1:22" hidden="1">
      <c r="A387" s="44" t="s">
        <v>214</v>
      </c>
      <c r="B387" s="168">
        <f t="shared" ref="B387:B395" si="76">MIN(B352,D352)</f>
        <v>6.5399051307086493</v>
      </c>
      <c r="C387" s="169">
        <v>0.108</v>
      </c>
      <c r="D387" s="153">
        <v>21</v>
      </c>
      <c r="E387" s="168">
        <f>D387+10+$B$383</f>
        <v>79.5</v>
      </c>
      <c r="F387" s="170">
        <f>1/(1+E387*C387)</f>
        <v>0.10431879824744418</v>
      </c>
      <c r="G387" s="171">
        <f>F387*B387</f>
        <v>0.68223504388782064</v>
      </c>
      <c r="K387" s="88">
        <f>$G387*K$386/1.3</f>
        <v>0.31487771256360952</v>
      </c>
      <c r="L387" s="88">
        <f t="shared" ref="L387:N397" si="77">$G387*L$386/1.3</f>
        <v>0.36735733132421106</v>
      </c>
      <c r="M387" s="88">
        <f t="shared" si="77"/>
        <v>0.4198369500848127</v>
      </c>
      <c r="N387" s="88">
        <f t="shared" si="77"/>
        <v>0.47231656884541434</v>
      </c>
      <c r="P387" s="179">
        <f>K387*200/1.35</f>
        <v>46.64855000942363</v>
      </c>
      <c r="Q387" s="179">
        <f>(K387+(4/1.3*0.6))*200/1.35</f>
        <v>320.15282351369706</v>
      </c>
      <c r="S387" s="88">
        <f t="shared" ref="S387:V397" si="78">($G387+$B$220)*S$405/1.3</f>
        <v>2.1610315587174558</v>
      </c>
      <c r="T387" s="88">
        <f t="shared" si="78"/>
        <v>2.5212034851703646</v>
      </c>
      <c r="U387" s="88">
        <f t="shared" si="78"/>
        <v>2.8813754116232744</v>
      </c>
      <c r="V387" s="88">
        <f t="shared" si="78"/>
        <v>3.2415473380761832</v>
      </c>
    </row>
    <row r="388" spans="1:22" hidden="1">
      <c r="A388" s="44" t="s">
        <v>215</v>
      </c>
      <c r="B388" s="168">
        <f t="shared" si="76"/>
        <v>8.8755855345331689</v>
      </c>
      <c r="C388" s="169">
        <v>6.9000000000000006E-2</v>
      </c>
      <c r="D388" s="153">
        <v>31</v>
      </c>
      <c r="E388" s="168">
        <f t="shared" ref="E388:E397" si="79">D388+10+$B$383</f>
        <v>89.5</v>
      </c>
      <c r="F388" s="170">
        <f t="shared" ref="F388:F397" si="80">1/(1+E388*C388)</f>
        <v>0.13936311058462825</v>
      </c>
      <c r="G388" s="171">
        <f t="shared" ref="G388:G397" si="81">F388*B388</f>
        <v>1.2369292083524728</v>
      </c>
      <c r="K388" s="88">
        <f t="shared" ref="K388:K397" si="82">$G388*K$386/1.3</f>
        <v>0.57089040385498746</v>
      </c>
      <c r="L388" s="88">
        <f t="shared" si="77"/>
        <v>0.66603880449748532</v>
      </c>
      <c r="M388" s="88">
        <f t="shared" si="77"/>
        <v>0.76118720513998328</v>
      </c>
      <c r="N388" s="88">
        <f t="shared" si="77"/>
        <v>0.85633560578248114</v>
      </c>
      <c r="P388" s="179">
        <f t="shared" ref="P388:P397" si="83">K388*200/1.35</f>
        <v>84.576356126664805</v>
      </c>
      <c r="Q388" s="179">
        <f t="shared" ref="Q388:Q397" si="84">(K388+(4/1.3*0.6))*200/1.35</f>
        <v>358.08062963093823</v>
      </c>
      <c r="S388" s="88">
        <f t="shared" si="78"/>
        <v>2.4170442500088334</v>
      </c>
      <c r="T388" s="88">
        <f t="shared" si="78"/>
        <v>2.8198849583436392</v>
      </c>
      <c r="U388" s="88">
        <f t="shared" si="78"/>
        <v>3.222725666678445</v>
      </c>
      <c r="V388" s="88">
        <f t="shared" si="78"/>
        <v>3.6255663750132507</v>
      </c>
    </row>
    <row r="389" spans="1:22" hidden="1">
      <c r="A389" s="44" t="s">
        <v>216</v>
      </c>
      <c r="B389" s="168">
        <f t="shared" si="76"/>
        <v>13.079810261417299</v>
      </c>
      <c r="C389" s="169">
        <v>5.3999999999999999E-2</v>
      </c>
      <c r="D389" s="153">
        <v>41</v>
      </c>
      <c r="E389" s="168">
        <f t="shared" si="79"/>
        <v>99.5</v>
      </c>
      <c r="F389" s="170">
        <f t="shared" si="80"/>
        <v>0.15691197238349286</v>
      </c>
      <c r="G389" s="171">
        <f t="shared" si="81"/>
        <v>2.0523788265208376</v>
      </c>
      <c r="K389" s="88">
        <f t="shared" si="82"/>
        <v>0.94725176608654038</v>
      </c>
      <c r="L389" s="88">
        <f t="shared" si="77"/>
        <v>1.1051270604342971</v>
      </c>
      <c r="M389" s="88">
        <f t="shared" si="77"/>
        <v>1.2630023547820539</v>
      </c>
      <c r="N389" s="88">
        <f t="shared" si="77"/>
        <v>1.4208776491298105</v>
      </c>
      <c r="P389" s="179">
        <f t="shared" si="83"/>
        <v>140.33359497578374</v>
      </c>
      <c r="Q389" s="179">
        <f t="shared" si="84"/>
        <v>413.83786848005724</v>
      </c>
      <c r="S389" s="88">
        <f t="shared" si="78"/>
        <v>2.7934056122403863</v>
      </c>
      <c r="T389" s="88">
        <f t="shared" si="78"/>
        <v>3.2589732142804504</v>
      </c>
      <c r="U389" s="88">
        <f t="shared" si="78"/>
        <v>3.7245408163205154</v>
      </c>
      <c r="V389" s="88">
        <f t="shared" si="78"/>
        <v>4.1901084183605795</v>
      </c>
    </row>
    <row r="390" spans="1:22" hidden="1">
      <c r="A390" s="44" t="s">
        <v>217</v>
      </c>
      <c r="B390" s="168">
        <f t="shared" si="76"/>
        <v>17.050466947918981</v>
      </c>
      <c r="C390" s="169">
        <v>4.4999999999999998E-2</v>
      </c>
      <c r="D390" s="153">
        <v>51</v>
      </c>
      <c r="E390" s="168">
        <f t="shared" si="79"/>
        <v>109.5</v>
      </c>
      <c r="F390" s="170">
        <f t="shared" si="80"/>
        <v>0.16870518768452128</v>
      </c>
      <c r="G390" s="171">
        <f t="shared" si="81"/>
        <v>2.8765022265573985</v>
      </c>
      <c r="K390" s="88">
        <f t="shared" si="82"/>
        <v>1.3276164122572607</v>
      </c>
      <c r="L390" s="88">
        <f t="shared" si="77"/>
        <v>1.5488858143001374</v>
      </c>
      <c r="M390" s="88">
        <f t="shared" si="77"/>
        <v>1.7701552163430145</v>
      </c>
      <c r="N390" s="88">
        <f t="shared" si="77"/>
        <v>1.9914246183858912</v>
      </c>
      <c r="P390" s="179">
        <f t="shared" si="83"/>
        <v>196.68391292700156</v>
      </c>
      <c r="Q390" s="179">
        <f t="shared" si="84"/>
        <v>470.18818643127503</v>
      </c>
      <c r="S390" s="88">
        <f t="shared" si="78"/>
        <v>3.1737702584111069</v>
      </c>
      <c r="T390" s="88">
        <f t="shared" si="78"/>
        <v>3.7027319681462911</v>
      </c>
      <c r="U390" s="88">
        <f t="shared" si="78"/>
        <v>4.2316936778814762</v>
      </c>
      <c r="V390" s="88">
        <f t="shared" si="78"/>
        <v>4.7606553876166604</v>
      </c>
    </row>
    <row r="391" spans="1:22" hidden="1">
      <c r="A391" s="44" t="s">
        <v>218</v>
      </c>
      <c r="B391" s="168">
        <f t="shared" si="76"/>
        <v>21.254691674803112</v>
      </c>
      <c r="C391" s="169">
        <v>3.7999999999999999E-2</v>
      </c>
      <c r="D391" s="153">
        <v>61</v>
      </c>
      <c r="E391" s="168">
        <f t="shared" si="79"/>
        <v>119.5</v>
      </c>
      <c r="F391" s="170">
        <f t="shared" si="80"/>
        <v>0.18047283883775495</v>
      </c>
      <c r="G391" s="171">
        <f t="shared" si="81"/>
        <v>3.8358945451729136</v>
      </c>
      <c r="K391" s="88">
        <f t="shared" si="82"/>
        <v>1.7704128670028829</v>
      </c>
      <c r="L391" s="88">
        <f t="shared" si="77"/>
        <v>2.0654816781700305</v>
      </c>
      <c r="M391" s="88">
        <f t="shared" si="77"/>
        <v>2.3605504893371778</v>
      </c>
      <c r="N391" s="88">
        <f t="shared" si="77"/>
        <v>2.6556193005043247</v>
      </c>
      <c r="P391" s="179">
        <f t="shared" si="83"/>
        <v>262.28338770413075</v>
      </c>
      <c r="Q391" s="179">
        <f t="shared" si="84"/>
        <v>535.7876612084043</v>
      </c>
      <c r="S391" s="88">
        <f t="shared" si="78"/>
        <v>3.616566713156729</v>
      </c>
      <c r="T391" s="88">
        <f t="shared" si="78"/>
        <v>4.2193278320161838</v>
      </c>
      <c r="U391" s="88">
        <f t="shared" si="78"/>
        <v>4.8220889508756395</v>
      </c>
      <c r="V391" s="88">
        <f t="shared" si="78"/>
        <v>5.4248500697350934</v>
      </c>
    </row>
    <row r="392" spans="1:22" hidden="1">
      <c r="A392" s="44" t="s">
        <v>219</v>
      </c>
      <c r="B392" s="168">
        <f t="shared" si="76"/>
        <v>25.458916401687247</v>
      </c>
      <c r="C392" s="169">
        <v>3.4000000000000002E-2</v>
      </c>
      <c r="D392" s="153">
        <v>71</v>
      </c>
      <c r="E392" s="168">
        <f t="shared" si="79"/>
        <v>129.5</v>
      </c>
      <c r="F392" s="170">
        <f t="shared" si="80"/>
        <v>0.18508236165093464</v>
      </c>
      <c r="G392" s="171">
        <f t="shared" si="81"/>
        <v>4.7119963726979908</v>
      </c>
      <c r="K392" s="88">
        <f t="shared" si="82"/>
        <v>2.1747675566298419</v>
      </c>
      <c r="L392" s="88">
        <f t="shared" si="77"/>
        <v>2.5372288160681489</v>
      </c>
      <c r="M392" s="88">
        <f t="shared" si="77"/>
        <v>2.8996900755064559</v>
      </c>
      <c r="N392" s="88">
        <f t="shared" si="77"/>
        <v>3.2621513349447628</v>
      </c>
      <c r="P392" s="179">
        <f t="shared" si="83"/>
        <v>322.18778616738399</v>
      </c>
      <c r="Q392" s="179">
        <f t="shared" si="84"/>
        <v>595.69205967165738</v>
      </c>
      <c r="S392" s="88">
        <f t="shared" si="78"/>
        <v>4.0209214027836877</v>
      </c>
      <c r="T392" s="88">
        <f t="shared" si="78"/>
        <v>4.6910749699143022</v>
      </c>
      <c r="U392" s="88">
        <f t="shared" si="78"/>
        <v>5.3612285370449175</v>
      </c>
      <c r="V392" s="88">
        <f t="shared" si="78"/>
        <v>6.031382104175532</v>
      </c>
    </row>
    <row r="393" spans="1:22" hidden="1">
      <c r="A393" s="44" t="s">
        <v>220</v>
      </c>
      <c r="B393" s="168">
        <f t="shared" si="76"/>
        <v>15.415490665241817</v>
      </c>
      <c r="C393" s="169">
        <v>0.03</v>
      </c>
      <c r="D393" s="153">
        <v>66</v>
      </c>
      <c r="E393" s="168">
        <f t="shared" si="79"/>
        <v>124.5</v>
      </c>
      <c r="F393" s="170">
        <f t="shared" si="80"/>
        <v>0.2111932418162619</v>
      </c>
      <c r="G393" s="171">
        <f t="shared" si="81"/>
        <v>3.2556474477807429</v>
      </c>
      <c r="K393" s="88">
        <f t="shared" si="82"/>
        <v>1.5026065143603429</v>
      </c>
      <c r="L393" s="88">
        <f t="shared" si="77"/>
        <v>1.7530409334204</v>
      </c>
      <c r="M393" s="88">
        <f t="shared" si="77"/>
        <v>2.0034753524804572</v>
      </c>
      <c r="N393" s="88">
        <f t="shared" si="77"/>
        <v>2.2539097715405143</v>
      </c>
      <c r="P393" s="179">
        <f t="shared" si="83"/>
        <v>222.60837249782858</v>
      </c>
      <c r="Q393" s="179">
        <f t="shared" si="84"/>
        <v>496.112646002102</v>
      </c>
      <c r="S393" s="88">
        <f t="shared" si="78"/>
        <v>3.3487603605141887</v>
      </c>
      <c r="T393" s="88">
        <f t="shared" si="78"/>
        <v>3.9068870872665533</v>
      </c>
      <c r="U393" s="88">
        <f t="shared" si="78"/>
        <v>4.4650138140189188</v>
      </c>
      <c r="V393" s="88">
        <f t="shared" si="78"/>
        <v>5.0231405407712835</v>
      </c>
    </row>
    <row r="394" spans="1:22" hidden="1">
      <c r="A394" s="44" t="s">
        <v>221</v>
      </c>
      <c r="B394" s="168">
        <f t="shared" si="76"/>
        <v>23.590372078627627</v>
      </c>
      <c r="C394" s="169">
        <v>2.4E-2</v>
      </c>
      <c r="D394" s="153">
        <v>87</v>
      </c>
      <c r="E394" s="168">
        <f t="shared" si="79"/>
        <v>145.5</v>
      </c>
      <c r="F394" s="170">
        <f t="shared" si="80"/>
        <v>0.22261798753339271</v>
      </c>
      <c r="G394" s="171">
        <f t="shared" si="81"/>
        <v>5.2516411573080202</v>
      </c>
      <c r="K394" s="88">
        <f t="shared" si="82"/>
        <v>2.4238343802960092</v>
      </c>
      <c r="L394" s="88">
        <f t="shared" si="77"/>
        <v>2.8278067770120106</v>
      </c>
      <c r="M394" s="88">
        <f t="shared" si="77"/>
        <v>3.2317791737280124</v>
      </c>
      <c r="N394" s="88">
        <f t="shared" si="77"/>
        <v>3.6357515704440138</v>
      </c>
      <c r="P394" s="179">
        <f t="shared" si="83"/>
        <v>359.08657485866797</v>
      </c>
      <c r="Q394" s="179">
        <f t="shared" si="84"/>
        <v>632.59084836294153</v>
      </c>
      <c r="S394" s="88">
        <f t="shared" si="78"/>
        <v>4.269988226449855</v>
      </c>
      <c r="T394" s="88">
        <f t="shared" si="78"/>
        <v>4.9816529308581643</v>
      </c>
      <c r="U394" s="88">
        <f t="shared" si="78"/>
        <v>5.6933176352664736</v>
      </c>
      <c r="V394" s="88">
        <f t="shared" si="78"/>
        <v>6.4049823396747838</v>
      </c>
    </row>
    <row r="395" spans="1:22" hidden="1">
      <c r="A395" s="44" t="s">
        <v>222</v>
      </c>
      <c r="B395" s="168">
        <f t="shared" si="76"/>
        <v>31.99882153239589</v>
      </c>
      <c r="C395" s="169">
        <v>0.02</v>
      </c>
      <c r="D395" s="153">
        <v>110</v>
      </c>
      <c r="E395" s="168">
        <f t="shared" si="79"/>
        <v>168.5</v>
      </c>
      <c r="F395" s="170">
        <f t="shared" si="80"/>
        <v>0.22883295194508008</v>
      </c>
      <c r="G395" s="171">
        <f t="shared" si="81"/>
        <v>7.3223847900219425</v>
      </c>
      <c r="K395" s="88">
        <f t="shared" si="82"/>
        <v>3.3795622107793579</v>
      </c>
      <c r="L395" s="88">
        <f t="shared" si="77"/>
        <v>3.9428225792425842</v>
      </c>
      <c r="M395" s="88">
        <f t="shared" si="77"/>
        <v>4.5060829477058109</v>
      </c>
      <c r="N395" s="88">
        <f t="shared" si="77"/>
        <v>5.0693433161690367</v>
      </c>
      <c r="P395" s="179">
        <f t="shared" si="83"/>
        <v>500.67588307842334</v>
      </c>
      <c r="Q395" s="179">
        <f t="shared" si="84"/>
        <v>774.18015658269667</v>
      </c>
      <c r="S395" s="88">
        <f t="shared" si="78"/>
        <v>5.2257160569332042</v>
      </c>
      <c r="T395" s="88">
        <f t="shared" si="78"/>
        <v>6.0966687330887375</v>
      </c>
      <c r="U395" s="88">
        <f t="shared" si="78"/>
        <v>6.9676214092442716</v>
      </c>
      <c r="V395" s="88">
        <f t="shared" si="78"/>
        <v>7.8385740853998067</v>
      </c>
    </row>
    <row r="396" spans="1:22" hidden="1">
      <c r="A396" s="44" t="s">
        <v>223</v>
      </c>
      <c r="B396" s="168">
        <f>B395</f>
        <v>31.99882153239589</v>
      </c>
      <c r="C396" s="169">
        <v>1.7999999999999999E-2</v>
      </c>
      <c r="D396" s="153">
        <v>130</v>
      </c>
      <c r="E396" s="168">
        <f t="shared" si="79"/>
        <v>188.5</v>
      </c>
      <c r="F396" s="170">
        <f t="shared" si="80"/>
        <v>0.22763487366264512</v>
      </c>
      <c r="G396" s="171">
        <f t="shared" si="81"/>
        <v>7.2840476968804673</v>
      </c>
      <c r="K396" s="88">
        <f t="shared" si="82"/>
        <v>3.361868167790985</v>
      </c>
      <c r="L396" s="88">
        <f t="shared" si="77"/>
        <v>3.9221795290894819</v>
      </c>
      <c r="M396" s="88">
        <f t="shared" si="77"/>
        <v>4.4824908903879805</v>
      </c>
      <c r="N396" s="88">
        <f t="shared" si="77"/>
        <v>5.042802251686477</v>
      </c>
      <c r="P396" s="179">
        <f t="shared" si="83"/>
        <v>498.05454337644215</v>
      </c>
      <c r="Q396" s="179">
        <f t="shared" si="84"/>
        <v>771.55881688071565</v>
      </c>
      <c r="S396" s="88">
        <f t="shared" si="78"/>
        <v>5.2080220139448308</v>
      </c>
      <c r="T396" s="88">
        <f t="shared" si="78"/>
        <v>6.0760256829356356</v>
      </c>
      <c r="U396" s="88">
        <f t="shared" si="78"/>
        <v>6.9440293519264413</v>
      </c>
      <c r="V396" s="88">
        <f t="shared" si="78"/>
        <v>7.8120330209172462</v>
      </c>
    </row>
    <row r="397" spans="1:22" hidden="1">
      <c r="A397" s="44" t="s">
        <v>224</v>
      </c>
      <c r="B397" s="168">
        <f>B396</f>
        <v>31.99882153239589</v>
      </c>
      <c r="C397" s="169">
        <v>1.6E-2</v>
      </c>
      <c r="D397" s="153">
        <v>240</v>
      </c>
      <c r="E397" s="168">
        <f t="shared" si="79"/>
        <v>298.5</v>
      </c>
      <c r="F397" s="170">
        <f t="shared" si="80"/>
        <v>0.17313019390581719</v>
      </c>
      <c r="G397" s="171">
        <f t="shared" si="81"/>
        <v>5.5399621766613389</v>
      </c>
      <c r="K397" s="88">
        <f t="shared" si="82"/>
        <v>2.5569056199975408</v>
      </c>
      <c r="L397" s="88">
        <f t="shared" si="77"/>
        <v>2.9830565566637977</v>
      </c>
      <c r="M397" s="88">
        <f t="shared" si="77"/>
        <v>3.4092074933300549</v>
      </c>
      <c r="N397" s="88">
        <f t="shared" si="77"/>
        <v>3.8353584299963117</v>
      </c>
      <c r="P397" s="179">
        <f t="shared" si="83"/>
        <v>378.80083259222829</v>
      </c>
      <c r="Q397" s="179">
        <f t="shared" si="84"/>
        <v>652.30510609650173</v>
      </c>
      <c r="S397" s="88">
        <f t="shared" si="78"/>
        <v>4.4030594661513875</v>
      </c>
      <c r="T397" s="88">
        <f t="shared" si="78"/>
        <v>5.1369027105099514</v>
      </c>
      <c r="U397" s="88">
        <f t="shared" si="78"/>
        <v>5.8707459548685161</v>
      </c>
      <c r="V397" s="88">
        <f t="shared" si="78"/>
        <v>6.6045891992270809</v>
      </c>
    </row>
    <row r="398" spans="1:22" hidden="1">
      <c r="A398" s="3"/>
      <c r="B398" s="172"/>
      <c r="C398" s="173"/>
      <c r="D398" s="100"/>
      <c r="E398" s="172"/>
      <c r="F398" s="174"/>
      <c r="G398" s="175"/>
      <c r="K398" s="116"/>
      <c r="L398" s="116"/>
      <c r="M398" s="116"/>
      <c r="N398" s="116"/>
      <c r="P398" s="176"/>
      <c r="Q398" s="176"/>
    </row>
    <row r="399" spans="1:22" hidden="1">
      <c r="A399" s="3"/>
      <c r="D399" s="100"/>
    </row>
    <row r="400" spans="1:22" ht="23.25" hidden="1">
      <c r="A400" s="177" t="s">
        <v>225</v>
      </c>
      <c r="D400" s="100"/>
    </row>
    <row r="401" spans="1:22" hidden="1">
      <c r="A401" s="161" t="s">
        <v>202</v>
      </c>
      <c r="B401" s="22">
        <v>58</v>
      </c>
      <c r="C401" t="s">
        <v>65</v>
      </c>
      <c r="D401" s="100"/>
    </row>
    <row r="402" spans="1:22" ht="18" hidden="1">
      <c r="A402" s="161" t="s">
        <v>203</v>
      </c>
      <c r="B402">
        <f>19+B401/2</f>
        <v>48</v>
      </c>
      <c r="C402" t="s">
        <v>65</v>
      </c>
      <c r="D402" s="162" t="s">
        <v>226</v>
      </c>
      <c r="K402" s="754" t="s">
        <v>227</v>
      </c>
      <c r="L402" s="755"/>
      <c r="M402" s="755"/>
      <c r="N402" s="756"/>
      <c r="S402" s="754" t="s">
        <v>227</v>
      </c>
      <c r="T402" s="755"/>
      <c r="U402" s="755"/>
      <c r="V402" s="756"/>
    </row>
    <row r="403" spans="1:22" ht="18" hidden="1">
      <c r="A403" s="23" t="s">
        <v>39</v>
      </c>
      <c r="B403" s="163">
        <v>380</v>
      </c>
      <c r="C403" t="s">
        <v>40</v>
      </c>
      <c r="D403" s="100"/>
      <c r="K403" s="758" t="s">
        <v>206</v>
      </c>
      <c r="L403" s="759"/>
      <c r="M403" s="759"/>
      <c r="N403" s="760"/>
      <c r="P403"/>
      <c r="S403" s="758" t="s">
        <v>228</v>
      </c>
      <c r="T403" s="759"/>
      <c r="U403" s="759"/>
      <c r="V403" s="760"/>
    </row>
    <row r="404" spans="1:22" ht="18" hidden="1">
      <c r="A404" s="4" t="s">
        <v>2</v>
      </c>
      <c r="B404" s="164" t="s">
        <v>207</v>
      </c>
      <c r="C404" s="5" t="s">
        <v>208</v>
      </c>
      <c r="D404" s="150" t="s">
        <v>183</v>
      </c>
      <c r="E404" s="164" t="s">
        <v>209</v>
      </c>
      <c r="F404" s="5" t="s">
        <v>210</v>
      </c>
      <c r="G404" s="4" t="s">
        <v>211</v>
      </c>
      <c r="K404" s="764" t="s">
        <v>229</v>
      </c>
      <c r="L404" s="762"/>
      <c r="M404" s="762"/>
      <c r="N404" s="765"/>
      <c r="P404" s="766" t="s">
        <v>199</v>
      </c>
      <c r="Q404" s="766"/>
      <c r="S404" s="764" t="s">
        <v>229</v>
      </c>
      <c r="T404" s="762"/>
      <c r="U404" s="762"/>
      <c r="V404" s="765"/>
    </row>
    <row r="405" spans="1:22" ht="30" hidden="1">
      <c r="A405" s="8"/>
      <c r="B405" s="166" t="s">
        <v>17</v>
      </c>
      <c r="C405" s="8"/>
      <c r="D405" s="151" t="s">
        <v>18</v>
      </c>
      <c r="E405" s="166" t="s">
        <v>18</v>
      </c>
      <c r="F405" s="8"/>
      <c r="G405" s="82" t="s">
        <v>17</v>
      </c>
      <c r="K405" s="178">
        <v>0.6</v>
      </c>
      <c r="L405" s="178">
        <v>0.7</v>
      </c>
      <c r="M405" s="178">
        <v>0.8</v>
      </c>
      <c r="N405" s="178">
        <v>0.9</v>
      </c>
      <c r="P405" s="159" t="s">
        <v>212</v>
      </c>
      <c r="Q405" s="159" t="s">
        <v>201</v>
      </c>
      <c r="S405" s="178">
        <v>0.6</v>
      </c>
      <c r="T405" s="178">
        <v>0.7</v>
      </c>
      <c r="U405" s="178">
        <v>0.8</v>
      </c>
      <c r="V405" s="178">
        <v>0.9</v>
      </c>
    </row>
    <row r="406" spans="1:22" hidden="1">
      <c r="A406" s="44" t="s">
        <v>214</v>
      </c>
      <c r="B406" s="168">
        <f t="shared" ref="B406:B414" si="85">MIN(B352,D352)</f>
        <v>6.5399051307086493</v>
      </c>
      <c r="C406" s="169">
        <v>0.108</v>
      </c>
      <c r="D406" s="153">
        <v>21</v>
      </c>
      <c r="E406" s="168">
        <f>D406+10+$B$402</f>
        <v>79</v>
      </c>
      <c r="F406" s="170">
        <f>1/(1+E406*C406)</f>
        <v>0.1049097775912715</v>
      </c>
      <c r="G406" s="171">
        <f>F406*B406</f>
        <v>0.6860999927306598</v>
      </c>
      <c r="K406" s="88">
        <f>$G406*K$386/1.3</f>
        <v>0.31666153510645839</v>
      </c>
      <c r="L406" s="88">
        <f t="shared" ref="L406:N416" si="86">$G406*L$386/1.3</f>
        <v>0.36943845762420141</v>
      </c>
      <c r="M406" s="88">
        <f t="shared" si="86"/>
        <v>0.42221538014194449</v>
      </c>
      <c r="N406" s="88">
        <f t="shared" si="86"/>
        <v>0.4749923026596875</v>
      </c>
      <c r="P406" s="179">
        <f>K406*200/1.35</f>
        <v>46.912820015771608</v>
      </c>
      <c r="Q406" s="179">
        <f>(K406+(4/1.3*0.6))*200/1.35</f>
        <v>320.41709352004506</v>
      </c>
      <c r="S406" s="88">
        <f t="shared" ref="S406:V416" si="87">($G406+$B$220)*S$405/1.3</f>
        <v>2.1628153812603044</v>
      </c>
      <c r="T406" s="88">
        <f t="shared" si="87"/>
        <v>2.5232846114703551</v>
      </c>
      <c r="U406" s="88">
        <f t="shared" si="87"/>
        <v>2.8837538416804063</v>
      </c>
      <c r="V406" s="88">
        <f t="shared" si="87"/>
        <v>3.244223071890457</v>
      </c>
    </row>
    <row r="407" spans="1:22" hidden="1">
      <c r="A407" s="44" t="s">
        <v>215</v>
      </c>
      <c r="B407" s="168">
        <f t="shared" si="85"/>
        <v>8.8755855345331689</v>
      </c>
      <c r="C407" s="169">
        <v>6.9000000000000006E-2</v>
      </c>
      <c r="D407" s="153">
        <v>31</v>
      </c>
      <c r="E407" s="168">
        <f t="shared" ref="E407:E416" si="88">D407+10+$B$402</f>
        <v>89</v>
      </c>
      <c r="F407" s="170">
        <f t="shared" ref="F407:F416" si="89">1/(1+E407*C407)</f>
        <v>0.14003640946646126</v>
      </c>
      <c r="G407" s="171">
        <f t="shared" ref="G407:G416" si="90">F407*B407</f>
        <v>1.2429051301684872</v>
      </c>
      <c r="K407" s="88">
        <f t="shared" ref="K407:K416" si="91">$G407*K$386/1.3</f>
        <v>0.57364852161622482</v>
      </c>
      <c r="L407" s="88">
        <f t="shared" si="86"/>
        <v>0.66925660855226232</v>
      </c>
      <c r="M407" s="88">
        <f t="shared" si="86"/>
        <v>0.76486469548829994</v>
      </c>
      <c r="N407" s="88">
        <f t="shared" si="86"/>
        <v>0.86047278242433722</v>
      </c>
      <c r="P407" s="179">
        <f t="shared" ref="P407:P416" si="92">K407*200/1.35</f>
        <v>84.984966165366629</v>
      </c>
      <c r="Q407" s="179">
        <f t="shared" ref="Q407:Q416" si="93">(K407+(4/1.3*0.6))*200/1.35</f>
        <v>358.48923966964009</v>
      </c>
      <c r="S407" s="88">
        <f t="shared" si="87"/>
        <v>2.4198023677700711</v>
      </c>
      <c r="T407" s="88">
        <f t="shared" si="87"/>
        <v>2.8231027623984155</v>
      </c>
      <c r="U407" s="88">
        <f t="shared" si="87"/>
        <v>3.2264031570267613</v>
      </c>
      <c r="V407" s="88">
        <f t="shared" si="87"/>
        <v>3.6297035516551066</v>
      </c>
    </row>
    <row r="408" spans="1:22" hidden="1">
      <c r="A408" s="44" t="s">
        <v>216</v>
      </c>
      <c r="B408" s="168">
        <f t="shared" si="85"/>
        <v>13.079810261417299</v>
      </c>
      <c r="C408" s="169">
        <v>5.3999999999999999E-2</v>
      </c>
      <c r="D408" s="153">
        <v>41</v>
      </c>
      <c r="E408" s="168">
        <f t="shared" si="88"/>
        <v>99</v>
      </c>
      <c r="F408" s="170">
        <f t="shared" si="89"/>
        <v>0.15757957768673181</v>
      </c>
      <c r="G408" s="171">
        <f t="shared" si="90"/>
        <v>2.0611109772167193</v>
      </c>
      <c r="K408" s="88">
        <f t="shared" si="91"/>
        <v>0.9512819894846396</v>
      </c>
      <c r="L408" s="88">
        <f t="shared" si="86"/>
        <v>1.1098289877320795</v>
      </c>
      <c r="M408" s="88">
        <f t="shared" si="86"/>
        <v>1.2683759859795196</v>
      </c>
      <c r="N408" s="88">
        <f t="shared" si="86"/>
        <v>1.4269229842269595</v>
      </c>
      <c r="P408" s="179">
        <f t="shared" si="92"/>
        <v>140.93066510883548</v>
      </c>
      <c r="Q408" s="179">
        <f t="shared" si="93"/>
        <v>414.43493861310895</v>
      </c>
      <c r="S408" s="88">
        <f t="shared" si="87"/>
        <v>2.7974358356384856</v>
      </c>
      <c r="T408" s="88">
        <f t="shared" si="87"/>
        <v>3.2636751415782332</v>
      </c>
      <c r="U408" s="88">
        <f t="shared" si="87"/>
        <v>3.7299144475179808</v>
      </c>
      <c r="V408" s="88">
        <f t="shared" si="87"/>
        <v>4.1961537534577289</v>
      </c>
    </row>
    <row r="409" spans="1:22" hidden="1">
      <c r="A409" s="44" t="s">
        <v>217</v>
      </c>
      <c r="B409" s="168">
        <f t="shared" si="85"/>
        <v>17.050466947918981</v>
      </c>
      <c r="C409" s="169">
        <v>4.4999999999999998E-2</v>
      </c>
      <c r="D409" s="153">
        <v>51</v>
      </c>
      <c r="E409" s="168">
        <f t="shared" si="88"/>
        <v>109</v>
      </c>
      <c r="F409" s="170">
        <f t="shared" si="89"/>
        <v>0.16934801016088061</v>
      </c>
      <c r="G409" s="171">
        <f t="shared" si="90"/>
        <v>2.8874626499439424</v>
      </c>
      <c r="K409" s="88">
        <f t="shared" si="91"/>
        <v>1.3326750692048963</v>
      </c>
      <c r="L409" s="88">
        <f t="shared" si="86"/>
        <v>1.5547875807390457</v>
      </c>
      <c r="M409" s="88">
        <f t="shared" si="86"/>
        <v>1.7769000922731955</v>
      </c>
      <c r="N409" s="88">
        <f t="shared" si="86"/>
        <v>1.9990126038073448</v>
      </c>
      <c r="P409" s="179">
        <f t="shared" si="92"/>
        <v>197.43334358591056</v>
      </c>
      <c r="Q409" s="179">
        <f t="shared" si="93"/>
        <v>470.93761709018395</v>
      </c>
      <c r="S409" s="88">
        <f t="shared" si="87"/>
        <v>3.1788289153587423</v>
      </c>
      <c r="T409" s="88">
        <f t="shared" si="87"/>
        <v>3.7086337345851996</v>
      </c>
      <c r="U409" s="88">
        <f t="shared" si="87"/>
        <v>4.2384385538116573</v>
      </c>
      <c r="V409" s="88">
        <f t="shared" si="87"/>
        <v>4.7682433730381133</v>
      </c>
    </row>
    <row r="410" spans="1:22" hidden="1">
      <c r="A410" s="44" t="s">
        <v>218</v>
      </c>
      <c r="B410" s="168">
        <f t="shared" si="85"/>
        <v>21.254691674803112</v>
      </c>
      <c r="C410" s="169">
        <v>3.7999999999999999E-2</v>
      </c>
      <c r="D410" s="153">
        <v>61</v>
      </c>
      <c r="E410" s="168">
        <f t="shared" si="88"/>
        <v>119</v>
      </c>
      <c r="F410" s="170">
        <f t="shared" si="89"/>
        <v>0.18109380659181457</v>
      </c>
      <c r="G410" s="171">
        <f t="shared" si="90"/>
        <v>3.8490930233254459</v>
      </c>
      <c r="K410" s="88">
        <f t="shared" si="91"/>
        <v>1.7765044723040517</v>
      </c>
      <c r="L410" s="88">
        <f t="shared" si="86"/>
        <v>2.0725885510213939</v>
      </c>
      <c r="M410" s="88">
        <f t="shared" si="86"/>
        <v>2.3686726297387359</v>
      </c>
      <c r="N410" s="88">
        <f t="shared" si="86"/>
        <v>2.6647567084560779</v>
      </c>
      <c r="P410" s="179">
        <f t="shared" si="92"/>
        <v>263.18584774874842</v>
      </c>
      <c r="Q410" s="179">
        <f t="shared" si="93"/>
        <v>536.69012125302186</v>
      </c>
      <c r="S410" s="88">
        <f t="shared" si="87"/>
        <v>3.6226583184578982</v>
      </c>
      <c r="T410" s="88">
        <f t="shared" si="87"/>
        <v>4.2264347048675477</v>
      </c>
      <c r="U410" s="88">
        <f t="shared" si="87"/>
        <v>4.8302110912771976</v>
      </c>
      <c r="V410" s="88">
        <f t="shared" si="87"/>
        <v>5.4339874776868475</v>
      </c>
    </row>
    <row r="411" spans="1:22" hidden="1">
      <c r="A411" s="44" t="s">
        <v>219</v>
      </c>
      <c r="B411" s="168">
        <f t="shared" si="85"/>
        <v>25.458916401687247</v>
      </c>
      <c r="C411" s="169">
        <v>3.4000000000000002E-2</v>
      </c>
      <c r="D411" s="153">
        <v>71</v>
      </c>
      <c r="E411" s="168">
        <f t="shared" si="88"/>
        <v>129</v>
      </c>
      <c r="F411" s="170">
        <f t="shared" si="89"/>
        <v>0.18566654288897141</v>
      </c>
      <c r="G411" s="171">
        <f t="shared" si="90"/>
        <v>4.7268689940006032</v>
      </c>
      <c r="K411" s="88">
        <f t="shared" si="91"/>
        <v>2.1816318433848938</v>
      </c>
      <c r="L411" s="88">
        <f t="shared" si="86"/>
        <v>2.545237150615709</v>
      </c>
      <c r="M411" s="88">
        <f t="shared" si="86"/>
        <v>2.9088424578465251</v>
      </c>
      <c r="N411" s="88">
        <f t="shared" si="86"/>
        <v>3.2724477650773403</v>
      </c>
      <c r="P411" s="179">
        <f t="shared" si="92"/>
        <v>323.20471753850273</v>
      </c>
      <c r="Q411" s="179">
        <f t="shared" si="93"/>
        <v>596.70899104277623</v>
      </c>
      <c r="S411" s="88">
        <f t="shared" si="87"/>
        <v>4.0277856895387396</v>
      </c>
      <c r="T411" s="88">
        <f t="shared" si="87"/>
        <v>4.6990833044618627</v>
      </c>
      <c r="U411" s="88">
        <f t="shared" si="87"/>
        <v>5.3703809193849876</v>
      </c>
      <c r="V411" s="88">
        <f t="shared" si="87"/>
        <v>6.0416785343081107</v>
      </c>
    </row>
    <row r="412" spans="1:22" hidden="1">
      <c r="A412" s="44" t="s">
        <v>220</v>
      </c>
      <c r="B412" s="168">
        <f t="shared" si="85"/>
        <v>15.415490665241817</v>
      </c>
      <c r="C412" s="169">
        <v>0.03</v>
      </c>
      <c r="D412" s="153">
        <v>66</v>
      </c>
      <c r="E412" s="168">
        <f t="shared" si="88"/>
        <v>124</v>
      </c>
      <c r="F412" s="170">
        <f t="shared" si="89"/>
        <v>0.21186440677966104</v>
      </c>
      <c r="G412" s="171">
        <f t="shared" si="90"/>
        <v>3.2659937850088601</v>
      </c>
      <c r="K412" s="88">
        <f t="shared" si="91"/>
        <v>1.507381746927166</v>
      </c>
      <c r="L412" s="88">
        <f t="shared" si="86"/>
        <v>1.7586120380816936</v>
      </c>
      <c r="M412" s="88">
        <f t="shared" si="86"/>
        <v>2.0098423292362217</v>
      </c>
      <c r="N412" s="88">
        <f t="shared" si="86"/>
        <v>2.261072620390749</v>
      </c>
      <c r="P412" s="179">
        <f t="shared" si="92"/>
        <v>223.31581435958012</v>
      </c>
      <c r="Q412" s="179">
        <f t="shared" si="93"/>
        <v>496.82008786385359</v>
      </c>
      <c r="S412" s="88">
        <f t="shared" si="87"/>
        <v>3.3535355930810122</v>
      </c>
      <c r="T412" s="88">
        <f t="shared" si="87"/>
        <v>3.9124581919278474</v>
      </c>
      <c r="U412" s="88">
        <f t="shared" si="87"/>
        <v>4.471380790774683</v>
      </c>
      <c r="V412" s="88">
        <f t="shared" si="87"/>
        <v>5.0303033896215181</v>
      </c>
    </row>
    <row r="413" spans="1:22" hidden="1">
      <c r="A413" s="44" t="s">
        <v>221</v>
      </c>
      <c r="B413" s="168">
        <f t="shared" si="85"/>
        <v>23.590372078627627</v>
      </c>
      <c r="C413" s="169">
        <v>2.4E-2</v>
      </c>
      <c r="D413" s="153">
        <v>87</v>
      </c>
      <c r="E413" s="168">
        <f t="shared" si="88"/>
        <v>145</v>
      </c>
      <c r="F413" s="170">
        <f t="shared" si="89"/>
        <v>0.2232142857142857</v>
      </c>
      <c r="G413" s="171">
        <f t="shared" si="90"/>
        <v>5.2657080532650946</v>
      </c>
      <c r="K413" s="88">
        <f t="shared" si="91"/>
        <v>2.4303267938146589</v>
      </c>
      <c r="L413" s="88">
        <f t="shared" si="86"/>
        <v>2.8353812594504353</v>
      </c>
      <c r="M413" s="88">
        <f t="shared" si="86"/>
        <v>3.2404357250862121</v>
      </c>
      <c r="N413" s="88">
        <f t="shared" si="86"/>
        <v>3.645490190721989</v>
      </c>
      <c r="P413" s="179">
        <f t="shared" si="92"/>
        <v>360.04841389846797</v>
      </c>
      <c r="Q413" s="179">
        <f t="shared" si="93"/>
        <v>633.5526874027413</v>
      </c>
      <c r="S413" s="88">
        <f t="shared" si="87"/>
        <v>4.2764806399685042</v>
      </c>
      <c r="T413" s="88">
        <f t="shared" si="87"/>
        <v>4.9892274132965886</v>
      </c>
      <c r="U413" s="88">
        <f t="shared" si="87"/>
        <v>5.7019741866246729</v>
      </c>
      <c r="V413" s="88">
        <f t="shared" si="87"/>
        <v>6.4147209599527573</v>
      </c>
    </row>
    <row r="414" spans="1:22" hidden="1">
      <c r="A414" s="44" t="s">
        <v>222</v>
      </c>
      <c r="B414" s="168">
        <f t="shared" si="85"/>
        <v>31.99882153239589</v>
      </c>
      <c r="C414" s="169">
        <v>0.02</v>
      </c>
      <c r="D414" s="153">
        <v>110</v>
      </c>
      <c r="E414" s="168">
        <f t="shared" si="88"/>
        <v>168</v>
      </c>
      <c r="F414" s="170">
        <f t="shared" si="89"/>
        <v>0.22935779816513766</v>
      </c>
      <c r="G414" s="171">
        <f t="shared" si="90"/>
        <v>7.3391792505495177</v>
      </c>
      <c r="K414" s="88">
        <f t="shared" si="91"/>
        <v>3.3873135002536232</v>
      </c>
      <c r="L414" s="88">
        <f t="shared" si="86"/>
        <v>3.9518657502958936</v>
      </c>
      <c r="M414" s="88">
        <f t="shared" si="86"/>
        <v>4.5164180003381649</v>
      </c>
      <c r="N414" s="88">
        <f t="shared" si="86"/>
        <v>5.0809702503804353</v>
      </c>
      <c r="P414" s="179">
        <f t="shared" si="92"/>
        <v>501.82422225979599</v>
      </c>
      <c r="Q414" s="179">
        <f t="shared" si="93"/>
        <v>775.32849576406954</v>
      </c>
      <c r="S414" s="88">
        <f t="shared" si="87"/>
        <v>5.233467346407469</v>
      </c>
      <c r="T414" s="88">
        <f t="shared" si="87"/>
        <v>6.1057119041420469</v>
      </c>
      <c r="U414" s="88">
        <f t="shared" si="87"/>
        <v>6.9779564618766265</v>
      </c>
      <c r="V414" s="88">
        <f t="shared" si="87"/>
        <v>7.8502010196112035</v>
      </c>
    </row>
    <row r="415" spans="1:22" hidden="1">
      <c r="A415" s="44" t="s">
        <v>223</v>
      </c>
      <c r="B415" s="168">
        <f>B414</f>
        <v>31.99882153239589</v>
      </c>
      <c r="C415" s="169">
        <v>1.7999999999999999E-2</v>
      </c>
      <c r="D415" s="153">
        <v>130</v>
      </c>
      <c r="E415" s="168">
        <f t="shared" si="88"/>
        <v>188</v>
      </c>
      <c r="F415" s="170">
        <f t="shared" si="89"/>
        <v>0.22810218978102187</v>
      </c>
      <c r="G415" s="171">
        <f t="shared" si="90"/>
        <v>7.2990012619516165</v>
      </c>
      <c r="K415" s="88">
        <f t="shared" si="91"/>
        <v>3.3687698132084383</v>
      </c>
      <c r="L415" s="88">
        <f t="shared" si="86"/>
        <v>3.9302314487431778</v>
      </c>
      <c r="M415" s="88">
        <f t="shared" si="86"/>
        <v>4.4916930842779177</v>
      </c>
      <c r="N415" s="88">
        <f t="shared" si="86"/>
        <v>5.0531547198126576</v>
      </c>
      <c r="P415" s="179">
        <f t="shared" si="92"/>
        <v>499.07700936421304</v>
      </c>
      <c r="Q415" s="179">
        <f t="shared" si="93"/>
        <v>772.5812828684866</v>
      </c>
      <c r="S415" s="88">
        <f t="shared" si="87"/>
        <v>5.2149236593622836</v>
      </c>
      <c r="T415" s="88">
        <f t="shared" si="87"/>
        <v>6.0840776025893319</v>
      </c>
      <c r="U415" s="88">
        <f t="shared" si="87"/>
        <v>6.9532315458163803</v>
      </c>
      <c r="V415" s="88">
        <f t="shared" si="87"/>
        <v>7.8223854890434259</v>
      </c>
    </row>
    <row r="416" spans="1:22" hidden="1">
      <c r="A416" s="44" t="s">
        <v>224</v>
      </c>
      <c r="B416" s="168">
        <f>B414</f>
        <v>31.99882153239589</v>
      </c>
      <c r="C416" s="169">
        <v>1.6E-2</v>
      </c>
      <c r="D416" s="153">
        <v>150</v>
      </c>
      <c r="E416" s="168">
        <f t="shared" si="88"/>
        <v>208</v>
      </c>
      <c r="F416" s="170">
        <f t="shared" si="89"/>
        <v>0.23105360443622919</v>
      </c>
      <c r="G416" s="171">
        <f t="shared" si="90"/>
        <v>7.3934430527716932</v>
      </c>
      <c r="K416" s="88">
        <f t="shared" si="91"/>
        <v>3.4123583320484738</v>
      </c>
      <c r="L416" s="88">
        <f t="shared" si="86"/>
        <v>3.981084720723219</v>
      </c>
      <c r="M416" s="88">
        <f t="shared" si="86"/>
        <v>4.5498111093979645</v>
      </c>
      <c r="N416" s="88">
        <f t="shared" si="86"/>
        <v>5.118537498072711</v>
      </c>
      <c r="P416" s="179">
        <f t="shared" si="92"/>
        <v>505.53456771088497</v>
      </c>
      <c r="Q416" s="179">
        <f t="shared" si="93"/>
        <v>779.03884121515853</v>
      </c>
      <c r="S416" s="88">
        <f t="shared" si="87"/>
        <v>5.2585121782023201</v>
      </c>
      <c r="T416" s="88">
        <f t="shared" si="87"/>
        <v>6.1349308745693731</v>
      </c>
      <c r="U416" s="88">
        <f t="shared" si="87"/>
        <v>7.0113495709364271</v>
      </c>
      <c r="V416" s="88">
        <f t="shared" si="87"/>
        <v>7.887768267303481</v>
      </c>
    </row>
    <row r="417" spans="1:39" hidden="1">
      <c r="A417" s="3"/>
      <c r="D417" s="100"/>
    </row>
    <row r="418" spans="1:39" hidden="1">
      <c r="A418" s="3"/>
      <c r="D418" s="100"/>
      <c r="P418"/>
      <c r="Q418"/>
      <c r="R418"/>
      <c r="S418"/>
    </row>
    <row r="419" spans="1:39">
      <c r="U419" s="189"/>
      <c r="V419" s="2"/>
      <c r="W419" s="2"/>
      <c r="X419" s="2"/>
      <c r="Y419" s="2"/>
      <c r="Z419" s="2"/>
      <c r="AA419" s="2"/>
      <c r="AB419" s="2"/>
      <c r="AC419" s="2"/>
      <c r="AE419" s="191"/>
      <c r="AF419" s="188"/>
      <c r="AG419" s="188"/>
      <c r="AH419" s="188"/>
      <c r="AI419" s="188"/>
      <c r="AJ419" s="188"/>
      <c r="AK419" s="188"/>
      <c r="AL419" s="188"/>
      <c r="AM419" s="188"/>
    </row>
    <row r="420" spans="1:39" ht="18.75">
      <c r="A420" s="56" t="s">
        <v>86</v>
      </c>
      <c r="U420" s="105"/>
      <c r="V420" s="189"/>
      <c r="W420" s="105"/>
      <c r="X420" s="191"/>
      <c r="Y420" s="188"/>
      <c r="Z420" s="188"/>
      <c r="AA420" s="188"/>
      <c r="AB420" s="188"/>
      <c r="AE420" s="105"/>
      <c r="AF420" s="191"/>
      <c r="AG420" s="105"/>
      <c r="AH420" s="191"/>
      <c r="AI420" s="188"/>
      <c r="AJ420" s="188"/>
      <c r="AK420" s="188"/>
      <c r="AL420" s="188"/>
      <c r="AM420" s="24"/>
    </row>
    <row r="421" spans="1:39">
      <c r="L421" s="3"/>
      <c r="U421" s="189"/>
      <c r="V421" s="2"/>
      <c r="W421" s="188"/>
      <c r="X421" s="188"/>
      <c r="Y421" s="188"/>
      <c r="Z421" s="188"/>
      <c r="AA421" s="191"/>
      <c r="AB421" s="188"/>
      <c r="AE421" s="191"/>
      <c r="AF421" s="188"/>
      <c r="AG421" s="188"/>
      <c r="AH421" s="188"/>
      <c r="AI421" s="188"/>
      <c r="AJ421" s="188"/>
      <c r="AK421" s="191"/>
      <c r="AL421" s="188"/>
      <c r="AM421" s="24"/>
    </row>
    <row r="422" spans="1:39" ht="18">
      <c r="A422" s="4" t="s">
        <v>2</v>
      </c>
      <c r="B422" s="5" t="s">
        <v>43</v>
      </c>
      <c r="C422" s="5" t="s">
        <v>87</v>
      </c>
      <c r="D422" s="5" t="s">
        <v>88</v>
      </c>
      <c r="E422" s="5" t="s">
        <v>89</v>
      </c>
      <c r="F422" s="5" t="s">
        <v>90</v>
      </c>
      <c r="I422" s="105" t="s">
        <v>91</v>
      </c>
      <c r="L422" s="165"/>
      <c r="U422" s="2"/>
      <c r="V422" s="2"/>
      <c r="W422" s="188"/>
      <c r="X422" s="188"/>
      <c r="Y422" s="188"/>
      <c r="Z422" s="188"/>
      <c r="AA422" s="191"/>
      <c r="AB422" s="188"/>
      <c r="AE422" s="188"/>
      <c r="AF422" s="188"/>
      <c r="AG422" s="188"/>
      <c r="AH422" s="188"/>
      <c r="AI422" s="188"/>
      <c r="AJ422" s="188"/>
      <c r="AK422" s="191"/>
      <c r="AL422" s="188"/>
      <c r="AM422" s="24"/>
    </row>
    <row r="423" spans="1:39">
      <c r="A423" s="8"/>
      <c r="B423" s="9" t="s">
        <v>19</v>
      </c>
      <c r="C423" s="9" t="s">
        <v>18</v>
      </c>
      <c r="D423" s="9" t="s">
        <v>18</v>
      </c>
      <c r="E423" s="9" t="s">
        <v>92</v>
      </c>
      <c r="F423" s="9" t="s">
        <v>17</v>
      </c>
      <c r="I423" s="105" t="s">
        <v>93</v>
      </c>
      <c r="L423" s="165"/>
      <c r="U423" s="189"/>
      <c r="V423" s="2"/>
      <c r="W423" s="2"/>
      <c r="X423" s="2"/>
      <c r="Y423" s="2"/>
      <c r="Z423" s="189"/>
      <c r="AA423" s="2"/>
      <c r="AB423" s="189"/>
      <c r="AE423" s="191"/>
      <c r="AF423" s="188"/>
      <c r="AG423" s="188"/>
      <c r="AH423" s="188"/>
      <c r="AI423" s="188"/>
      <c r="AJ423" s="188"/>
      <c r="AK423" s="188"/>
      <c r="AL423" s="188"/>
      <c r="AM423" s="24"/>
    </row>
    <row r="424" spans="1:39">
      <c r="A424" s="44" t="s">
        <v>242</v>
      </c>
      <c r="B424" s="35">
        <v>1</v>
      </c>
      <c r="C424" s="66">
        <v>12</v>
      </c>
      <c r="D424" s="66">
        <v>49</v>
      </c>
      <c r="E424" s="65">
        <f>0.082*(1-0.01*C424)*$B$447/(1.35+0.015*C427)</f>
        <v>16.507189542483658</v>
      </c>
      <c r="F424" s="65">
        <f t="shared" ref="F424:F431" si="94">B424*MIN(0.4*C424*D424*E424/1000,1.15/1000*SQRT(2*I424*E424*C424)+((0.52*SQRT(C424)*D424^0.9*$B$447^0.8)/1000)/4)</f>
        <v>3.8824909803921575</v>
      </c>
      <c r="G424" s="90" t="s">
        <v>243</v>
      </c>
      <c r="H424" s="90"/>
      <c r="I424" s="194">
        <f t="shared" ref="I424:I430" si="95">0.15*600*C424^2.6</f>
        <v>57559.067465202104</v>
      </c>
      <c r="L424" s="165"/>
      <c r="U424" s="2"/>
      <c r="V424" s="2"/>
      <c r="W424" s="2"/>
      <c r="X424" s="2"/>
      <c r="Y424" s="2"/>
      <c r="Z424" s="2"/>
      <c r="AA424" s="2"/>
      <c r="AB424" s="2"/>
      <c r="AE424" s="188"/>
      <c r="AF424" s="188"/>
      <c r="AG424" s="188"/>
      <c r="AH424" s="188"/>
      <c r="AI424" s="188"/>
      <c r="AJ424" s="188"/>
      <c r="AK424" s="188"/>
      <c r="AL424" s="188"/>
      <c r="AM424" s="24"/>
    </row>
    <row r="425" spans="1:39">
      <c r="A425" s="44" t="s">
        <v>244</v>
      </c>
      <c r="B425" s="35">
        <v>1</v>
      </c>
      <c r="C425" s="66">
        <v>12</v>
      </c>
      <c r="D425" s="66">
        <v>45</v>
      </c>
      <c r="E425" s="65">
        <f>0.082*(1-0.01*C425)*$B$447/(1.35+0.015*C425)</f>
        <v>16.507189542483658</v>
      </c>
      <c r="F425" s="65">
        <f t="shared" si="94"/>
        <v>3.5655529411764704</v>
      </c>
      <c r="G425" s="90" t="s">
        <v>245</v>
      </c>
      <c r="H425" s="90"/>
      <c r="I425" s="194">
        <f t="shared" si="95"/>
        <v>57559.067465202104</v>
      </c>
      <c r="L425" s="165"/>
      <c r="U425" s="2"/>
      <c r="V425" s="2"/>
      <c r="W425" s="2"/>
      <c r="X425" s="2"/>
      <c r="Y425" s="2"/>
      <c r="Z425" s="2"/>
      <c r="AA425" s="2"/>
      <c r="AB425" s="2"/>
      <c r="AE425" s="188"/>
      <c r="AF425" s="188"/>
      <c r="AG425" s="188"/>
      <c r="AH425" s="188"/>
      <c r="AI425" s="188"/>
      <c r="AJ425" s="188"/>
      <c r="AK425" s="188"/>
      <c r="AL425" s="188"/>
      <c r="AM425" s="24"/>
    </row>
    <row r="426" spans="1:39">
      <c r="A426" s="44" t="s">
        <v>246</v>
      </c>
      <c r="B426" s="35">
        <v>1</v>
      </c>
      <c r="C426" s="66">
        <v>12</v>
      </c>
      <c r="D426" s="66">
        <v>49</v>
      </c>
      <c r="E426" s="65">
        <f>0.082*(1-0.01*C426)*$B$447</f>
        <v>25.256</v>
      </c>
      <c r="F426" s="65">
        <f t="shared" si="94"/>
        <v>5.9402112000000011</v>
      </c>
      <c r="G426" s="90"/>
      <c r="H426" s="90"/>
      <c r="I426" s="194">
        <f t="shared" si="95"/>
        <v>57559.067465202104</v>
      </c>
      <c r="L426" s="165"/>
      <c r="U426" s="2"/>
      <c r="V426" s="2"/>
      <c r="W426" s="2"/>
      <c r="X426" s="2"/>
      <c r="Y426" s="2"/>
      <c r="Z426" s="2"/>
      <c r="AA426" s="2"/>
      <c r="AB426" s="2"/>
      <c r="AE426" s="188"/>
      <c r="AF426" s="188"/>
      <c r="AG426" s="188"/>
      <c r="AH426" s="188"/>
      <c r="AI426" s="188"/>
      <c r="AJ426" s="188"/>
      <c r="AK426" s="188"/>
      <c r="AL426" s="188"/>
      <c r="AM426" s="24"/>
    </row>
    <row r="427" spans="1:39">
      <c r="A427" s="44" t="s">
        <v>247</v>
      </c>
      <c r="B427" s="35">
        <v>1</v>
      </c>
      <c r="C427" s="66">
        <v>12</v>
      </c>
      <c r="D427" s="66">
        <v>49</v>
      </c>
      <c r="E427" s="65">
        <f>0.082*(1-0.01*C427)*$B$447</f>
        <v>25.256</v>
      </c>
      <c r="F427" s="65">
        <f t="shared" si="94"/>
        <v>5.9402112000000011</v>
      </c>
      <c r="G427" s="90"/>
      <c r="H427" s="90"/>
      <c r="I427" s="194">
        <f t="shared" si="95"/>
        <v>57559.067465202104</v>
      </c>
      <c r="L427" s="165"/>
      <c r="U427" s="2"/>
      <c r="V427" s="2"/>
      <c r="W427" s="2"/>
      <c r="X427" s="2"/>
      <c r="Y427" s="2"/>
      <c r="Z427" s="2"/>
      <c r="AA427" s="2"/>
      <c r="AB427" s="2"/>
      <c r="AE427" s="188"/>
      <c r="AF427" s="188"/>
      <c r="AG427" s="188"/>
      <c r="AH427" s="188"/>
      <c r="AI427" s="188"/>
      <c r="AJ427" s="188"/>
      <c r="AK427" s="188"/>
      <c r="AL427" s="188"/>
      <c r="AM427" s="24"/>
    </row>
    <row r="428" spans="1:39">
      <c r="A428" s="44" t="s">
        <v>248</v>
      </c>
      <c r="B428" s="35">
        <v>1</v>
      </c>
      <c r="C428" s="66">
        <v>16</v>
      </c>
      <c r="D428" s="66">
        <v>46</v>
      </c>
      <c r="E428" s="65">
        <f>0.082*(1-0.01*C428)*$B$447/(1.35+0.015*C428)</f>
        <v>15.162264150943395</v>
      </c>
      <c r="F428" s="65">
        <f t="shared" si="94"/>
        <v>4.463770566037736</v>
      </c>
      <c r="G428" s="90" t="s">
        <v>243</v>
      </c>
      <c r="H428" s="90"/>
      <c r="I428" s="194">
        <f t="shared" si="95"/>
        <v>121605.84905682993</v>
      </c>
      <c r="L428" s="165"/>
      <c r="U428" s="2"/>
      <c r="V428" s="2"/>
      <c r="W428" s="2"/>
      <c r="X428" s="2"/>
      <c r="Y428" s="2"/>
      <c r="Z428" s="189"/>
      <c r="AA428" s="2"/>
      <c r="AB428" s="2"/>
      <c r="AE428" s="188"/>
      <c r="AF428" s="188"/>
      <c r="AG428" s="188"/>
      <c r="AH428" s="188"/>
      <c r="AI428" s="188"/>
      <c r="AJ428" s="188"/>
      <c r="AK428" s="188"/>
      <c r="AL428" s="188"/>
      <c r="AM428" s="24"/>
    </row>
    <row r="429" spans="1:39">
      <c r="A429" s="44" t="s">
        <v>249</v>
      </c>
      <c r="B429" s="35">
        <v>1</v>
      </c>
      <c r="C429" s="66">
        <v>16</v>
      </c>
      <c r="D429" s="66">
        <v>46</v>
      </c>
      <c r="E429" s="65">
        <f>0.082*(1-0.01*C429)*$B$447/(1.35+0.015*C429)</f>
        <v>15.162264150943395</v>
      </c>
      <c r="F429" s="65">
        <f t="shared" si="94"/>
        <v>4.463770566037736</v>
      </c>
      <c r="G429" s="90" t="s">
        <v>243</v>
      </c>
      <c r="H429" s="90"/>
      <c r="I429" s="194">
        <f>0.15*600*C429^2.6</f>
        <v>121605.84905682993</v>
      </c>
      <c r="L429" s="165"/>
      <c r="U429" s="2"/>
      <c r="V429" s="2"/>
      <c r="W429" s="2"/>
      <c r="X429" s="2"/>
      <c r="Y429" s="2"/>
      <c r="Z429" s="189"/>
      <c r="AA429" s="2"/>
      <c r="AB429" s="2"/>
      <c r="AE429" s="188"/>
      <c r="AF429" s="188"/>
      <c r="AG429" s="188"/>
      <c r="AH429" s="188"/>
      <c r="AI429" s="188"/>
      <c r="AJ429" s="188"/>
      <c r="AK429" s="188"/>
      <c r="AL429" s="188"/>
      <c r="AM429" s="24"/>
    </row>
    <row r="430" spans="1:39">
      <c r="A430" s="44" t="s">
        <v>250</v>
      </c>
      <c r="B430" s="35">
        <v>1</v>
      </c>
      <c r="C430" s="66">
        <v>16</v>
      </c>
      <c r="D430" s="66">
        <v>45</v>
      </c>
      <c r="E430" s="65">
        <f>0.082*(1-0.01*C430)*$B$447/(1.35+0.015*C430)</f>
        <v>15.162264150943395</v>
      </c>
      <c r="F430" s="65">
        <f t="shared" si="94"/>
        <v>4.3667320754716972</v>
      </c>
      <c r="G430" s="90" t="s">
        <v>245</v>
      </c>
      <c r="H430" s="90"/>
      <c r="I430" s="194">
        <f t="shared" si="95"/>
        <v>121605.84905682993</v>
      </c>
      <c r="L430" s="165"/>
      <c r="U430" s="2"/>
      <c r="V430" s="2"/>
      <c r="W430" s="2"/>
      <c r="X430" s="2"/>
      <c r="Y430" s="2"/>
      <c r="Z430" s="189"/>
      <c r="AA430" s="2"/>
      <c r="AB430" s="2"/>
      <c r="AE430" s="188"/>
      <c r="AF430" s="188"/>
      <c r="AG430" s="188"/>
      <c r="AH430" s="188"/>
      <c r="AI430" s="188"/>
      <c r="AJ430" s="188"/>
      <c r="AK430" s="188"/>
      <c r="AL430" s="188"/>
      <c r="AM430" s="24"/>
    </row>
    <row r="431" spans="1:39">
      <c r="A431" s="44" t="s">
        <v>251</v>
      </c>
      <c r="B431" s="35">
        <v>1</v>
      </c>
      <c r="C431" s="66">
        <v>10</v>
      </c>
      <c r="D431" s="66">
        <v>60</v>
      </c>
      <c r="E431" s="65">
        <f>0.082*(1-0.01*C431)*$B$447/(1.35+0.015*C431)</f>
        <v>17.220000000000002</v>
      </c>
      <c r="F431" s="65">
        <f t="shared" si="94"/>
        <v>4.1328000000000005</v>
      </c>
      <c r="G431" s="90" t="s">
        <v>243</v>
      </c>
      <c r="H431" s="90"/>
      <c r="I431" s="194">
        <v>35000</v>
      </c>
      <c r="L431" s="165"/>
      <c r="U431" s="2"/>
      <c r="V431" s="2"/>
      <c r="W431" s="2"/>
      <c r="X431" s="2"/>
      <c r="Y431" s="2"/>
      <c r="Z431" s="189"/>
      <c r="AA431" s="2"/>
      <c r="AB431" s="2"/>
      <c r="AE431" s="188"/>
      <c r="AF431" s="188"/>
      <c r="AG431" s="188"/>
      <c r="AH431" s="188"/>
      <c r="AI431" s="188"/>
      <c r="AJ431" s="188"/>
      <c r="AK431" s="188"/>
      <c r="AL431" s="188"/>
      <c r="AM431" s="24"/>
    </row>
    <row r="432" spans="1:39">
      <c r="A432" s="44" t="s">
        <v>252</v>
      </c>
      <c r="B432" s="35">
        <v>1</v>
      </c>
      <c r="C432" s="66">
        <v>16</v>
      </c>
      <c r="D432" s="66">
        <v>46</v>
      </c>
      <c r="E432" s="65">
        <f>0.082*(1-0.01*C432)*$B$447</f>
        <v>24.108000000000001</v>
      </c>
      <c r="F432" s="65">
        <f>B432*MIN(0.4*C432*D432*E432/1000,1.15/1000*SQRT(2*I433*E432*C432)+((0.52*SQRT(C432)*D432^0.9*$B$447^0.8)/1000)/4)</f>
        <v>7.0973952000000011</v>
      </c>
      <c r="G432" s="90"/>
      <c r="H432" s="90"/>
      <c r="I432" s="194">
        <f>0.15*600*C433^2.6</f>
        <v>121605.84905682993</v>
      </c>
      <c r="L432" s="165"/>
      <c r="U432" s="2"/>
      <c r="V432" s="2"/>
      <c r="W432" s="2"/>
      <c r="X432" s="2"/>
      <c r="Y432" s="2"/>
      <c r="Z432" s="189"/>
      <c r="AA432" s="2"/>
      <c r="AB432" s="2"/>
      <c r="AE432" s="188"/>
      <c r="AF432" s="188"/>
      <c r="AG432" s="188"/>
      <c r="AH432" s="188"/>
      <c r="AI432" s="188"/>
      <c r="AJ432" s="188"/>
      <c r="AK432" s="188"/>
      <c r="AL432" s="188"/>
      <c r="AM432" s="24"/>
    </row>
    <row r="433" spans="1:39">
      <c r="A433" s="44" t="s">
        <v>253</v>
      </c>
      <c r="B433" s="35">
        <v>1</v>
      </c>
      <c r="C433" s="66">
        <v>16</v>
      </c>
      <c r="D433" s="66">
        <v>46</v>
      </c>
      <c r="E433" s="65">
        <f>0.082*(1-0.01*C433)*$B$447</f>
        <v>24.108000000000001</v>
      </c>
      <c r="F433" s="65">
        <f>B433*MIN(0.4*C433*D433*E433/1000,1.15/1000*SQRT(2*I432*E433*C433)+((0.52*SQRT(C433)*D433^0.9*$B$447^0.8)/1000)/4)</f>
        <v>7.0973952000000011</v>
      </c>
      <c r="G433" s="90"/>
      <c r="H433" s="90"/>
      <c r="I433" s="194">
        <f>0.15*600*C432^2.6</f>
        <v>121605.84905682993</v>
      </c>
      <c r="L433" s="165"/>
      <c r="U433" s="2"/>
      <c r="V433" s="2"/>
      <c r="W433" s="2"/>
      <c r="X433" s="2"/>
      <c r="Y433" s="2"/>
      <c r="Z433" s="189"/>
      <c r="AA433" s="2"/>
      <c r="AB433" s="2"/>
      <c r="AE433" s="188"/>
      <c r="AF433" s="188"/>
      <c r="AG433" s="188"/>
      <c r="AH433" s="188"/>
      <c r="AI433" s="188"/>
      <c r="AJ433" s="188"/>
      <c r="AK433" s="188"/>
      <c r="AL433" s="188"/>
      <c r="AM433" s="24"/>
    </row>
    <row r="434" spans="1:39">
      <c r="B434" s="90"/>
      <c r="C434" s="90"/>
      <c r="D434" s="90"/>
      <c r="E434" s="90"/>
      <c r="F434" s="90"/>
      <c r="G434" s="90"/>
      <c r="H434" s="90"/>
      <c r="I434" s="90"/>
      <c r="L434" s="3"/>
      <c r="U434" s="2"/>
      <c r="V434" s="2"/>
      <c r="W434" s="2"/>
      <c r="X434" s="2"/>
      <c r="Y434" s="189"/>
      <c r="Z434" s="2"/>
      <c r="AA434" s="2"/>
      <c r="AB434" s="2"/>
      <c r="AE434" s="188"/>
      <c r="AF434" s="188"/>
      <c r="AG434" s="188"/>
      <c r="AH434" s="188"/>
      <c r="AI434" s="188"/>
      <c r="AJ434" s="188"/>
      <c r="AK434" s="188"/>
      <c r="AL434" s="188"/>
      <c r="AM434" s="24"/>
    </row>
    <row r="435" spans="1:39" ht="18">
      <c r="A435" s="4" t="s">
        <v>2</v>
      </c>
      <c r="B435" s="113" t="s">
        <v>43</v>
      </c>
      <c r="C435" s="113" t="s">
        <v>9</v>
      </c>
      <c r="D435" s="113" t="s">
        <v>111</v>
      </c>
      <c r="E435" s="113" t="s">
        <v>112</v>
      </c>
      <c r="F435" s="113" t="s">
        <v>80</v>
      </c>
      <c r="G435" s="113" t="s">
        <v>113</v>
      </c>
      <c r="H435" s="113" t="s">
        <v>114</v>
      </c>
      <c r="I435" s="90"/>
      <c r="AE435" s="24"/>
      <c r="AF435" s="24"/>
      <c r="AG435" s="24"/>
      <c r="AH435" s="24"/>
      <c r="AI435" s="24"/>
      <c r="AJ435" s="24"/>
      <c r="AK435" s="24"/>
      <c r="AL435" s="24"/>
      <c r="AM435" s="24"/>
    </row>
    <row r="436" spans="1:39">
      <c r="A436" s="8"/>
      <c r="B436" s="47" t="s">
        <v>19</v>
      </c>
      <c r="C436" s="47" t="s">
        <v>18</v>
      </c>
      <c r="D436" s="47" t="s">
        <v>93</v>
      </c>
      <c r="E436" s="47" t="s">
        <v>92</v>
      </c>
      <c r="F436" s="47" t="s">
        <v>18</v>
      </c>
      <c r="G436" s="47" t="s">
        <v>17</v>
      </c>
      <c r="H436" s="47" t="s">
        <v>17</v>
      </c>
      <c r="I436" s="90"/>
      <c r="AE436" s="24"/>
      <c r="AF436" s="24"/>
      <c r="AG436" s="24"/>
      <c r="AH436" s="24"/>
      <c r="AI436" s="24"/>
      <c r="AJ436" s="24"/>
      <c r="AK436" s="24"/>
      <c r="AL436" s="24"/>
      <c r="AM436" s="24"/>
    </row>
    <row r="437" spans="1:39">
      <c r="A437" s="44" t="s">
        <v>254</v>
      </c>
      <c r="B437" s="35">
        <v>2</v>
      </c>
      <c r="C437" s="66">
        <v>6</v>
      </c>
      <c r="D437" s="66">
        <v>6300</v>
      </c>
      <c r="E437" s="65">
        <f>(0.082)*$B$447*C437^-0.3</f>
        <v>16.766272546647741</v>
      </c>
      <c r="F437" s="66">
        <v>44</v>
      </c>
      <c r="G437" s="195">
        <f>(0.52*SQRT(C437)*44^0.9*$B$447^0.8)/1200</f>
        <v>3.4694414845552783</v>
      </c>
      <c r="H437" s="65">
        <f t="shared" ref="H437:H444" si="96">B437*MIN((2.3*SQRT(C437*D437*E437))/1000+G437/4,E437*C437*F437/1000,E437*C437*F437/1000*(SQRT(2+4*D437/(C437*E437*F437^2))-1)+G437/4)</f>
        <v>5.3967515400578954</v>
      </c>
      <c r="I437" s="90" t="s">
        <v>255</v>
      </c>
      <c r="U437" s="2"/>
      <c r="V437" s="2"/>
      <c r="W437" s="2"/>
      <c r="X437" s="2"/>
      <c r="Y437" s="2"/>
      <c r="Z437" s="2"/>
      <c r="AA437" s="2"/>
      <c r="AB437" s="2"/>
      <c r="AC437" s="2"/>
      <c r="AE437" s="188"/>
      <c r="AF437" s="188"/>
      <c r="AG437" s="188"/>
      <c r="AH437" s="188"/>
      <c r="AI437" s="188"/>
      <c r="AJ437" s="188"/>
      <c r="AK437" s="188"/>
      <c r="AL437" s="188"/>
      <c r="AM437" s="188"/>
    </row>
    <row r="438" spans="1:39">
      <c r="A438" s="44" t="s">
        <v>246</v>
      </c>
      <c r="B438" s="35">
        <v>2</v>
      </c>
      <c r="C438" s="66">
        <v>6</v>
      </c>
      <c r="D438" s="66">
        <v>6300</v>
      </c>
      <c r="E438" s="65">
        <f>(0.033+0)*$B$447*C438^-0.3</f>
        <v>6.7474023663338469</v>
      </c>
      <c r="F438" s="66">
        <v>44</v>
      </c>
      <c r="G438" s="195">
        <f>(0.52*SQRT(C438)*44^0.9*$B$447^0.8)/1200</f>
        <v>3.4694414845552783</v>
      </c>
      <c r="H438" s="65">
        <f t="shared" si="96"/>
        <v>3.5626284494242708</v>
      </c>
      <c r="I438" s="90"/>
      <c r="U438" s="2"/>
      <c r="V438" s="2"/>
      <c r="W438" s="2"/>
      <c r="X438" s="2"/>
      <c r="Y438" s="2"/>
      <c r="Z438" s="2"/>
      <c r="AA438" s="2"/>
      <c r="AB438" s="2"/>
      <c r="AC438" s="2"/>
      <c r="AE438" s="188"/>
      <c r="AF438" s="188"/>
      <c r="AG438" s="188"/>
      <c r="AH438" s="188"/>
      <c r="AI438" s="188"/>
      <c r="AJ438" s="188"/>
      <c r="AK438" s="188"/>
      <c r="AL438" s="188"/>
      <c r="AM438" s="188"/>
    </row>
    <row r="439" spans="1:39">
      <c r="A439" s="44" t="s">
        <v>247</v>
      </c>
      <c r="B439" s="35">
        <v>2</v>
      </c>
      <c r="C439" s="66">
        <v>6</v>
      </c>
      <c r="D439" s="66">
        <v>6300</v>
      </c>
      <c r="E439" s="65">
        <f>(0.082)*$B$447*C439^-0.3</f>
        <v>16.766272546647741</v>
      </c>
      <c r="F439" s="66">
        <v>44</v>
      </c>
      <c r="G439" s="195">
        <f>(0.52*SQRT(C439)*44^0.9*$B$447^0.8)/1000</f>
        <v>4.1633297814663335</v>
      </c>
      <c r="H439" s="65">
        <f t="shared" si="96"/>
        <v>5.7436956885134229</v>
      </c>
      <c r="I439" s="90"/>
      <c r="U439" s="2"/>
      <c r="V439" s="2"/>
      <c r="W439" s="2"/>
      <c r="X439" s="2"/>
      <c r="Y439" s="2"/>
      <c r="Z439" s="2"/>
      <c r="AA439" s="2"/>
      <c r="AB439" s="2"/>
      <c r="AC439" s="2"/>
      <c r="AE439" s="188"/>
      <c r="AF439" s="188"/>
      <c r="AG439" s="188"/>
      <c r="AH439" s="188"/>
      <c r="AI439" s="188"/>
      <c r="AJ439" s="188"/>
      <c r="AK439" s="188"/>
      <c r="AL439" s="188"/>
      <c r="AM439" s="188"/>
    </row>
    <row r="440" spans="1:39">
      <c r="A440" s="44" t="s">
        <v>248</v>
      </c>
      <c r="B440" s="35">
        <v>2</v>
      </c>
      <c r="C440" s="66">
        <v>10</v>
      </c>
      <c r="D440" s="66">
        <v>23900</v>
      </c>
      <c r="E440" s="65">
        <f>(0.082+0)*$B$447*C440^-0.3</f>
        <v>14.384073605102715</v>
      </c>
      <c r="F440" s="66">
        <v>54</v>
      </c>
      <c r="G440" s="65">
        <f>(0.52*SQRT(C440)*50^0.9*$B$447^0.8)/1200</f>
        <v>5.0251558670694791</v>
      </c>
      <c r="H440" s="65">
        <f t="shared" si="96"/>
        <v>10.165376161070458</v>
      </c>
      <c r="I440" s="90" t="s">
        <v>243</v>
      </c>
      <c r="U440" s="105"/>
      <c r="V440" s="189"/>
      <c r="W440" s="105"/>
      <c r="X440" s="188"/>
      <c r="Y440" s="188"/>
      <c r="Z440" s="188"/>
      <c r="AA440" s="188"/>
      <c r="AB440" s="188"/>
      <c r="AE440" s="105"/>
      <c r="AF440" s="191"/>
      <c r="AG440" s="105"/>
      <c r="AH440" s="188"/>
      <c r="AI440" s="188"/>
      <c r="AJ440" s="188"/>
      <c r="AK440" s="188"/>
      <c r="AL440" s="188"/>
      <c r="AM440" s="24"/>
    </row>
    <row r="441" spans="1:39">
      <c r="A441" s="44" t="s">
        <v>249</v>
      </c>
      <c r="B441" s="35">
        <v>2</v>
      </c>
      <c r="C441" s="66">
        <v>6</v>
      </c>
      <c r="D441" s="66">
        <v>6300</v>
      </c>
      <c r="E441" s="65">
        <f>(0.082+0)*$B$447*C441^-0.3</f>
        <v>16.766272546647741</v>
      </c>
      <c r="F441" s="66">
        <v>44</v>
      </c>
      <c r="G441" s="65">
        <f>(0.52*SQRT(C441)*50^0.9*$B$447^0.8)/1200</f>
        <v>3.8924689970513175</v>
      </c>
      <c r="H441" s="65">
        <f>B441*MIN((2.3*SQRT(C441*D441*E441))/1000+G441/4,E441*C441*F441/1000,E441*C441*F441/1000*(SQRT(2+4*D441/(C441*E441*F441^2))-1)+G441/4)</f>
        <v>5.6082652963059152</v>
      </c>
      <c r="I441" s="90" t="s">
        <v>243</v>
      </c>
      <c r="U441" s="105"/>
      <c r="V441" s="189"/>
      <c r="W441" s="105"/>
      <c r="X441" s="188"/>
      <c r="Y441" s="188"/>
      <c r="Z441" s="188"/>
      <c r="AA441" s="188"/>
      <c r="AB441" s="188"/>
      <c r="AE441" s="105"/>
      <c r="AF441" s="191"/>
      <c r="AG441" s="105"/>
      <c r="AH441" s="188"/>
      <c r="AI441" s="188"/>
      <c r="AJ441" s="188"/>
      <c r="AK441" s="188"/>
      <c r="AL441" s="188"/>
      <c r="AM441" s="24"/>
    </row>
    <row r="442" spans="1:39">
      <c r="A442" s="44" t="s">
        <v>250</v>
      </c>
      <c r="B442" s="35">
        <v>2</v>
      </c>
      <c r="C442" s="66">
        <v>10</v>
      </c>
      <c r="D442" s="66">
        <v>23900</v>
      </c>
      <c r="E442" s="65">
        <f>(0.082+0)*$B$447*C442^-0.3</f>
        <v>14.384073605102715</v>
      </c>
      <c r="F442" s="66">
        <v>45</v>
      </c>
      <c r="G442" s="65">
        <f>(0.52*SQRT(C442)*50^0.9*$B$447^0.8)/1200</f>
        <v>5.0251558670694791</v>
      </c>
      <c r="H442" s="65">
        <f t="shared" si="96"/>
        <v>9.3200189508055082</v>
      </c>
      <c r="I442" s="90" t="s">
        <v>245</v>
      </c>
      <c r="U442" s="105"/>
      <c r="V442" s="189"/>
      <c r="W442" s="105"/>
      <c r="X442" s="188"/>
      <c r="Y442" s="188"/>
      <c r="Z442" s="188"/>
      <c r="AA442" s="188"/>
      <c r="AB442" s="188"/>
      <c r="AE442" s="105"/>
      <c r="AF442" s="191"/>
      <c r="AG442" s="105"/>
      <c r="AH442" s="188"/>
      <c r="AI442" s="188"/>
      <c r="AJ442" s="188"/>
      <c r="AK442" s="188"/>
      <c r="AL442" s="188"/>
      <c r="AM442" s="24"/>
    </row>
    <row r="443" spans="1:39">
      <c r="A443" s="44" t="s">
        <v>252</v>
      </c>
      <c r="B443" s="35">
        <v>2</v>
      </c>
      <c r="C443" s="66">
        <v>10</v>
      </c>
      <c r="D443" s="66">
        <v>23900</v>
      </c>
      <c r="E443" s="65">
        <f>(0.082+0)*$B$447*C443^-0.3</f>
        <v>14.384073605102715</v>
      </c>
      <c r="F443" s="66">
        <v>54</v>
      </c>
      <c r="G443" s="65">
        <f>(0.52*SQRT(C443)*50^0.9*$B$447^0.8)/1000</f>
        <v>6.0301870404833755</v>
      </c>
      <c r="H443" s="65">
        <f t="shared" si="96"/>
        <v>10.667891747777407</v>
      </c>
      <c r="I443" s="90"/>
      <c r="U443" s="105"/>
      <c r="V443" s="189"/>
      <c r="W443" s="105"/>
      <c r="X443" s="188"/>
      <c r="Y443" s="188"/>
      <c r="Z443" s="188"/>
      <c r="AA443" s="188"/>
      <c r="AB443" s="188"/>
      <c r="AE443" s="105"/>
      <c r="AF443" s="191"/>
      <c r="AG443" s="105"/>
      <c r="AH443" s="188"/>
      <c r="AI443" s="188"/>
      <c r="AJ443" s="188"/>
      <c r="AK443" s="188"/>
      <c r="AL443" s="188"/>
      <c r="AM443" s="24"/>
    </row>
    <row r="444" spans="1:39">
      <c r="A444" s="44" t="s">
        <v>253</v>
      </c>
      <c r="B444" s="35">
        <v>2</v>
      </c>
      <c r="C444" s="66">
        <v>10</v>
      </c>
      <c r="D444" s="66">
        <v>23900</v>
      </c>
      <c r="E444" s="65">
        <f>(0.033+0)*$B$447*C444^-0.3</f>
        <v>5.7887125483949946</v>
      </c>
      <c r="F444" s="66">
        <v>54</v>
      </c>
      <c r="G444" s="65">
        <f>(0.52*SQRT(C444)*50^0.9*$B$447^0.8)/1200</f>
        <v>5.0251558670694791</v>
      </c>
      <c r="H444" s="65">
        <f t="shared" si="96"/>
        <v>6.251809552266594</v>
      </c>
      <c r="I444" s="90"/>
      <c r="U444" s="105"/>
      <c r="V444" s="189"/>
      <c r="W444" s="105"/>
      <c r="X444" s="188"/>
      <c r="Y444" s="188"/>
      <c r="Z444" s="188"/>
      <c r="AA444" s="188"/>
      <c r="AB444" s="188"/>
      <c r="AE444" s="105"/>
      <c r="AF444" s="191"/>
      <c r="AG444" s="105"/>
      <c r="AH444" s="188"/>
      <c r="AI444" s="188"/>
      <c r="AJ444" s="188"/>
      <c r="AK444" s="188"/>
      <c r="AL444" s="188"/>
      <c r="AM444" s="24"/>
    </row>
    <row r="445" spans="1:39">
      <c r="A445" s="3"/>
      <c r="B445" s="121"/>
      <c r="C445" s="122"/>
      <c r="D445" s="122"/>
      <c r="E445" s="123"/>
      <c r="F445" s="122"/>
      <c r="G445" s="123"/>
      <c r="H445" s="123"/>
      <c r="I445" s="90"/>
      <c r="U445" s="105"/>
      <c r="V445" s="189"/>
      <c r="W445" s="105"/>
      <c r="X445" s="188"/>
      <c r="Y445" s="188"/>
      <c r="Z445" s="188"/>
      <c r="AA445" s="188"/>
      <c r="AB445" s="188"/>
      <c r="AE445" s="105"/>
      <c r="AF445" s="191"/>
      <c r="AG445" s="105"/>
      <c r="AH445" s="188"/>
      <c r="AI445" s="188"/>
      <c r="AJ445" s="188"/>
      <c r="AK445" s="188"/>
      <c r="AL445" s="188"/>
      <c r="AM445" s="24"/>
    </row>
    <row r="446" spans="1:39">
      <c r="A446" s="21" t="s">
        <v>37</v>
      </c>
      <c r="B446" s="22" t="s">
        <v>22</v>
      </c>
      <c r="U446" s="2"/>
      <c r="V446" s="2"/>
      <c r="W446" s="188"/>
      <c r="X446" s="188"/>
      <c r="Y446" s="188"/>
      <c r="Z446" s="191"/>
      <c r="AA446" s="188"/>
      <c r="AB446" s="188"/>
      <c r="AE446" s="188"/>
      <c r="AF446" s="188"/>
      <c r="AG446" s="188"/>
      <c r="AH446" s="188"/>
      <c r="AI446" s="188"/>
      <c r="AJ446" s="188"/>
      <c r="AK446" s="188"/>
      <c r="AL446" s="188"/>
      <c r="AM446" s="24"/>
    </row>
    <row r="447" spans="1:39" ht="18">
      <c r="A447" s="23" t="s">
        <v>39</v>
      </c>
      <c r="B447" s="24">
        <f>VLOOKUP(B446,$V$5:$W$10,2,FALSE)</f>
        <v>350</v>
      </c>
      <c r="C447" t="s">
        <v>40</v>
      </c>
      <c r="F447" s="24"/>
      <c r="G447" s="24"/>
      <c r="H447" s="24"/>
      <c r="I447" s="24"/>
      <c r="J447" s="24"/>
      <c r="K447" s="24"/>
      <c r="U447" s="2"/>
      <c r="V447" s="2"/>
      <c r="W447" s="188"/>
      <c r="X447" s="188"/>
      <c r="Y447" s="188"/>
      <c r="Z447" s="188"/>
      <c r="AA447" s="188"/>
      <c r="AB447" s="188"/>
      <c r="AE447" s="188"/>
      <c r="AF447" s="188"/>
      <c r="AG447" s="188"/>
      <c r="AH447" s="188"/>
      <c r="AI447" s="188"/>
      <c r="AJ447" s="188"/>
      <c r="AK447" s="188"/>
      <c r="AL447" s="188"/>
      <c r="AM447" s="24"/>
    </row>
    <row r="448" spans="1:39">
      <c r="A448" s="23"/>
      <c r="E448" s="24"/>
      <c r="F448" s="24"/>
      <c r="H448" s="24"/>
      <c r="I448" s="24"/>
      <c r="J448" s="24"/>
      <c r="K448" s="24"/>
      <c r="U448" s="189"/>
      <c r="V448" s="2"/>
      <c r="W448" s="188"/>
      <c r="X448" s="188"/>
      <c r="Y448" s="191"/>
      <c r="Z448" s="188"/>
      <c r="AA448" s="188"/>
      <c r="AB448" s="188"/>
      <c r="AE448" s="191"/>
      <c r="AF448" s="188"/>
      <c r="AG448" s="188"/>
      <c r="AH448" s="188"/>
      <c r="AI448" s="188"/>
      <c r="AJ448" s="188"/>
      <c r="AK448" s="188"/>
      <c r="AL448" s="188"/>
      <c r="AM448" s="24"/>
    </row>
    <row r="449" spans="1:39">
      <c r="A449" s="23"/>
      <c r="B449" s="77"/>
      <c r="E449" t="s">
        <v>72</v>
      </c>
      <c r="H449" s="24"/>
      <c r="I449" s="24"/>
      <c r="J449" s="24"/>
      <c r="K449" s="24"/>
      <c r="U449" s="2"/>
      <c r="V449" s="2"/>
      <c r="W449" s="188"/>
      <c r="X449" s="188"/>
      <c r="Y449" s="191"/>
      <c r="Z449" s="188"/>
      <c r="AA449" s="188"/>
      <c r="AB449" s="188"/>
      <c r="AE449" s="188"/>
      <c r="AF449" s="188"/>
      <c r="AG449" s="188"/>
      <c r="AH449" s="188"/>
      <c r="AI449" s="188"/>
      <c r="AJ449" s="188"/>
      <c r="AK449" s="188"/>
      <c r="AL449" s="188"/>
      <c r="AM449" s="24"/>
    </row>
    <row r="450" spans="1:39" ht="18">
      <c r="A450" s="4" t="s">
        <v>2</v>
      </c>
      <c r="B450" s="78" t="s">
        <v>121</v>
      </c>
      <c r="C450" s="78" t="s">
        <v>164</v>
      </c>
      <c r="D450" s="78" t="s">
        <v>258</v>
      </c>
      <c r="E450" s="79" t="s">
        <v>165</v>
      </c>
      <c r="F450" s="79" t="s">
        <v>259</v>
      </c>
      <c r="G450" s="763" t="s">
        <v>260</v>
      </c>
      <c r="H450" s="363"/>
      <c r="I450" s="363"/>
      <c r="J450" s="363"/>
      <c r="K450" s="363"/>
      <c r="L450" s="363"/>
      <c r="M450" s="363"/>
      <c r="N450" s="363"/>
      <c r="O450" s="363"/>
      <c r="P450" s="363"/>
      <c r="Q450" s="388"/>
      <c r="R450" s="388"/>
      <c r="S450" s="388"/>
      <c r="T450" s="388"/>
      <c r="U450" s="2"/>
      <c r="V450" s="2"/>
      <c r="W450" s="188"/>
      <c r="X450" s="188"/>
      <c r="Y450" s="188"/>
      <c r="Z450" s="188"/>
      <c r="AA450" s="188"/>
      <c r="AB450" s="188"/>
      <c r="AE450" s="188"/>
      <c r="AF450" s="188"/>
      <c r="AG450" s="188"/>
      <c r="AH450" s="188"/>
      <c r="AI450" s="188"/>
      <c r="AJ450" s="188"/>
      <c r="AK450" s="188"/>
      <c r="AL450" s="188"/>
      <c r="AM450" s="24"/>
    </row>
    <row r="451" spans="1:39">
      <c r="A451" s="8"/>
      <c r="B451" s="81" t="s">
        <v>17</v>
      </c>
      <c r="C451" s="82" t="s">
        <v>17</v>
      </c>
      <c r="D451" s="82" t="s">
        <v>17</v>
      </c>
      <c r="E451" s="83" t="s">
        <v>17</v>
      </c>
      <c r="F451" s="83" t="s">
        <v>262</v>
      </c>
      <c r="G451" s="763"/>
      <c r="H451" s="247"/>
      <c r="I451" s="105"/>
      <c r="J451" s="105"/>
      <c r="K451" s="105"/>
      <c r="L451" s="105"/>
      <c r="M451" s="105"/>
      <c r="N451" s="105"/>
      <c r="O451" s="105"/>
      <c r="P451" s="105"/>
      <c r="Q451" s="165"/>
      <c r="R451" s="165"/>
      <c r="S451" s="165"/>
      <c r="T451" s="165"/>
      <c r="U451" s="2"/>
      <c r="V451" s="2"/>
      <c r="W451" s="189"/>
      <c r="X451" s="2"/>
      <c r="Y451" s="2"/>
      <c r="Z451" s="2"/>
      <c r="AA451" s="2"/>
      <c r="AB451" s="2"/>
      <c r="AE451" s="188"/>
      <c r="AF451" s="188"/>
      <c r="AG451" s="188"/>
      <c r="AH451" s="188"/>
      <c r="AI451" s="188"/>
      <c r="AJ451" s="188"/>
      <c r="AK451" s="188"/>
      <c r="AL451" s="188"/>
      <c r="AM451" s="24"/>
    </row>
    <row r="452" spans="1:39">
      <c r="A452" s="44" t="s">
        <v>242</v>
      </c>
      <c r="B452" s="16">
        <f t="shared" ref="B452:B461" si="97">F424</f>
        <v>3.8824909803921575</v>
      </c>
      <c r="C452" s="16">
        <v>17</v>
      </c>
      <c r="D452" s="16">
        <f>H437</f>
        <v>5.3967515400578954</v>
      </c>
      <c r="E452" s="204">
        <f t="shared" ref="E452:E461" si="98">MIN(B452,C452,D452)</f>
        <v>3.8824909803921575</v>
      </c>
      <c r="F452" s="205">
        <f t="shared" ref="F452:F461" si="99">E452*0.9/1.3</f>
        <v>2.6878783710407244</v>
      </c>
      <c r="H452" s="247"/>
      <c r="I452" s="20"/>
      <c r="J452" s="20"/>
      <c r="K452" s="20"/>
      <c r="L452" s="20"/>
      <c r="M452" s="389"/>
      <c r="N452" s="389"/>
      <c r="O452" s="389"/>
      <c r="P452" s="389"/>
      <c r="Q452" s="116"/>
      <c r="R452" s="116"/>
      <c r="S452" s="116"/>
      <c r="T452" s="116"/>
      <c r="AE452" s="24"/>
      <c r="AF452" s="24"/>
      <c r="AG452" s="24"/>
      <c r="AH452" s="24"/>
      <c r="AI452" s="24"/>
      <c r="AJ452" s="24"/>
      <c r="AK452" s="24"/>
      <c r="AL452" s="24"/>
      <c r="AM452" s="24"/>
    </row>
    <row r="453" spans="1:39">
      <c r="A453" s="44" t="s">
        <v>244</v>
      </c>
      <c r="B453" s="16">
        <f t="shared" si="97"/>
        <v>3.5655529411764704</v>
      </c>
      <c r="C453" s="16">
        <v>17</v>
      </c>
      <c r="D453" s="16">
        <f t="shared" ref="D453:D458" si="100">H437</f>
        <v>5.3967515400578954</v>
      </c>
      <c r="E453" s="204">
        <f t="shared" si="98"/>
        <v>3.5655529411764704</v>
      </c>
      <c r="F453" s="205">
        <f t="shared" si="99"/>
        <v>2.4684597285067871</v>
      </c>
      <c r="G453" s="38">
        <f>F453/F452</f>
        <v>0.91836734693877531</v>
      </c>
      <c r="H453" s="247"/>
      <c r="I453" s="20"/>
      <c r="J453" s="20"/>
      <c r="K453" s="20"/>
      <c r="L453" s="20"/>
      <c r="M453" s="389"/>
      <c r="N453" s="389"/>
      <c r="O453" s="389"/>
      <c r="P453" s="389"/>
      <c r="Q453" s="116"/>
      <c r="R453" s="116"/>
      <c r="S453" s="116"/>
      <c r="T453" s="116"/>
      <c r="AE453" s="24"/>
      <c r="AF453" s="24"/>
      <c r="AG453" s="24"/>
      <c r="AH453" s="24"/>
      <c r="AI453" s="24"/>
      <c r="AJ453" s="24"/>
      <c r="AK453" s="24"/>
      <c r="AL453" s="24"/>
      <c r="AM453" s="24"/>
    </row>
    <row r="454" spans="1:39">
      <c r="A454" s="44" t="s">
        <v>246</v>
      </c>
      <c r="B454" s="16">
        <f t="shared" si="97"/>
        <v>5.9402112000000011</v>
      </c>
      <c r="C454" s="16">
        <v>17</v>
      </c>
      <c r="D454" s="16">
        <f t="shared" si="100"/>
        <v>3.5626284494242708</v>
      </c>
      <c r="E454" s="96">
        <f t="shared" si="98"/>
        <v>3.5626284494242708</v>
      </c>
      <c r="F454" s="205">
        <f t="shared" si="99"/>
        <v>2.466435080370649</v>
      </c>
      <c r="H454" s="247"/>
      <c r="I454" s="20"/>
      <c r="J454" s="20"/>
      <c r="K454" s="20"/>
      <c r="L454" s="20"/>
      <c r="M454" s="389"/>
      <c r="N454" s="389"/>
      <c r="O454" s="389"/>
      <c r="P454" s="389"/>
      <c r="U454" s="191"/>
      <c r="V454" s="2"/>
      <c r="W454" s="2"/>
      <c r="X454" s="2"/>
      <c r="Y454" s="2"/>
      <c r="Z454" s="2"/>
      <c r="AA454" s="2"/>
      <c r="AB454" s="2"/>
      <c r="AC454" s="2"/>
      <c r="AE454" s="188"/>
      <c r="AF454" s="188"/>
      <c r="AG454" s="188"/>
      <c r="AH454" s="188"/>
      <c r="AI454" s="188"/>
      <c r="AJ454" s="188"/>
      <c r="AK454" s="188"/>
      <c r="AL454" s="188"/>
      <c r="AM454" s="188"/>
    </row>
    <row r="455" spans="1:39" ht="15.75" thickBot="1">
      <c r="A455" s="210" t="s">
        <v>247</v>
      </c>
      <c r="B455" s="211">
        <f t="shared" si="97"/>
        <v>5.9402112000000011</v>
      </c>
      <c r="C455" s="211">
        <v>17</v>
      </c>
      <c r="D455" s="211">
        <f t="shared" si="100"/>
        <v>5.7436956885134229</v>
      </c>
      <c r="E455" s="212">
        <f t="shared" si="98"/>
        <v>5.7436956885134229</v>
      </c>
      <c r="F455" s="213">
        <f t="shared" si="99"/>
        <v>3.9764047074323701</v>
      </c>
      <c r="H455" s="247"/>
      <c r="I455" s="20"/>
      <c r="J455" s="20"/>
      <c r="K455" s="20"/>
      <c r="L455" s="20"/>
      <c r="M455" s="389"/>
      <c r="N455" s="389"/>
      <c r="O455" s="389"/>
      <c r="P455" s="389"/>
      <c r="U455" s="105"/>
      <c r="V455" s="189"/>
      <c r="W455" s="105"/>
      <c r="X455" s="188"/>
      <c r="Y455" s="188"/>
      <c r="Z455" s="188"/>
      <c r="AA455" s="188"/>
      <c r="AB455" s="188"/>
      <c r="AE455" s="105"/>
      <c r="AF455" s="191"/>
      <c r="AG455" s="105"/>
      <c r="AH455" s="188"/>
      <c r="AI455" s="188"/>
      <c r="AJ455" s="188"/>
      <c r="AK455" s="188"/>
      <c r="AL455" s="188"/>
      <c r="AM455" s="24"/>
    </row>
    <row r="456" spans="1:39">
      <c r="A456" s="8" t="s">
        <v>248</v>
      </c>
      <c r="B456" s="214">
        <f t="shared" si="97"/>
        <v>4.463770566037736</v>
      </c>
      <c r="C456" s="214">
        <v>17</v>
      </c>
      <c r="D456" s="214">
        <f t="shared" si="100"/>
        <v>10.165376161070458</v>
      </c>
      <c r="E456" s="215">
        <f t="shared" si="98"/>
        <v>4.463770566037736</v>
      </c>
      <c r="F456" s="216">
        <f t="shared" si="99"/>
        <v>3.0903026995645866</v>
      </c>
      <c r="H456" s="247"/>
      <c r="I456" s="20"/>
      <c r="J456" s="20"/>
      <c r="K456" s="20"/>
      <c r="L456" s="20"/>
      <c r="M456" s="389"/>
      <c r="N456" s="389"/>
      <c r="O456" s="389"/>
      <c r="P456" s="389"/>
      <c r="U456" s="2"/>
      <c r="V456" s="2"/>
      <c r="W456" s="188"/>
      <c r="X456" s="188"/>
      <c r="Y456" s="188"/>
      <c r="Z456" s="188"/>
      <c r="AA456" s="188"/>
      <c r="AB456" s="188"/>
      <c r="AE456" s="188"/>
      <c r="AF456" s="188"/>
      <c r="AG456" s="188"/>
      <c r="AH456" s="188"/>
      <c r="AI456" s="188"/>
      <c r="AJ456" s="188"/>
      <c r="AK456" s="188"/>
      <c r="AL456" s="188"/>
      <c r="AM456" s="24"/>
    </row>
    <row r="457" spans="1:39">
      <c r="A457" s="8" t="s">
        <v>248</v>
      </c>
      <c r="B457" s="214">
        <f t="shared" si="97"/>
        <v>4.463770566037736</v>
      </c>
      <c r="C457" s="214">
        <v>18</v>
      </c>
      <c r="D457" s="214">
        <f t="shared" si="100"/>
        <v>5.6082652963059152</v>
      </c>
      <c r="E457" s="217">
        <f t="shared" si="98"/>
        <v>4.463770566037736</v>
      </c>
      <c r="F457" s="216">
        <f t="shared" si="99"/>
        <v>3.0903026995645866</v>
      </c>
      <c r="G457" s="38">
        <f>F458/F456</f>
        <v>0.97826086956521718</v>
      </c>
      <c r="H457" s="247"/>
      <c r="I457" s="20"/>
      <c r="J457" s="20"/>
      <c r="K457" s="20"/>
      <c r="L457" s="20"/>
      <c r="M457" s="389"/>
      <c r="N457" s="389"/>
      <c r="O457" s="389"/>
      <c r="P457" s="389"/>
      <c r="U457" s="2"/>
      <c r="V457" s="2"/>
      <c r="W457" s="188"/>
      <c r="X457" s="188"/>
      <c r="Y457" s="188"/>
      <c r="Z457" s="188"/>
      <c r="AA457" s="188"/>
      <c r="AB457" s="188"/>
      <c r="AE457" s="188"/>
      <c r="AF457" s="188"/>
      <c r="AG457" s="188"/>
      <c r="AH457" s="188"/>
      <c r="AI457" s="188"/>
      <c r="AJ457" s="188"/>
      <c r="AK457" s="188"/>
      <c r="AL457" s="188"/>
      <c r="AM457" s="24"/>
    </row>
    <row r="458" spans="1:39">
      <c r="A458" s="8" t="s">
        <v>250</v>
      </c>
      <c r="B458" s="214">
        <f t="shared" si="97"/>
        <v>4.3667320754716972</v>
      </c>
      <c r="C458" s="214">
        <v>17</v>
      </c>
      <c r="D458" s="214">
        <f t="shared" si="100"/>
        <v>9.3200189508055082</v>
      </c>
      <c r="E458" s="217">
        <f t="shared" si="98"/>
        <v>4.3667320754716972</v>
      </c>
      <c r="F458" s="216">
        <f t="shared" si="99"/>
        <v>3.0231222060957905</v>
      </c>
      <c r="G458" s="38">
        <f>E459/E456</f>
        <v>0.92585403726708082</v>
      </c>
      <c r="H458" s="363"/>
      <c r="I458" s="363"/>
      <c r="J458" s="363"/>
      <c r="K458" s="363"/>
      <c r="L458" s="363"/>
      <c r="M458" s="363"/>
      <c r="N458" s="363"/>
      <c r="O458" s="363"/>
      <c r="P458" s="363"/>
      <c r="U458" s="189"/>
      <c r="V458" s="2"/>
      <c r="W458" s="188"/>
      <c r="X458" s="188"/>
      <c r="Y458" s="188"/>
      <c r="Z458" s="188"/>
      <c r="AA458" s="188"/>
      <c r="AB458" s="188"/>
      <c r="AE458" s="191"/>
      <c r="AF458" s="188"/>
      <c r="AG458" s="188"/>
      <c r="AH458" s="188"/>
      <c r="AI458" s="188"/>
      <c r="AJ458" s="188"/>
      <c r="AK458" s="188"/>
      <c r="AL458" s="188"/>
      <c r="AM458" s="24"/>
    </row>
    <row r="459" spans="1:39">
      <c r="A459" s="8" t="s">
        <v>251</v>
      </c>
      <c r="B459" s="214">
        <f t="shared" si="97"/>
        <v>4.1328000000000005</v>
      </c>
      <c r="C459" s="214">
        <v>17</v>
      </c>
      <c r="D459" s="214">
        <f>H440</f>
        <v>10.165376161070458</v>
      </c>
      <c r="E459" s="217">
        <f t="shared" si="98"/>
        <v>4.1328000000000005</v>
      </c>
      <c r="F459" s="216">
        <f t="shared" si="99"/>
        <v>2.8611692307692311</v>
      </c>
      <c r="H459" s="247"/>
      <c r="I459" s="20"/>
      <c r="J459" s="20"/>
      <c r="K459" s="20"/>
      <c r="L459" s="20"/>
      <c r="M459" s="389"/>
      <c r="N459" s="389"/>
      <c r="O459" s="389"/>
      <c r="P459" s="389"/>
      <c r="U459" s="2"/>
      <c r="V459" s="2"/>
      <c r="W459" s="188"/>
      <c r="X459" s="188"/>
      <c r="Y459" s="188"/>
      <c r="Z459" s="188"/>
      <c r="AA459" s="188"/>
      <c r="AB459" s="188"/>
      <c r="AE459" s="188"/>
      <c r="AF459" s="188"/>
      <c r="AG459" s="188"/>
      <c r="AH459" s="188"/>
      <c r="AI459" s="188"/>
      <c r="AJ459" s="188"/>
      <c r="AK459" s="188"/>
      <c r="AL459" s="188"/>
      <c r="AM459" s="24"/>
    </row>
    <row r="460" spans="1:39">
      <c r="A460" s="44" t="s">
        <v>252</v>
      </c>
      <c r="B460" s="16">
        <f t="shared" si="97"/>
        <v>7.0973952000000011</v>
      </c>
      <c r="C460" s="16">
        <v>17</v>
      </c>
      <c r="D460" s="16">
        <f>H443</f>
        <v>10.667891747777407</v>
      </c>
      <c r="E460" s="204">
        <f t="shared" si="98"/>
        <v>7.0973952000000011</v>
      </c>
      <c r="F460" s="205">
        <f t="shared" si="99"/>
        <v>4.9135812923076925</v>
      </c>
      <c r="H460" s="247"/>
      <c r="I460" s="20"/>
      <c r="J460" s="20"/>
      <c r="K460" s="20"/>
      <c r="L460" s="20"/>
      <c r="M460" s="389"/>
      <c r="N460" s="389"/>
      <c r="O460" s="389"/>
      <c r="P460" s="389"/>
      <c r="U460" s="2"/>
      <c r="V460" s="2"/>
      <c r="W460" s="188"/>
      <c r="X460" s="188"/>
      <c r="Y460" s="188"/>
      <c r="Z460" s="188"/>
      <c r="AA460" s="188"/>
      <c r="AB460" s="188"/>
      <c r="AE460" s="188"/>
      <c r="AF460" s="188"/>
      <c r="AG460" s="188"/>
      <c r="AH460" s="188"/>
      <c r="AI460" s="188"/>
      <c r="AJ460" s="188"/>
      <c r="AK460" s="188"/>
      <c r="AL460" s="188"/>
      <c r="AM460" s="24"/>
    </row>
    <row r="461" spans="1:39">
      <c r="A461" s="44" t="s">
        <v>253</v>
      </c>
      <c r="B461" s="16">
        <f t="shared" si="97"/>
        <v>7.0973952000000011</v>
      </c>
      <c r="C461" s="16">
        <v>17</v>
      </c>
      <c r="D461" s="16">
        <f>H444</f>
        <v>6.251809552266594</v>
      </c>
      <c r="E461" s="204">
        <f t="shared" si="98"/>
        <v>6.251809552266594</v>
      </c>
      <c r="F461" s="205">
        <f t="shared" si="99"/>
        <v>4.3281758438768732</v>
      </c>
      <c r="H461" s="247"/>
      <c r="I461" s="20"/>
      <c r="J461" s="20"/>
      <c r="K461" s="20"/>
      <c r="L461" s="20"/>
      <c r="M461" s="389"/>
      <c r="N461" s="389"/>
      <c r="O461" s="389"/>
      <c r="P461" s="389"/>
      <c r="U461" s="2"/>
      <c r="V461" s="2"/>
      <c r="W461" s="188"/>
      <c r="X461" s="188"/>
      <c r="Y461" s="188"/>
      <c r="Z461" s="188"/>
      <c r="AA461" s="188"/>
      <c r="AB461" s="188"/>
      <c r="AE461" s="188"/>
      <c r="AF461" s="188"/>
      <c r="AG461" s="188"/>
      <c r="AH461" s="188"/>
      <c r="AI461" s="188"/>
      <c r="AJ461" s="188"/>
      <c r="AK461" s="188"/>
      <c r="AL461" s="188"/>
      <c r="AM461" s="24"/>
    </row>
    <row r="462" spans="1:39">
      <c r="A462" s="221" t="s">
        <v>266</v>
      </c>
      <c r="B462" s="168">
        <f>F428</f>
        <v>4.463770566037736</v>
      </c>
      <c r="C462" s="16">
        <v>8</v>
      </c>
      <c r="D462" s="16">
        <f>H440</f>
        <v>10.165376161070458</v>
      </c>
      <c r="E462" s="44"/>
      <c r="F462" s="44"/>
      <c r="H462" s="247"/>
      <c r="I462" s="20"/>
      <c r="J462" s="20"/>
      <c r="K462" s="20"/>
      <c r="L462" s="20"/>
      <c r="M462" s="389"/>
      <c r="N462" s="389"/>
      <c r="O462" s="389"/>
      <c r="P462" s="389"/>
      <c r="V462" s="2"/>
      <c r="W462" s="188"/>
      <c r="X462" s="188"/>
      <c r="Y462" s="188"/>
      <c r="Z462" s="188"/>
      <c r="AA462" s="188"/>
      <c r="AB462" s="188"/>
      <c r="AE462" s="24"/>
      <c r="AF462" s="2"/>
      <c r="AG462" s="188"/>
      <c r="AH462" s="24"/>
      <c r="AI462" s="24"/>
      <c r="AJ462" s="24"/>
      <c r="AK462" s="188"/>
      <c r="AL462" s="24"/>
      <c r="AM462" s="24"/>
    </row>
    <row r="463" spans="1:39">
      <c r="H463" s="247"/>
      <c r="I463" s="20"/>
      <c r="J463" s="20"/>
      <c r="K463" s="20"/>
      <c r="L463" s="20"/>
      <c r="M463" s="389"/>
      <c r="N463" s="389"/>
      <c r="O463" s="389"/>
      <c r="P463" s="389"/>
      <c r="V463" s="2"/>
      <c r="W463" s="188"/>
      <c r="X463" s="188"/>
      <c r="Y463" s="188"/>
      <c r="Z463" s="188"/>
      <c r="AA463" s="188"/>
      <c r="AB463" s="188"/>
      <c r="AE463" s="24"/>
      <c r="AF463" s="2"/>
      <c r="AG463" s="188"/>
      <c r="AH463" s="24"/>
      <c r="AI463" s="24"/>
      <c r="AJ463" s="24"/>
      <c r="AK463" s="188"/>
      <c r="AL463" s="24"/>
      <c r="AM463" s="24"/>
    </row>
    <row r="464" spans="1:39">
      <c r="H464" s="247"/>
      <c r="I464" s="20"/>
      <c r="J464" s="20"/>
      <c r="K464" s="20"/>
      <c r="L464" s="20"/>
      <c r="M464" s="389"/>
      <c r="N464" s="389"/>
      <c r="O464" s="389"/>
      <c r="P464" s="389"/>
      <c r="V464" s="2"/>
      <c r="W464" s="188"/>
      <c r="X464" s="188"/>
      <c r="Y464" s="188"/>
      <c r="Z464" s="191"/>
      <c r="AA464" s="188"/>
      <c r="AB464" s="191"/>
      <c r="AF464" s="2"/>
      <c r="AG464" s="188"/>
      <c r="AK464" s="188"/>
      <c r="AM464" s="24"/>
    </row>
    <row r="465" spans="8:39">
      <c r="H465" s="363"/>
      <c r="I465" s="363"/>
      <c r="J465" s="363"/>
      <c r="K465" s="363"/>
      <c r="L465" s="363"/>
      <c r="M465" s="363"/>
      <c r="N465" s="363"/>
      <c r="O465" s="363"/>
      <c r="P465" s="363"/>
    </row>
    <row r="466" spans="8:39">
      <c r="H466" s="247"/>
      <c r="I466" s="20"/>
      <c r="J466" s="20"/>
      <c r="K466" s="20"/>
      <c r="L466" s="20"/>
      <c r="M466" s="389"/>
      <c r="N466" s="389"/>
      <c r="O466" s="389"/>
      <c r="P466" s="389"/>
      <c r="U466" s="191"/>
      <c r="V466" s="2"/>
      <c r="W466" s="188"/>
      <c r="X466" s="188"/>
      <c r="Y466" s="188"/>
      <c r="Z466" s="188"/>
      <c r="AA466" s="188"/>
      <c r="AB466" s="188"/>
      <c r="AC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</row>
    <row r="467" spans="8:39">
      <c r="H467" s="247"/>
      <c r="I467" s="20"/>
      <c r="J467" s="20"/>
      <c r="K467" s="20"/>
      <c r="L467" s="20"/>
      <c r="M467" s="389"/>
      <c r="N467" s="389"/>
      <c r="O467" s="389"/>
      <c r="P467" s="389"/>
      <c r="U467" s="105"/>
      <c r="V467" s="189"/>
      <c r="W467" s="105"/>
      <c r="X467" s="188"/>
      <c r="Y467" s="188"/>
      <c r="Z467" s="188"/>
      <c r="AA467" s="188"/>
      <c r="AB467" s="188"/>
      <c r="AC467" s="24"/>
      <c r="AE467" s="105"/>
      <c r="AF467" s="191"/>
      <c r="AG467" s="105"/>
      <c r="AH467" s="188"/>
      <c r="AI467" s="188"/>
      <c r="AJ467" s="188"/>
      <c r="AK467" s="188"/>
      <c r="AL467" s="188"/>
      <c r="AM467" s="24"/>
    </row>
    <row r="468" spans="8:39">
      <c r="H468" s="247"/>
      <c r="I468" s="20"/>
      <c r="J468" s="20"/>
      <c r="K468" s="20"/>
      <c r="L468" s="20"/>
      <c r="M468" s="389"/>
      <c r="N468" s="389"/>
      <c r="O468" s="389"/>
      <c r="P468" s="389"/>
      <c r="U468" s="2"/>
      <c r="V468" s="2"/>
      <c r="W468" s="188"/>
      <c r="X468" s="188"/>
      <c r="Y468" s="188"/>
      <c r="Z468" s="188"/>
      <c r="AA468" s="188"/>
      <c r="AB468" s="188"/>
      <c r="AC468" s="24"/>
      <c r="AE468" s="188"/>
      <c r="AF468" s="188"/>
      <c r="AG468" s="188"/>
      <c r="AH468" s="188"/>
      <c r="AI468" s="188"/>
      <c r="AJ468" s="188"/>
      <c r="AK468" s="188"/>
      <c r="AL468" s="188"/>
      <c r="AM468" s="24"/>
    </row>
    <row r="469" spans="8:39">
      <c r="H469" s="247"/>
      <c r="I469" s="20"/>
      <c r="J469" s="20"/>
      <c r="K469" s="20"/>
      <c r="L469" s="20"/>
      <c r="M469" s="389"/>
      <c r="N469" s="389"/>
      <c r="O469" s="389"/>
      <c r="P469" s="389"/>
      <c r="U469" s="2"/>
      <c r="V469" s="2"/>
      <c r="W469" s="188"/>
      <c r="X469" s="188"/>
      <c r="Y469" s="188"/>
      <c r="Z469" s="188"/>
      <c r="AA469" s="188"/>
      <c r="AB469" s="188"/>
      <c r="AC469" s="24"/>
      <c r="AE469" s="188"/>
      <c r="AF469" s="188"/>
      <c r="AG469" s="188"/>
      <c r="AH469" s="188"/>
      <c r="AI469" s="188"/>
      <c r="AJ469" s="188"/>
      <c r="AK469" s="188"/>
      <c r="AL469" s="188"/>
      <c r="AM469" s="24"/>
    </row>
    <row r="470" spans="8:39">
      <c r="H470" s="247"/>
      <c r="I470" s="20"/>
      <c r="J470" s="20"/>
      <c r="K470" s="20"/>
      <c r="L470" s="20"/>
      <c r="M470" s="389"/>
      <c r="N470" s="389"/>
      <c r="O470" s="389"/>
      <c r="P470" s="389"/>
      <c r="U470" s="189"/>
      <c r="V470" s="2"/>
      <c r="W470" s="188"/>
      <c r="X470" s="188"/>
      <c r="Y470" s="191"/>
      <c r="Z470" s="188"/>
      <c r="AA470" s="188"/>
      <c r="AB470" s="188"/>
      <c r="AC470" s="24"/>
      <c r="AE470" s="191"/>
      <c r="AF470" s="188"/>
      <c r="AG470" s="188"/>
      <c r="AH470" s="188"/>
      <c r="AI470" s="188"/>
      <c r="AJ470" s="188"/>
      <c r="AK470" s="188"/>
      <c r="AL470" s="188"/>
      <c r="AM470" s="24"/>
    </row>
    <row r="471" spans="8:39">
      <c r="H471" s="247"/>
      <c r="I471" s="20"/>
      <c r="J471" s="20"/>
      <c r="K471" s="20"/>
      <c r="L471" s="20"/>
      <c r="M471" s="389"/>
      <c r="N471" s="389"/>
      <c r="O471" s="389"/>
      <c r="P471" s="389"/>
      <c r="U471" s="2"/>
      <c r="V471" s="2"/>
      <c r="W471" s="188"/>
      <c r="X471" s="188"/>
      <c r="Y471" s="188"/>
      <c r="Z471" s="188"/>
      <c r="AA471" s="188"/>
      <c r="AB471" s="188"/>
      <c r="AC471" s="24"/>
      <c r="AE471" s="188"/>
      <c r="AF471" s="188"/>
      <c r="AG471" s="188"/>
      <c r="AH471" s="188"/>
      <c r="AI471" s="188"/>
      <c r="AJ471" s="188"/>
      <c r="AK471" s="188"/>
      <c r="AL471" s="188"/>
      <c r="AM471" s="24"/>
    </row>
    <row r="472" spans="8:39">
      <c r="H472" s="363"/>
      <c r="I472" s="363"/>
      <c r="J472" s="363"/>
      <c r="K472" s="363"/>
      <c r="L472" s="363"/>
      <c r="M472" s="363"/>
      <c r="N472" s="363"/>
      <c r="O472" s="363"/>
      <c r="P472" s="363"/>
      <c r="U472" s="2"/>
      <c r="V472" s="2"/>
      <c r="W472" s="188"/>
      <c r="X472" s="188"/>
      <c r="Y472" s="188"/>
      <c r="Z472" s="191"/>
      <c r="AA472" s="188"/>
      <c r="AB472" s="188"/>
      <c r="AC472" s="24"/>
      <c r="AE472" s="188"/>
      <c r="AF472" s="188"/>
      <c r="AG472" s="188"/>
      <c r="AH472" s="188"/>
      <c r="AI472" s="188"/>
      <c r="AJ472" s="188"/>
      <c r="AK472" s="188"/>
      <c r="AL472" s="188"/>
      <c r="AM472" s="24"/>
    </row>
    <row r="473" spans="8:39">
      <c r="H473" s="247"/>
      <c r="I473" s="20"/>
      <c r="J473" s="20"/>
      <c r="K473" s="20"/>
      <c r="L473" s="20"/>
      <c r="M473" s="389"/>
      <c r="N473" s="389"/>
      <c r="O473" s="389"/>
      <c r="P473" s="389"/>
      <c r="U473" s="2"/>
      <c r="V473" s="2"/>
      <c r="W473" s="188"/>
      <c r="X473" s="188"/>
      <c r="Y473" s="188"/>
      <c r="Z473" s="188"/>
      <c r="AA473" s="188"/>
      <c r="AB473" s="188"/>
      <c r="AC473" s="24"/>
      <c r="AE473" s="188"/>
      <c r="AF473" s="188"/>
      <c r="AG473" s="188"/>
      <c r="AH473" s="188"/>
      <c r="AI473" s="188"/>
      <c r="AJ473" s="188"/>
      <c r="AK473" s="188"/>
      <c r="AL473" s="188"/>
      <c r="AM473" s="24"/>
    </row>
    <row r="474" spans="8:39">
      <c r="H474" s="247"/>
      <c r="I474" s="20"/>
      <c r="J474" s="20"/>
      <c r="K474" s="20"/>
      <c r="L474" s="20"/>
      <c r="M474" s="389"/>
      <c r="N474" s="389"/>
      <c r="O474" s="389"/>
      <c r="P474" s="389"/>
      <c r="V474" s="2"/>
      <c r="W474" s="222"/>
      <c r="X474" s="222"/>
      <c r="Y474" s="222"/>
      <c r="Z474" s="222"/>
      <c r="AA474" s="222"/>
      <c r="AB474" s="222"/>
      <c r="AC474" s="24"/>
      <c r="AE474" s="24"/>
      <c r="AF474" s="2"/>
      <c r="AG474" s="188"/>
      <c r="AH474" s="24"/>
      <c r="AI474" s="24"/>
      <c r="AJ474" s="24"/>
      <c r="AK474" s="188"/>
      <c r="AL474" s="24"/>
      <c r="AM474" s="24"/>
    </row>
    <row r="475" spans="8:39">
      <c r="H475" s="247"/>
      <c r="I475" s="20"/>
      <c r="J475" s="20"/>
      <c r="K475" s="20"/>
      <c r="L475" s="20"/>
      <c r="M475" s="389"/>
      <c r="N475" s="389"/>
      <c r="O475" s="389"/>
      <c r="P475" s="389"/>
      <c r="V475" s="2"/>
      <c r="W475" s="222"/>
      <c r="X475" s="222"/>
      <c r="Y475" s="222"/>
      <c r="Z475" s="222"/>
      <c r="AA475" s="222"/>
      <c r="AB475" s="222"/>
      <c r="AC475" s="24"/>
      <c r="AE475" s="24"/>
      <c r="AF475" s="2"/>
      <c r="AG475" s="188"/>
      <c r="AH475" s="24"/>
      <c r="AI475" s="24"/>
      <c r="AJ475" s="24"/>
      <c r="AK475" s="188"/>
      <c r="AL475" s="24"/>
      <c r="AM475" s="24"/>
    </row>
    <row r="476" spans="8:39">
      <c r="H476" s="247"/>
      <c r="I476" s="20"/>
      <c r="J476" s="20"/>
      <c r="K476" s="20"/>
      <c r="L476" s="20"/>
      <c r="M476" s="389"/>
      <c r="N476" s="389"/>
      <c r="O476" s="389"/>
      <c r="P476" s="389"/>
      <c r="V476" s="2"/>
      <c r="W476" s="222"/>
      <c r="X476" s="222"/>
      <c r="Y476" s="222"/>
      <c r="Z476" s="222"/>
      <c r="AA476" s="222"/>
      <c r="AB476" s="222"/>
      <c r="AC476" s="24"/>
      <c r="AF476" s="2"/>
      <c r="AG476" s="188"/>
      <c r="AK476" s="188"/>
      <c r="AM476" s="24"/>
    </row>
    <row r="477" spans="8:39">
      <c r="H477" s="247"/>
      <c r="I477" s="20"/>
      <c r="J477" s="20"/>
      <c r="K477" s="20"/>
      <c r="L477" s="20"/>
      <c r="M477" s="389"/>
      <c r="N477" s="389"/>
      <c r="O477" s="389"/>
      <c r="P477" s="389"/>
    </row>
    <row r="478" spans="8:39">
      <c r="H478" s="247"/>
      <c r="I478" s="20"/>
      <c r="J478" s="20"/>
      <c r="K478" s="20"/>
      <c r="L478" s="20"/>
      <c r="M478" s="389"/>
      <c r="N478" s="389"/>
      <c r="O478" s="389"/>
      <c r="P478" s="389"/>
      <c r="U478" s="191"/>
      <c r="V478" s="2"/>
      <c r="W478" s="188"/>
      <c r="X478" s="188"/>
      <c r="Y478" s="188"/>
      <c r="Z478" s="188"/>
      <c r="AA478" s="188"/>
      <c r="AB478" s="188"/>
      <c r="AC478" s="188"/>
      <c r="AE478" s="191"/>
      <c r="AF478" s="188"/>
      <c r="AG478" s="188"/>
      <c r="AH478" s="188"/>
      <c r="AI478" s="188"/>
      <c r="AJ478" s="188"/>
      <c r="AK478" s="188"/>
      <c r="AL478" s="188"/>
      <c r="AM478" s="188"/>
    </row>
    <row r="479" spans="8:39">
      <c r="U479" s="105"/>
      <c r="V479" s="189"/>
      <c r="W479" s="105"/>
      <c r="X479" s="191"/>
      <c r="Y479" s="188"/>
      <c r="Z479" s="188"/>
      <c r="AA479" s="188"/>
      <c r="AB479" s="188"/>
      <c r="AC479" s="24"/>
      <c r="AE479" s="105"/>
      <c r="AF479" s="191"/>
      <c r="AG479" s="105"/>
      <c r="AH479" s="191"/>
      <c r="AI479" s="188"/>
      <c r="AJ479" s="188"/>
      <c r="AK479" s="188"/>
      <c r="AL479" s="188"/>
      <c r="AM479" s="24"/>
    </row>
    <row r="480" spans="8:39">
      <c r="U480" s="189"/>
      <c r="V480" s="2"/>
      <c r="W480" s="188"/>
      <c r="X480" s="188"/>
      <c r="Y480" s="188"/>
      <c r="Z480" s="188"/>
      <c r="AA480" s="191"/>
      <c r="AB480" s="188"/>
      <c r="AC480" s="24"/>
      <c r="AE480" s="191"/>
      <c r="AF480" s="188"/>
      <c r="AG480" s="188"/>
      <c r="AH480" s="188"/>
      <c r="AI480" s="188"/>
      <c r="AJ480" s="188"/>
      <c r="AK480" s="191"/>
      <c r="AL480" s="188"/>
      <c r="AM480" s="24"/>
    </row>
    <row r="481" spans="16:39">
      <c r="U481" s="2"/>
      <c r="V481" s="2"/>
      <c r="W481" s="188"/>
      <c r="X481" s="188"/>
      <c r="Y481" s="188"/>
      <c r="Z481" s="188"/>
      <c r="AA481" s="191"/>
      <c r="AB481" s="188"/>
      <c r="AC481" s="24"/>
      <c r="AE481" s="188"/>
      <c r="AF481" s="188"/>
      <c r="AG481" s="188"/>
      <c r="AH481" s="188"/>
      <c r="AI481" s="188"/>
      <c r="AJ481" s="188"/>
      <c r="AK481" s="191"/>
      <c r="AL481" s="188"/>
      <c r="AM481" s="24"/>
    </row>
    <row r="482" spans="16:39">
      <c r="U482" s="189"/>
      <c r="V482" s="2"/>
      <c r="W482" s="188"/>
      <c r="X482" s="188"/>
      <c r="Y482" s="188"/>
      <c r="Z482" s="188"/>
      <c r="AA482" s="188"/>
      <c r="AB482" s="188"/>
      <c r="AC482" s="24"/>
      <c r="AE482" s="191"/>
      <c r="AF482" s="188"/>
      <c r="AG482" s="188"/>
      <c r="AH482" s="188"/>
      <c r="AI482" s="188"/>
      <c r="AJ482" s="188"/>
      <c r="AK482" s="188"/>
      <c r="AL482" s="188"/>
      <c r="AM482" s="24"/>
    </row>
    <row r="483" spans="16:39">
      <c r="P483"/>
      <c r="Q483"/>
      <c r="R483"/>
      <c r="S483"/>
      <c r="U483" s="2"/>
      <c r="V483" s="2"/>
      <c r="W483" s="188"/>
      <c r="X483" s="188"/>
      <c r="Y483" s="188"/>
      <c r="Z483" s="188"/>
      <c r="AA483" s="188"/>
      <c r="AB483" s="191"/>
      <c r="AC483" s="24"/>
      <c r="AE483" s="188"/>
      <c r="AF483" s="188"/>
      <c r="AG483" s="188"/>
      <c r="AH483" s="188"/>
      <c r="AI483" s="188"/>
      <c r="AJ483" s="188"/>
      <c r="AK483" s="188"/>
      <c r="AL483" s="188"/>
      <c r="AM483" s="24"/>
    </row>
    <row r="484" spans="16:39">
      <c r="P484"/>
      <c r="Q484"/>
      <c r="R484"/>
      <c r="S484"/>
      <c r="U484" s="2"/>
      <c r="V484" s="2"/>
      <c r="W484" s="188"/>
      <c r="X484" s="188"/>
      <c r="Y484" s="188"/>
      <c r="Z484" s="188"/>
      <c r="AA484" s="188"/>
      <c r="AB484" s="188"/>
      <c r="AC484" s="24"/>
      <c r="AE484" s="188"/>
      <c r="AF484" s="188"/>
      <c r="AG484" s="188"/>
      <c r="AH484" s="188"/>
      <c r="AI484" s="188"/>
      <c r="AJ484" s="188"/>
      <c r="AK484" s="188"/>
      <c r="AL484" s="188"/>
      <c r="AM484" s="24"/>
    </row>
    <row r="485" spans="16:39">
      <c r="P485"/>
      <c r="Q485"/>
      <c r="R485"/>
      <c r="S485"/>
      <c r="U485" s="2"/>
      <c r="V485" s="2"/>
      <c r="W485" s="188"/>
      <c r="X485" s="188"/>
      <c r="Y485" s="188"/>
      <c r="Z485" s="188"/>
      <c r="AA485" s="188"/>
      <c r="AB485" s="188"/>
      <c r="AC485" s="24"/>
      <c r="AE485" s="188"/>
      <c r="AF485" s="188"/>
      <c r="AG485" s="188"/>
      <c r="AH485" s="188"/>
      <c r="AI485" s="188"/>
      <c r="AJ485" s="188"/>
      <c r="AK485" s="188"/>
      <c r="AL485" s="188"/>
      <c r="AM485" s="24"/>
    </row>
    <row r="486" spans="16:39">
      <c r="P486"/>
      <c r="Q486"/>
      <c r="R486"/>
      <c r="S486"/>
      <c r="V486" s="2"/>
      <c r="W486" s="188"/>
      <c r="X486" s="188"/>
      <c r="Y486" s="188"/>
      <c r="Z486" s="188"/>
      <c r="AA486" s="188"/>
      <c r="AB486" s="188"/>
      <c r="AC486" s="24"/>
      <c r="AE486" s="24"/>
      <c r="AF486" s="2"/>
      <c r="AG486" s="188"/>
      <c r="AH486" s="24"/>
      <c r="AI486" s="24"/>
      <c r="AJ486" s="24"/>
      <c r="AK486" s="188"/>
      <c r="AL486" s="24"/>
      <c r="AM486" s="24"/>
    </row>
    <row r="487" spans="16:39">
      <c r="P487"/>
      <c r="Q487"/>
      <c r="R487"/>
      <c r="S487"/>
      <c r="V487" s="2"/>
      <c r="W487" s="188"/>
      <c r="X487" s="188"/>
      <c r="Y487" s="188"/>
      <c r="Z487" s="188"/>
      <c r="AA487" s="188"/>
      <c r="AB487" s="188"/>
      <c r="AC487" s="24"/>
      <c r="AE487" s="24"/>
      <c r="AF487" s="2"/>
      <c r="AG487" s="188"/>
      <c r="AH487" s="24"/>
      <c r="AI487" s="24"/>
      <c r="AJ487" s="24"/>
      <c r="AK487" s="188"/>
      <c r="AL487" s="24"/>
      <c r="AM487" s="24"/>
    </row>
    <row r="488" spans="16:39">
      <c r="P488"/>
      <c r="Q488"/>
      <c r="R488"/>
      <c r="S488"/>
      <c r="V488" s="2"/>
      <c r="W488" s="188"/>
      <c r="X488" s="191"/>
      <c r="Y488" s="188"/>
      <c r="Z488" s="188"/>
      <c r="AA488" s="188"/>
      <c r="AB488" s="188"/>
      <c r="AC488" s="24"/>
      <c r="AF488" s="2"/>
      <c r="AG488" s="188"/>
      <c r="AK488" s="188"/>
      <c r="AM488" s="24"/>
    </row>
    <row r="490" spans="16:39">
      <c r="P490"/>
      <c r="Q490"/>
      <c r="R490"/>
      <c r="S490"/>
      <c r="U490" s="226"/>
      <c r="V490" s="2"/>
      <c r="W490" s="188"/>
      <c r="X490" s="188"/>
      <c r="Y490" s="188"/>
      <c r="Z490" s="188"/>
      <c r="AA490" s="188"/>
      <c r="AB490" s="188"/>
      <c r="AC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</row>
    <row r="491" spans="16:39">
      <c r="P491"/>
      <c r="Q491"/>
      <c r="R491"/>
      <c r="S491"/>
      <c r="U491" s="227"/>
      <c r="V491" s="189"/>
      <c r="W491" s="105"/>
      <c r="X491" s="188"/>
      <c r="Y491" s="188"/>
      <c r="Z491" s="188"/>
      <c r="AA491" s="188"/>
      <c r="AB491" s="188"/>
      <c r="AC491" s="24"/>
      <c r="AE491" s="105"/>
      <c r="AF491" s="191"/>
      <c r="AG491" s="105"/>
      <c r="AH491" s="188"/>
      <c r="AI491" s="188"/>
      <c r="AJ491" s="188"/>
      <c r="AK491" s="188"/>
      <c r="AL491" s="188"/>
      <c r="AM491" s="24"/>
    </row>
    <row r="492" spans="16:39">
      <c r="P492"/>
      <c r="Q492"/>
      <c r="R492"/>
      <c r="S492"/>
      <c r="U492" s="2"/>
      <c r="V492" s="2"/>
      <c r="W492" s="188"/>
      <c r="X492" s="188"/>
      <c r="Y492" s="188"/>
      <c r="Z492" s="188"/>
      <c r="AA492" s="188"/>
      <c r="AB492" s="188"/>
      <c r="AC492" s="24"/>
      <c r="AE492" s="188"/>
      <c r="AF492" s="188"/>
      <c r="AG492" s="188"/>
      <c r="AH492" s="188"/>
      <c r="AI492" s="188"/>
      <c r="AJ492" s="188"/>
      <c r="AK492" s="188"/>
      <c r="AL492" s="188"/>
      <c r="AM492" s="24"/>
    </row>
    <row r="493" spans="16:39">
      <c r="P493"/>
      <c r="Q493"/>
      <c r="R493"/>
      <c r="S493"/>
      <c r="U493" s="2"/>
      <c r="V493" s="2"/>
      <c r="W493" s="188"/>
      <c r="X493" s="188"/>
      <c r="Y493" s="188"/>
      <c r="Z493" s="188"/>
      <c r="AA493" s="188"/>
      <c r="AB493" s="188"/>
      <c r="AC493" s="24"/>
      <c r="AE493" s="188"/>
      <c r="AF493" s="188"/>
      <c r="AG493" s="188"/>
      <c r="AH493" s="188"/>
      <c r="AI493" s="188"/>
      <c r="AJ493" s="188"/>
      <c r="AK493" s="188"/>
      <c r="AL493" s="188"/>
      <c r="AM493" s="24"/>
    </row>
    <row r="494" spans="16:39">
      <c r="P494"/>
      <c r="Q494"/>
      <c r="R494"/>
      <c r="S494"/>
      <c r="U494" s="189"/>
      <c r="V494" s="2"/>
      <c r="W494" s="188"/>
      <c r="X494" s="188"/>
      <c r="Y494" s="188"/>
      <c r="Z494" s="188"/>
      <c r="AA494" s="188"/>
      <c r="AB494" s="188"/>
      <c r="AC494" s="24"/>
      <c r="AE494" s="191"/>
      <c r="AF494" s="188"/>
      <c r="AG494" s="188"/>
      <c r="AH494" s="188"/>
      <c r="AI494" s="188"/>
      <c r="AJ494" s="188"/>
      <c r="AK494" s="188"/>
      <c r="AL494" s="188"/>
      <c r="AM494" s="24"/>
    </row>
    <row r="495" spans="16:39">
      <c r="P495"/>
      <c r="Q495"/>
      <c r="R495"/>
      <c r="S495"/>
      <c r="U495" s="2"/>
      <c r="V495" s="2"/>
      <c r="W495" s="188"/>
      <c r="X495" s="188"/>
      <c r="Y495" s="191"/>
      <c r="Z495" s="188"/>
      <c r="AA495" s="188"/>
      <c r="AB495" s="188"/>
      <c r="AC495" s="24"/>
      <c r="AE495" s="188"/>
      <c r="AF495" s="188"/>
      <c r="AG495" s="188"/>
      <c r="AH495" s="188"/>
      <c r="AI495" s="188"/>
      <c r="AJ495" s="188"/>
      <c r="AK495" s="188"/>
      <c r="AL495" s="188"/>
      <c r="AM495" s="24"/>
    </row>
    <row r="496" spans="16:39">
      <c r="P496"/>
      <c r="Q496"/>
      <c r="R496"/>
      <c r="S496"/>
      <c r="U496" s="2"/>
      <c r="V496" s="2"/>
      <c r="W496" s="188"/>
      <c r="X496" s="188"/>
      <c r="Y496" s="188"/>
      <c r="Z496" s="188"/>
      <c r="AA496" s="188"/>
      <c r="AB496" s="188"/>
      <c r="AC496" s="24"/>
      <c r="AE496" s="188"/>
      <c r="AF496" s="188"/>
      <c r="AG496" s="188"/>
      <c r="AH496" s="188"/>
      <c r="AI496" s="188"/>
      <c r="AJ496" s="188"/>
      <c r="AK496" s="188"/>
      <c r="AL496" s="188"/>
      <c r="AM496" s="24"/>
    </row>
    <row r="497" spans="16:39">
      <c r="P497"/>
      <c r="Q497"/>
      <c r="R497"/>
      <c r="S497"/>
      <c r="U497" s="2"/>
      <c r="V497" s="2"/>
      <c r="W497" s="188"/>
      <c r="X497" s="188"/>
      <c r="Y497" s="188"/>
      <c r="Z497" s="188"/>
      <c r="AA497" s="191"/>
      <c r="AB497" s="188"/>
      <c r="AC497" s="24"/>
      <c r="AE497" s="188"/>
      <c r="AF497" s="188"/>
      <c r="AG497" s="188"/>
      <c r="AH497" s="188"/>
      <c r="AI497" s="188"/>
      <c r="AJ497" s="188"/>
      <c r="AK497" s="188"/>
      <c r="AL497" s="188"/>
      <c r="AM497" s="24"/>
    </row>
    <row r="498" spans="16:39">
      <c r="P498"/>
      <c r="Q498"/>
      <c r="R498"/>
      <c r="S498"/>
      <c r="V498" s="2"/>
      <c r="W498" s="188"/>
      <c r="X498" s="188"/>
      <c r="Y498" s="188"/>
      <c r="Z498" s="191"/>
      <c r="AA498" s="188"/>
      <c r="AB498" s="188"/>
      <c r="AC498" s="24"/>
      <c r="AF498" s="2"/>
      <c r="AG498" s="188"/>
      <c r="AK498" s="188"/>
      <c r="AM498" s="24"/>
    </row>
    <row r="499" spans="16:39">
      <c r="P499"/>
      <c r="Q499"/>
      <c r="R499"/>
      <c r="S499"/>
      <c r="V499" s="2"/>
      <c r="W499" s="188"/>
      <c r="X499" s="191"/>
      <c r="Y499" s="188"/>
      <c r="Z499" s="188"/>
      <c r="AA499" s="191"/>
      <c r="AB499" s="188"/>
      <c r="AC499" s="24"/>
      <c r="AF499" s="2"/>
      <c r="AG499" s="188"/>
      <c r="AK499" s="188"/>
      <c r="AM499" s="24"/>
    </row>
    <row r="500" spans="16:39">
      <c r="P500"/>
      <c r="Q500"/>
      <c r="R500"/>
      <c r="S500"/>
      <c r="V500" s="2"/>
      <c r="W500" s="188"/>
      <c r="X500" s="188"/>
      <c r="Y500" s="188"/>
      <c r="Z500" s="188"/>
      <c r="AA500" s="188"/>
      <c r="AB500" s="188"/>
      <c r="AC500" s="24"/>
      <c r="AF500" s="2"/>
      <c r="AG500" s="188"/>
      <c r="AK500" s="188"/>
      <c r="AM500" s="24"/>
    </row>
    <row r="501" spans="16:39">
      <c r="P501"/>
      <c r="Q501"/>
      <c r="R501"/>
      <c r="S501"/>
      <c r="W501" s="24"/>
      <c r="X501" s="24"/>
      <c r="Y501" s="24"/>
      <c r="Z501" s="24"/>
      <c r="AA501" s="24"/>
      <c r="AB501" s="24"/>
      <c r="AC501" s="24"/>
    </row>
    <row r="502" spans="16:39">
      <c r="P502"/>
      <c r="Q502"/>
      <c r="R502"/>
      <c r="S502"/>
      <c r="W502" s="24"/>
      <c r="X502" s="24"/>
      <c r="Y502" s="24"/>
      <c r="Z502" s="24"/>
      <c r="AA502" s="24"/>
      <c r="AB502" s="24"/>
      <c r="AC502" s="24"/>
    </row>
    <row r="503" spans="16:39">
      <c r="P503"/>
      <c r="Q503"/>
      <c r="R503"/>
      <c r="S503"/>
      <c r="W503" s="24"/>
      <c r="X503" s="24"/>
      <c r="Y503" s="24"/>
      <c r="Z503" s="24"/>
      <c r="AA503" s="24"/>
      <c r="AB503" s="24"/>
      <c r="AC503" s="24"/>
    </row>
    <row r="504" spans="16:39">
      <c r="P504"/>
      <c r="Q504"/>
      <c r="R504"/>
      <c r="S504"/>
      <c r="W504" s="24"/>
      <c r="X504" s="24"/>
      <c r="Y504" s="24"/>
      <c r="Z504" s="24"/>
      <c r="AA504" s="24"/>
      <c r="AB504" s="24"/>
      <c r="AC504" s="24"/>
    </row>
    <row r="505" spans="16:39">
      <c r="P505"/>
      <c r="Q505"/>
      <c r="R505"/>
      <c r="S505"/>
      <c r="W505" s="24"/>
      <c r="X505" s="24"/>
      <c r="Y505" s="24"/>
      <c r="Z505" s="24"/>
      <c r="AA505" s="24"/>
      <c r="AB505" s="24"/>
      <c r="AC505" s="24"/>
    </row>
    <row r="506" spans="16:39">
      <c r="P506"/>
      <c r="Q506"/>
      <c r="R506"/>
      <c r="S506"/>
      <c r="W506" s="24"/>
      <c r="X506" s="24"/>
      <c r="Y506" s="24"/>
      <c r="Z506" s="24"/>
      <c r="AA506" s="24"/>
      <c r="AB506" s="24"/>
      <c r="AC506" s="24"/>
    </row>
    <row r="507" spans="16:39">
      <c r="P507"/>
      <c r="Q507"/>
      <c r="R507"/>
      <c r="S507"/>
      <c r="W507" s="24"/>
      <c r="X507" s="24"/>
      <c r="Y507" s="24"/>
      <c r="Z507" s="24"/>
      <c r="AA507" s="24"/>
      <c r="AB507" s="24"/>
      <c r="AC507" s="24"/>
    </row>
    <row r="508" spans="16:39">
      <c r="P508"/>
      <c r="Q508"/>
      <c r="R508"/>
      <c r="S508"/>
      <c r="W508" s="24"/>
      <c r="X508" s="24"/>
      <c r="Y508" s="24"/>
      <c r="Z508" s="24"/>
      <c r="AA508" s="24"/>
      <c r="AB508" s="24"/>
      <c r="AC508" s="24"/>
    </row>
    <row r="509" spans="16:39">
      <c r="P509"/>
      <c r="Q509"/>
      <c r="R509"/>
      <c r="S509"/>
      <c r="W509" s="24"/>
      <c r="X509" s="24"/>
      <c r="Y509" s="24"/>
      <c r="Z509" s="24"/>
      <c r="AA509" s="24"/>
      <c r="AB509" s="24"/>
      <c r="AC509" s="24"/>
    </row>
    <row r="510" spans="16:39">
      <c r="P510"/>
      <c r="Q510"/>
      <c r="R510"/>
      <c r="S510"/>
      <c r="W510" s="24"/>
      <c r="X510" s="24"/>
      <c r="Y510" s="24"/>
      <c r="Z510" s="24"/>
      <c r="AA510" s="24"/>
      <c r="AB510" s="24"/>
      <c r="AC510" s="24"/>
    </row>
    <row r="511" spans="16:39">
      <c r="P511"/>
      <c r="Q511"/>
      <c r="R511"/>
      <c r="S511"/>
      <c r="W511" s="24"/>
      <c r="X511" s="24"/>
      <c r="Y511" s="24"/>
      <c r="Z511" s="24"/>
      <c r="AA511" s="24"/>
      <c r="AB511" s="24"/>
      <c r="AC511" s="24"/>
    </row>
    <row r="512" spans="16:39">
      <c r="P512"/>
      <c r="Q512"/>
      <c r="R512"/>
      <c r="S512"/>
      <c r="W512" s="24"/>
      <c r="X512" s="24"/>
      <c r="Y512" s="24"/>
      <c r="Z512" s="24"/>
      <c r="AA512" s="24"/>
      <c r="AB512" s="24"/>
      <c r="AC512" s="24"/>
    </row>
    <row r="513" spans="16:29">
      <c r="P513"/>
      <c r="Q513"/>
      <c r="R513"/>
      <c r="S513"/>
      <c r="W513" s="24"/>
      <c r="X513" s="24"/>
      <c r="Y513" s="24"/>
      <c r="Z513" s="24"/>
      <c r="AA513" s="24"/>
      <c r="AB513" s="24"/>
      <c r="AC513" s="24"/>
    </row>
    <row r="514" spans="16:29">
      <c r="P514"/>
      <c r="Q514"/>
      <c r="R514"/>
      <c r="S514"/>
      <c r="W514" s="24"/>
      <c r="X514" s="24"/>
      <c r="Y514" s="24"/>
      <c r="Z514" s="24"/>
      <c r="AA514" s="24"/>
      <c r="AB514" s="24"/>
      <c r="AC514" s="24"/>
    </row>
    <row r="515" spans="16:29">
      <c r="P515"/>
      <c r="Q515"/>
      <c r="R515"/>
      <c r="S515"/>
      <c r="W515" s="24"/>
      <c r="X515" s="24"/>
      <c r="Y515" s="24"/>
      <c r="Z515" s="24"/>
      <c r="AA515" s="24"/>
      <c r="AB515" s="24"/>
      <c r="AC515" s="24"/>
    </row>
    <row r="516" spans="16:29">
      <c r="P516"/>
      <c r="Q516"/>
      <c r="R516"/>
      <c r="S516"/>
      <c r="W516" s="24"/>
      <c r="X516" s="24"/>
      <c r="Y516" s="24"/>
      <c r="Z516" s="24"/>
      <c r="AA516" s="24"/>
      <c r="AB516" s="24"/>
      <c r="AC516" s="24"/>
    </row>
    <row r="517" spans="16:29">
      <c r="P517"/>
      <c r="Q517"/>
      <c r="R517"/>
      <c r="S517"/>
      <c r="W517" s="24"/>
      <c r="X517" s="24"/>
      <c r="Y517" s="24"/>
      <c r="Z517" s="24"/>
      <c r="AA517" s="24"/>
      <c r="AB517" s="24"/>
      <c r="AC517" s="24"/>
    </row>
    <row r="518" spans="16:29">
      <c r="P518"/>
      <c r="Q518"/>
      <c r="R518"/>
      <c r="S518"/>
      <c r="W518" s="24"/>
      <c r="X518" s="24"/>
      <c r="Y518" s="24"/>
      <c r="Z518" s="24"/>
      <c r="AA518" s="24"/>
      <c r="AB518" s="24"/>
      <c r="AC518" s="24"/>
    </row>
    <row r="519" spans="16:29">
      <c r="P519"/>
      <c r="Q519"/>
      <c r="R519"/>
      <c r="S519"/>
      <c r="W519" s="24"/>
      <c r="X519" s="24"/>
      <c r="Y519" s="24"/>
      <c r="Z519" s="24"/>
      <c r="AA519" s="24"/>
      <c r="AB519" s="24"/>
      <c r="AC519" s="24"/>
    </row>
    <row r="520" spans="16:29">
      <c r="P520"/>
      <c r="Q520"/>
      <c r="R520"/>
      <c r="S520"/>
      <c r="W520" s="24"/>
      <c r="X520" s="24"/>
      <c r="Y520" s="24"/>
      <c r="Z520" s="24"/>
      <c r="AA520" s="24"/>
      <c r="AB520" s="24"/>
      <c r="AC520" s="24"/>
    </row>
    <row r="521" spans="16:29">
      <c r="P521"/>
      <c r="Q521"/>
      <c r="R521"/>
      <c r="S521"/>
      <c r="W521" s="24"/>
      <c r="X521" s="24"/>
      <c r="Y521" s="24"/>
      <c r="Z521" s="24"/>
      <c r="AA521" s="24"/>
      <c r="AB521" s="24"/>
      <c r="AC521" s="24"/>
    </row>
    <row r="522" spans="16:29">
      <c r="P522"/>
      <c r="Q522"/>
      <c r="R522"/>
      <c r="S522"/>
      <c r="W522" s="24"/>
      <c r="X522" s="24"/>
      <c r="Y522" s="24"/>
      <c r="Z522" s="24"/>
      <c r="AA522" s="24"/>
      <c r="AB522" s="24"/>
      <c r="AC522" s="24"/>
    </row>
    <row r="523" spans="16:29">
      <c r="P523"/>
      <c r="Q523"/>
      <c r="R523"/>
      <c r="S523"/>
      <c r="W523" s="24"/>
      <c r="X523" s="24"/>
      <c r="Y523" s="24"/>
      <c r="Z523" s="24"/>
      <c r="AA523" s="24"/>
      <c r="AB523" s="24"/>
      <c r="AC523" s="24"/>
    </row>
    <row r="524" spans="16:29">
      <c r="P524"/>
      <c r="Q524"/>
      <c r="R524"/>
      <c r="S524"/>
      <c r="W524" s="24"/>
      <c r="X524" s="24"/>
      <c r="Y524" s="24"/>
      <c r="Z524" s="24"/>
      <c r="AA524" s="24"/>
      <c r="AB524" s="24"/>
      <c r="AC524" s="24"/>
    </row>
    <row r="525" spans="16:29">
      <c r="P525"/>
      <c r="Q525"/>
      <c r="R525"/>
      <c r="S525"/>
      <c r="W525" s="24"/>
      <c r="X525" s="24"/>
      <c r="Y525" s="24"/>
      <c r="Z525" s="24"/>
      <c r="AA525" s="24"/>
      <c r="AB525" s="24"/>
      <c r="AC525" s="24"/>
    </row>
    <row r="526" spans="16:29">
      <c r="P526"/>
      <c r="Q526"/>
      <c r="R526"/>
      <c r="S526"/>
      <c r="W526" s="24"/>
      <c r="X526" s="24"/>
      <c r="Y526" s="24"/>
      <c r="Z526" s="24"/>
      <c r="AA526" s="24"/>
      <c r="AB526" s="24"/>
      <c r="AC526" s="24"/>
    </row>
    <row r="527" spans="16:29">
      <c r="P527"/>
      <c r="Q527"/>
      <c r="R527"/>
      <c r="S527"/>
      <c r="W527" s="24"/>
      <c r="X527" s="24"/>
      <c r="Y527" s="24"/>
      <c r="Z527" s="24"/>
      <c r="AA527" s="24"/>
      <c r="AB527" s="24"/>
      <c r="AC527" s="24"/>
    </row>
    <row r="528" spans="16:29">
      <c r="P528"/>
      <c r="Q528"/>
      <c r="R528"/>
      <c r="S528"/>
      <c r="W528" s="24"/>
      <c r="X528" s="24"/>
      <c r="Y528" s="24"/>
      <c r="Z528" s="24"/>
      <c r="AA528" s="24"/>
      <c r="AB528" s="24"/>
      <c r="AC528" s="24"/>
    </row>
    <row r="529" spans="16:29">
      <c r="P529"/>
      <c r="Q529"/>
      <c r="R529"/>
      <c r="S529"/>
      <c r="W529" s="24"/>
      <c r="X529" s="24"/>
      <c r="Y529" s="24"/>
      <c r="Z529" s="24"/>
      <c r="AA529" s="24"/>
      <c r="AB529" s="24"/>
      <c r="AC529" s="24"/>
    </row>
    <row r="530" spans="16:29">
      <c r="P530"/>
      <c r="Q530"/>
      <c r="R530"/>
      <c r="S530"/>
      <c r="W530" s="24"/>
      <c r="X530" s="24"/>
      <c r="Y530" s="24"/>
      <c r="Z530" s="24"/>
      <c r="AA530" s="24"/>
      <c r="AB530" s="24"/>
      <c r="AC530" s="24"/>
    </row>
    <row r="531" spans="16:29">
      <c r="P531"/>
      <c r="Q531"/>
      <c r="R531"/>
      <c r="S531"/>
      <c r="W531" s="24"/>
      <c r="X531" s="24"/>
      <c r="Y531" s="24"/>
      <c r="Z531" s="24"/>
      <c r="AA531" s="24"/>
      <c r="AB531" s="24"/>
      <c r="AC531" s="24"/>
    </row>
    <row r="532" spans="16:29">
      <c r="P532"/>
      <c r="Q532"/>
      <c r="R532"/>
      <c r="S532"/>
      <c r="W532" s="24"/>
      <c r="X532" s="24"/>
      <c r="Y532" s="24"/>
      <c r="Z532" s="24"/>
      <c r="AA532" s="24"/>
      <c r="AB532" s="24"/>
      <c r="AC532" s="24"/>
    </row>
    <row r="533" spans="16:29">
      <c r="P533"/>
      <c r="Q533"/>
      <c r="R533"/>
      <c r="S533"/>
      <c r="W533" s="24"/>
      <c r="X533" s="24"/>
      <c r="Y533" s="24"/>
      <c r="Z533" s="24"/>
      <c r="AA533" s="24"/>
      <c r="AB533" s="24"/>
      <c r="AC533" s="24"/>
    </row>
    <row r="534" spans="16:29">
      <c r="P534"/>
      <c r="Q534"/>
      <c r="R534"/>
      <c r="S534"/>
      <c r="W534" s="24"/>
      <c r="X534" s="24"/>
      <c r="Y534" s="24"/>
      <c r="Z534" s="24"/>
      <c r="AA534" s="24"/>
      <c r="AB534" s="24"/>
      <c r="AC534" s="24"/>
    </row>
    <row r="535" spans="16:29">
      <c r="P535"/>
      <c r="Q535"/>
      <c r="R535"/>
      <c r="S535"/>
      <c r="W535" s="24"/>
      <c r="X535" s="24"/>
      <c r="Y535" s="24"/>
      <c r="Z535" s="24"/>
      <c r="AA535" s="24"/>
      <c r="AB535" s="24"/>
      <c r="AC535" s="24"/>
    </row>
    <row r="536" spans="16:29">
      <c r="P536"/>
      <c r="Q536"/>
      <c r="R536"/>
      <c r="S536"/>
      <c r="W536" s="24"/>
      <c r="X536" s="24"/>
      <c r="Y536" s="24"/>
      <c r="Z536" s="24"/>
      <c r="AA536" s="24"/>
      <c r="AB536" s="24"/>
      <c r="AC536" s="24"/>
    </row>
    <row r="537" spans="16:29">
      <c r="P537"/>
      <c r="Q537"/>
      <c r="R537"/>
      <c r="S537"/>
      <c r="W537" s="24"/>
      <c r="X537" s="24"/>
      <c r="Y537" s="24"/>
      <c r="Z537" s="24"/>
      <c r="AA537" s="24"/>
      <c r="AB537" s="24"/>
      <c r="AC537" s="24"/>
    </row>
    <row r="538" spans="16:29">
      <c r="P538"/>
      <c r="Q538"/>
      <c r="R538"/>
      <c r="S538"/>
      <c r="W538" s="24"/>
      <c r="X538" s="24"/>
      <c r="Y538" s="24"/>
      <c r="Z538" s="24"/>
      <c r="AA538" s="24"/>
      <c r="AB538" s="24"/>
      <c r="AC538" s="24"/>
    </row>
    <row r="539" spans="16:29">
      <c r="P539"/>
      <c r="Q539"/>
      <c r="R539"/>
      <c r="S539"/>
      <c r="W539" s="24"/>
      <c r="X539" s="24"/>
      <c r="Y539" s="24"/>
      <c r="Z539" s="24"/>
      <c r="AA539" s="24"/>
      <c r="AB539" s="24"/>
      <c r="AC539" s="24"/>
    </row>
    <row r="540" spans="16:29">
      <c r="P540"/>
      <c r="Q540"/>
      <c r="R540"/>
      <c r="S540"/>
      <c r="W540" s="24"/>
      <c r="X540" s="24"/>
      <c r="Y540" s="24"/>
      <c r="Z540" s="24"/>
      <c r="AA540" s="24"/>
      <c r="AB540" s="24"/>
      <c r="AC540" s="24"/>
    </row>
    <row r="541" spans="16:29">
      <c r="P541"/>
      <c r="Q541"/>
      <c r="R541"/>
      <c r="S541"/>
      <c r="W541" s="24"/>
      <c r="X541" s="24"/>
      <c r="Y541" s="24"/>
      <c r="Z541" s="24"/>
      <c r="AA541" s="24"/>
      <c r="AB541" s="24"/>
      <c r="AC541" s="24"/>
    </row>
    <row r="542" spans="16:29">
      <c r="P542"/>
      <c r="Q542"/>
      <c r="R542"/>
      <c r="S542"/>
      <c r="W542" s="24"/>
      <c r="X542" s="24"/>
      <c r="Y542" s="24"/>
      <c r="Z542" s="24"/>
      <c r="AA542" s="24"/>
      <c r="AB542" s="24"/>
      <c r="AC542" s="24"/>
    </row>
    <row r="543" spans="16:29">
      <c r="P543"/>
      <c r="Q543"/>
      <c r="R543"/>
      <c r="S543"/>
      <c r="W543" s="24"/>
      <c r="X543" s="24"/>
      <c r="Y543" s="24"/>
      <c r="Z543" s="24"/>
      <c r="AA543" s="24"/>
      <c r="AB543" s="24"/>
      <c r="AC543" s="24"/>
    </row>
    <row r="544" spans="16:29">
      <c r="P544"/>
      <c r="Q544"/>
      <c r="R544"/>
      <c r="S544"/>
      <c r="W544" s="24"/>
      <c r="X544" s="24"/>
      <c r="Y544" s="24"/>
      <c r="Z544" s="24"/>
      <c r="AA544" s="24"/>
      <c r="AB544" s="24"/>
      <c r="AC544" s="24"/>
    </row>
    <row r="545" spans="16:29">
      <c r="P545"/>
      <c r="Q545"/>
      <c r="R545"/>
      <c r="S545"/>
      <c r="W545" s="24"/>
      <c r="X545" s="24"/>
      <c r="Y545" s="24"/>
      <c r="Z545" s="24"/>
      <c r="AA545" s="24"/>
      <c r="AB545" s="24"/>
      <c r="AC545" s="24"/>
    </row>
    <row r="546" spans="16:29">
      <c r="P546"/>
      <c r="Q546"/>
      <c r="R546"/>
      <c r="S546"/>
      <c r="W546" s="24"/>
      <c r="X546" s="24"/>
      <c r="Y546" s="24"/>
      <c r="Z546" s="24"/>
      <c r="AA546" s="24"/>
      <c r="AB546" s="24"/>
      <c r="AC546" s="24"/>
    </row>
    <row r="547" spans="16:29">
      <c r="P547"/>
      <c r="Q547"/>
      <c r="R547"/>
      <c r="S547"/>
      <c r="W547" s="24"/>
      <c r="X547" s="24"/>
      <c r="Y547" s="24"/>
      <c r="Z547" s="24"/>
      <c r="AA547" s="24"/>
      <c r="AB547" s="24"/>
      <c r="AC547" s="24"/>
    </row>
    <row r="548" spans="16:29">
      <c r="P548"/>
      <c r="Q548"/>
      <c r="R548"/>
      <c r="S548"/>
      <c r="W548" s="24"/>
      <c r="X548" s="24"/>
      <c r="Y548" s="24"/>
      <c r="Z548" s="24"/>
      <c r="AA548" s="24"/>
      <c r="AB548" s="24"/>
      <c r="AC548" s="24"/>
    </row>
    <row r="549" spans="16:29">
      <c r="P549"/>
      <c r="Q549"/>
      <c r="R549"/>
      <c r="S549"/>
      <c r="W549" s="24"/>
      <c r="X549" s="24"/>
      <c r="Y549" s="24"/>
      <c r="Z549" s="24"/>
      <c r="AA549" s="24"/>
      <c r="AB549" s="24"/>
      <c r="AC549" s="24"/>
    </row>
    <row r="550" spans="16:29">
      <c r="P550"/>
      <c r="Q550"/>
      <c r="R550"/>
      <c r="S550"/>
      <c r="W550" s="24"/>
      <c r="X550" s="24"/>
      <c r="Y550" s="24"/>
      <c r="Z550" s="24"/>
      <c r="AA550" s="24"/>
      <c r="AB550" s="24"/>
      <c r="AC550" s="24"/>
    </row>
    <row r="551" spans="16:29">
      <c r="P551"/>
      <c r="Q551"/>
      <c r="R551"/>
      <c r="S551"/>
      <c r="W551" s="24"/>
      <c r="X551" s="24"/>
      <c r="Y551" s="24"/>
      <c r="Z551" s="24"/>
      <c r="AA551" s="24"/>
      <c r="AB551" s="24"/>
      <c r="AC551" s="24"/>
    </row>
    <row r="552" spans="16:29">
      <c r="P552"/>
      <c r="Q552"/>
      <c r="R552"/>
      <c r="S552"/>
      <c r="W552" s="24"/>
      <c r="X552" s="24"/>
      <c r="Y552" s="24"/>
      <c r="Z552" s="24"/>
      <c r="AA552" s="24"/>
      <c r="AB552" s="24"/>
      <c r="AC552" s="24"/>
    </row>
    <row r="553" spans="16:29">
      <c r="P553"/>
      <c r="Q553"/>
      <c r="R553"/>
      <c r="S553"/>
      <c r="W553" s="24"/>
      <c r="X553" s="24"/>
      <c r="Y553" s="24"/>
      <c r="Z553" s="24"/>
      <c r="AA553" s="24"/>
      <c r="AB553" s="24"/>
      <c r="AC553" s="24"/>
    </row>
    <row r="554" spans="16:29">
      <c r="P554"/>
      <c r="Q554"/>
      <c r="R554"/>
      <c r="S554"/>
      <c r="W554" s="24"/>
      <c r="X554" s="24"/>
      <c r="Y554" s="24"/>
      <c r="Z554" s="24"/>
      <c r="AA554" s="24"/>
      <c r="AB554" s="24"/>
      <c r="AC554" s="24"/>
    </row>
    <row r="555" spans="16:29">
      <c r="P555"/>
      <c r="Q555"/>
      <c r="R555"/>
      <c r="S555"/>
      <c r="W555" s="24"/>
      <c r="X555" s="24"/>
      <c r="Y555" s="24"/>
      <c r="Z555" s="24"/>
      <c r="AA555" s="24"/>
      <c r="AB555" s="24"/>
      <c r="AC555" s="24"/>
    </row>
    <row r="556" spans="16:29">
      <c r="P556"/>
      <c r="Q556"/>
      <c r="R556"/>
      <c r="S556"/>
      <c r="W556" s="24"/>
      <c r="X556" s="24"/>
      <c r="Y556" s="24"/>
      <c r="Z556" s="24"/>
      <c r="AA556" s="24"/>
      <c r="AB556" s="24"/>
      <c r="AC556" s="24"/>
    </row>
    <row r="557" spans="16:29">
      <c r="P557"/>
      <c r="Q557"/>
      <c r="R557"/>
      <c r="S557"/>
      <c r="W557" s="24"/>
      <c r="X557" s="24"/>
      <c r="Y557" s="24"/>
      <c r="Z557" s="24"/>
      <c r="AA557" s="24"/>
      <c r="AB557" s="24"/>
      <c r="AC557" s="24"/>
    </row>
    <row r="558" spans="16:29">
      <c r="P558"/>
      <c r="Q558"/>
      <c r="R558"/>
      <c r="S558"/>
      <c r="W558" s="24"/>
      <c r="X558" s="24"/>
      <c r="Y558" s="24"/>
      <c r="Z558" s="24"/>
      <c r="AA558" s="24"/>
      <c r="AB558" s="24"/>
      <c r="AC558" s="24"/>
    </row>
    <row r="559" spans="16:29">
      <c r="P559"/>
      <c r="Q559"/>
      <c r="R559"/>
      <c r="S559"/>
      <c r="W559" s="24"/>
      <c r="X559" s="24"/>
      <c r="Y559" s="24"/>
      <c r="Z559" s="24"/>
      <c r="AA559" s="24"/>
      <c r="AB559" s="24"/>
      <c r="AC559" s="24"/>
    </row>
    <row r="560" spans="16:29">
      <c r="P560"/>
      <c r="Q560"/>
      <c r="R560"/>
      <c r="S560"/>
      <c r="W560" s="24"/>
      <c r="X560" s="24"/>
      <c r="Y560" s="24"/>
      <c r="Z560" s="24"/>
      <c r="AA560" s="24"/>
      <c r="AB560" s="24"/>
      <c r="AC560" s="24"/>
    </row>
    <row r="561" spans="16:29">
      <c r="P561"/>
      <c r="Q561"/>
      <c r="R561"/>
      <c r="S561"/>
      <c r="W561" s="24"/>
      <c r="X561" s="24"/>
      <c r="Y561" s="24"/>
      <c r="Z561" s="24"/>
      <c r="AA561" s="24"/>
      <c r="AB561" s="24"/>
      <c r="AC561" s="24"/>
    </row>
    <row r="562" spans="16:29">
      <c r="P562"/>
      <c r="Q562"/>
      <c r="R562"/>
      <c r="S562"/>
      <c r="W562" s="24"/>
      <c r="X562" s="24"/>
      <c r="Y562" s="24"/>
      <c r="Z562" s="24"/>
      <c r="AA562" s="24"/>
      <c r="AB562" s="24"/>
      <c r="AC562" s="24"/>
    </row>
    <row r="563" spans="16:29">
      <c r="P563"/>
      <c r="Q563"/>
      <c r="R563"/>
      <c r="S563"/>
      <c r="W563" s="24"/>
      <c r="X563" s="24"/>
      <c r="Y563" s="24"/>
      <c r="Z563" s="24"/>
      <c r="AA563" s="24"/>
      <c r="AB563" s="24"/>
      <c r="AC563" s="24"/>
    </row>
    <row r="564" spans="16:29">
      <c r="P564"/>
      <c r="Q564"/>
      <c r="R564"/>
      <c r="S564"/>
      <c r="W564" s="24"/>
      <c r="X564" s="24"/>
      <c r="Y564" s="24"/>
      <c r="Z564" s="24"/>
      <c r="AA564" s="24"/>
      <c r="AB564" s="24"/>
      <c r="AC564" s="24"/>
    </row>
    <row r="565" spans="16:29">
      <c r="P565"/>
      <c r="Q565"/>
      <c r="R565"/>
      <c r="S565"/>
      <c r="W565" s="24"/>
      <c r="X565" s="24"/>
      <c r="Y565" s="24"/>
      <c r="Z565" s="24"/>
      <c r="AA565" s="24"/>
      <c r="AB565" s="24"/>
      <c r="AC565" s="24"/>
    </row>
    <row r="566" spans="16:29">
      <c r="P566"/>
      <c r="Q566"/>
      <c r="R566"/>
      <c r="S566"/>
      <c r="W566" s="24"/>
      <c r="X566" s="24"/>
      <c r="Y566" s="24"/>
      <c r="Z566" s="24"/>
      <c r="AA566" s="24"/>
      <c r="AB566" s="24"/>
      <c r="AC566" s="24"/>
    </row>
    <row r="567" spans="16:29">
      <c r="P567"/>
      <c r="Q567"/>
      <c r="R567"/>
      <c r="S567"/>
      <c r="W567" s="24"/>
      <c r="X567" s="24"/>
      <c r="Y567" s="24"/>
      <c r="Z567" s="24"/>
      <c r="AA567" s="24"/>
      <c r="AB567" s="24"/>
      <c r="AC567" s="24"/>
    </row>
    <row r="568" spans="16:29">
      <c r="P568"/>
      <c r="Q568"/>
      <c r="R568"/>
      <c r="S568"/>
      <c r="W568" s="24"/>
      <c r="X568" s="24"/>
      <c r="Y568" s="24"/>
      <c r="Z568" s="24"/>
      <c r="AA568" s="24"/>
      <c r="AB568" s="24"/>
      <c r="AC568" s="24"/>
    </row>
    <row r="569" spans="16:29">
      <c r="P569"/>
      <c r="Q569"/>
      <c r="R569"/>
      <c r="S569"/>
      <c r="W569" s="24"/>
      <c r="X569" s="24"/>
      <c r="Y569" s="24"/>
      <c r="Z569" s="24"/>
      <c r="AA569" s="24"/>
      <c r="AB569" s="24"/>
      <c r="AC569" s="24"/>
    </row>
    <row r="570" spans="16:29">
      <c r="P570"/>
      <c r="Q570"/>
      <c r="R570"/>
      <c r="S570"/>
      <c r="W570" s="24"/>
      <c r="X570" s="24"/>
      <c r="Y570" s="24"/>
      <c r="Z570" s="24"/>
      <c r="AA570" s="24"/>
      <c r="AB570" s="24"/>
      <c r="AC570" s="24"/>
    </row>
    <row r="571" spans="16:29">
      <c r="P571"/>
      <c r="Q571"/>
      <c r="R571"/>
      <c r="S571"/>
      <c r="W571" s="24"/>
      <c r="X571" s="24"/>
      <c r="Y571" s="24"/>
      <c r="Z571" s="24"/>
      <c r="AA571" s="24"/>
      <c r="AB571" s="24"/>
      <c r="AC571" s="24"/>
    </row>
    <row r="572" spans="16:29">
      <c r="P572"/>
      <c r="Q572"/>
      <c r="R572"/>
      <c r="S572"/>
      <c r="W572" s="24"/>
      <c r="X572" s="24"/>
      <c r="Y572" s="24"/>
      <c r="Z572" s="24"/>
      <c r="AA572" s="24"/>
      <c r="AB572" s="24"/>
      <c r="AC572" s="24"/>
    </row>
    <row r="573" spans="16:29">
      <c r="P573"/>
      <c r="Q573"/>
      <c r="R573"/>
      <c r="S573"/>
      <c r="W573" s="24"/>
      <c r="X573" s="24"/>
      <c r="Y573" s="24"/>
      <c r="Z573" s="24"/>
      <c r="AA573" s="24"/>
      <c r="AB573" s="24"/>
      <c r="AC573" s="24"/>
    </row>
    <row r="574" spans="16:29">
      <c r="P574"/>
      <c r="Q574"/>
      <c r="R574"/>
      <c r="S574"/>
      <c r="W574" s="24"/>
      <c r="X574" s="24"/>
      <c r="Y574" s="24"/>
      <c r="Z574" s="24"/>
      <c r="AA574" s="24"/>
      <c r="AB574" s="24"/>
      <c r="AC574" s="24"/>
    </row>
    <row r="575" spans="16:29">
      <c r="P575"/>
      <c r="Q575"/>
      <c r="R575"/>
      <c r="S575"/>
      <c r="W575" s="24"/>
      <c r="X575" s="24"/>
      <c r="Y575" s="24"/>
      <c r="Z575" s="24"/>
      <c r="AA575" s="24"/>
      <c r="AB575" s="24"/>
      <c r="AC575" s="24"/>
    </row>
    <row r="576" spans="16:29">
      <c r="P576"/>
      <c r="Q576"/>
      <c r="R576"/>
      <c r="S576"/>
      <c r="W576" s="24"/>
      <c r="X576" s="24"/>
      <c r="Y576" s="24"/>
      <c r="Z576" s="24"/>
      <c r="AA576" s="24"/>
      <c r="AB576" s="24"/>
      <c r="AC576" s="24"/>
    </row>
    <row r="577" spans="16:29">
      <c r="P577"/>
      <c r="Q577"/>
      <c r="R577"/>
      <c r="S577"/>
      <c r="W577" s="24"/>
      <c r="X577" s="24"/>
      <c r="Y577" s="24"/>
      <c r="Z577" s="24"/>
      <c r="AA577" s="24"/>
      <c r="AB577" s="24"/>
      <c r="AC577" s="24"/>
    </row>
    <row r="578" spans="16:29">
      <c r="P578"/>
      <c r="Q578"/>
      <c r="R578"/>
      <c r="S578"/>
      <c r="W578" s="24"/>
      <c r="X578" s="24"/>
      <c r="Y578" s="24"/>
      <c r="Z578" s="24"/>
      <c r="AA578" s="24"/>
      <c r="AB578" s="24"/>
      <c r="AC578" s="24"/>
    </row>
    <row r="579" spans="16:29">
      <c r="P579"/>
      <c r="Q579"/>
      <c r="R579"/>
      <c r="S579"/>
      <c r="W579" s="24"/>
      <c r="X579" s="24"/>
      <c r="Y579" s="24"/>
      <c r="Z579" s="24"/>
      <c r="AA579" s="24"/>
      <c r="AB579" s="24"/>
      <c r="AC579" s="24"/>
    </row>
    <row r="580" spans="16:29">
      <c r="P580"/>
      <c r="Q580"/>
      <c r="R580"/>
      <c r="S580"/>
      <c r="W580" s="24"/>
      <c r="X580" s="24"/>
      <c r="Y580" s="24"/>
      <c r="Z580" s="24"/>
      <c r="AA580" s="24"/>
      <c r="AB580" s="24"/>
      <c r="AC580" s="24"/>
    </row>
    <row r="581" spans="16:29">
      <c r="P581"/>
      <c r="Q581"/>
      <c r="R581"/>
      <c r="S581"/>
      <c r="W581" s="24"/>
      <c r="X581" s="24"/>
      <c r="Y581" s="24"/>
      <c r="Z581" s="24"/>
      <c r="AA581" s="24"/>
      <c r="AB581" s="24"/>
      <c r="AC581" s="24"/>
    </row>
    <row r="582" spans="16:29">
      <c r="P582"/>
      <c r="Q582"/>
      <c r="R582"/>
      <c r="S582"/>
      <c r="W582" s="24"/>
      <c r="X582" s="24"/>
      <c r="Y582" s="24"/>
      <c r="Z582" s="24"/>
      <c r="AA582" s="24"/>
      <c r="AB582" s="24"/>
      <c r="AC582" s="24"/>
    </row>
    <row r="583" spans="16:29">
      <c r="P583"/>
      <c r="Q583"/>
      <c r="R583"/>
      <c r="S583"/>
      <c r="W583" s="24"/>
      <c r="X583" s="24"/>
      <c r="Y583" s="24"/>
      <c r="Z583" s="24"/>
      <c r="AA583" s="24"/>
      <c r="AB583" s="24"/>
      <c r="AC583" s="24"/>
    </row>
    <row r="584" spans="16:29">
      <c r="P584"/>
      <c r="Q584"/>
      <c r="R584"/>
      <c r="S584"/>
      <c r="W584" s="24"/>
      <c r="X584" s="24"/>
      <c r="Y584" s="24"/>
      <c r="Z584" s="24"/>
      <c r="AA584" s="24"/>
      <c r="AB584" s="24"/>
      <c r="AC584" s="24"/>
    </row>
    <row r="585" spans="16:29">
      <c r="P585"/>
      <c r="Q585"/>
      <c r="R585"/>
      <c r="S585"/>
      <c r="W585" s="24"/>
      <c r="X585" s="24"/>
      <c r="Y585" s="24"/>
      <c r="Z585" s="24"/>
      <c r="AA585" s="24"/>
      <c r="AB585" s="24"/>
      <c r="AC585" s="24"/>
    </row>
    <row r="586" spans="16:29">
      <c r="P586"/>
      <c r="Q586"/>
      <c r="R586"/>
      <c r="S586"/>
      <c r="W586" s="24"/>
      <c r="X586" s="24"/>
      <c r="Y586" s="24"/>
      <c r="Z586" s="24"/>
      <c r="AA586" s="24"/>
      <c r="AB586" s="24"/>
      <c r="AC586" s="24"/>
    </row>
    <row r="587" spans="16:29">
      <c r="P587"/>
      <c r="Q587"/>
      <c r="R587"/>
      <c r="S587"/>
      <c r="W587" s="24"/>
      <c r="X587" s="24"/>
      <c r="Y587" s="24"/>
      <c r="Z587" s="24"/>
      <c r="AA587" s="24"/>
      <c r="AB587" s="24"/>
      <c r="AC587" s="24"/>
    </row>
    <row r="588" spans="16:29">
      <c r="P588"/>
      <c r="Q588"/>
      <c r="R588"/>
      <c r="S588"/>
      <c r="W588" s="24"/>
      <c r="X588" s="24"/>
      <c r="Y588" s="24"/>
      <c r="Z588" s="24"/>
      <c r="AA588" s="24"/>
      <c r="AB588" s="24"/>
      <c r="AC588" s="24"/>
    </row>
    <row r="589" spans="16:29">
      <c r="P589"/>
      <c r="Q589"/>
      <c r="R589"/>
      <c r="S589"/>
      <c r="W589" s="24"/>
      <c r="X589" s="24"/>
      <c r="Y589" s="24"/>
      <c r="Z589" s="24"/>
      <c r="AA589" s="24"/>
      <c r="AB589" s="24"/>
      <c r="AC589" s="24"/>
    </row>
    <row r="590" spans="16:29">
      <c r="P590"/>
      <c r="Q590"/>
      <c r="R590"/>
      <c r="S590"/>
      <c r="W590" s="24"/>
      <c r="X590" s="24"/>
      <c r="Y590" s="24"/>
      <c r="Z590" s="24"/>
      <c r="AA590" s="24"/>
      <c r="AB590" s="24"/>
      <c r="AC590" s="24"/>
    </row>
    <row r="591" spans="16:29">
      <c r="P591"/>
      <c r="Q591"/>
      <c r="R591"/>
      <c r="S591"/>
      <c r="W591" s="24"/>
      <c r="X591" s="24"/>
      <c r="Y591" s="24"/>
      <c r="Z591" s="24"/>
      <c r="AA591" s="24"/>
      <c r="AB591" s="24"/>
      <c r="AC591" s="24"/>
    </row>
    <row r="592" spans="16:29">
      <c r="P592"/>
      <c r="Q592"/>
      <c r="R592"/>
      <c r="S592"/>
      <c r="W592" s="24"/>
      <c r="X592" s="24"/>
      <c r="Y592" s="24"/>
      <c r="Z592" s="24"/>
      <c r="AA592" s="24"/>
      <c r="AB592" s="24"/>
      <c r="AC592" s="24"/>
    </row>
    <row r="593" spans="16:29">
      <c r="P593"/>
      <c r="Q593"/>
      <c r="R593"/>
      <c r="S593"/>
      <c r="W593" s="24"/>
      <c r="X593" s="24"/>
      <c r="Y593" s="24"/>
      <c r="Z593" s="24"/>
      <c r="AA593" s="24"/>
      <c r="AB593" s="24"/>
      <c r="AC593" s="24"/>
    </row>
    <row r="594" spans="16:29">
      <c r="P594"/>
      <c r="Q594"/>
      <c r="R594"/>
      <c r="S594"/>
      <c r="W594" s="24"/>
      <c r="X594" s="24"/>
      <c r="Y594" s="24"/>
      <c r="Z594" s="24"/>
      <c r="AA594" s="24"/>
      <c r="AB594" s="24"/>
      <c r="AC594" s="24"/>
    </row>
    <row r="595" spans="16:29">
      <c r="P595"/>
      <c r="Q595"/>
      <c r="R595"/>
      <c r="S595"/>
      <c r="W595" s="24"/>
      <c r="X595" s="24"/>
      <c r="Y595" s="24"/>
      <c r="Z595" s="24"/>
      <c r="AA595" s="24"/>
      <c r="AB595" s="24"/>
      <c r="AC595" s="24"/>
    </row>
    <row r="596" spans="16:29">
      <c r="P596"/>
      <c r="Q596"/>
      <c r="R596"/>
      <c r="S596"/>
      <c r="W596" s="24"/>
      <c r="X596" s="24"/>
      <c r="Y596" s="24"/>
      <c r="Z596" s="24"/>
      <c r="AA596" s="24"/>
      <c r="AB596" s="24"/>
      <c r="AC596" s="24"/>
    </row>
    <row r="597" spans="16:29">
      <c r="P597"/>
      <c r="Q597"/>
      <c r="R597"/>
      <c r="S597"/>
      <c r="W597" s="24"/>
      <c r="X597" s="24"/>
      <c r="Y597" s="24"/>
      <c r="Z597" s="24"/>
      <c r="AA597" s="24"/>
      <c r="AB597" s="24"/>
      <c r="AC597" s="24"/>
    </row>
    <row r="598" spans="16:29">
      <c r="P598"/>
      <c r="Q598"/>
      <c r="R598"/>
      <c r="S598"/>
      <c r="W598" s="24"/>
      <c r="X598" s="24"/>
      <c r="Y598" s="24"/>
      <c r="Z598" s="24"/>
      <c r="AA598" s="24"/>
      <c r="AB598" s="24"/>
      <c r="AC598" s="24"/>
    </row>
  </sheetData>
  <sheetProtection algorithmName="SHA-512" hashValue="UPI+CeuNp4JB2UPTldvLnJr0UqjAaFXyCxdgQbuMAehPMmE3TJpNErpb9d3xtbXB95HF6YFcKM72UGAdpDQtfA==" saltValue="JHmsCFRkTeiaHD+e3QE+rg==" spinCount="100000" sheet="1" objects="1" scenarios="1" selectLockedCells="1"/>
  <customSheetViews>
    <customSheetView guid="{88029C9E-0AAA-4AEA-8FBA-3530118F01BF}" hiddenRows="1" topLeftCell="A124">
      <selection activeCell="H47" sqref="H47"/>
      <pageMargins left="0.7" right="0.7" top="0.78740157499999996" bottom="0.78740157499999996" header="0.3" footer="0.3"/>
      <pageSetup paperSize="9" orientation="portrait" r:id="rId1"/>
    </customSheetView>
  </customSheetViews>
  <mergeCells count="41">
    <mergeCell ref="H171:H172"/>
    <mergeCell ref="P171:T171"/>
    <mergeCell ref="B267:B283"/>
    <mergeCell ref="B331:C347"/>
    <mergeCell ref="AC206:AG206"/>
    <mergeCell ref="J299:L309"/>
    <mergeCell ref="J224:L234"/>
    <mergeCell ref="J235:L245"/>
    <mergeCell ref="B256:B266"/>
    <mergeCell ref="J288:L298"/>
    <mergeCell ref="B320:C330"/>
    <mergeCell ref="J246:L249"/>
    <mergeCell ref="J310:L313"/>
    <mergeCell ref="P3:T3"/>
    <mergeCell ref="L37:L38"/>
    <mergeCell ref="P37:T37"/>
    <mergeCell ref="V42:Z42"/>
    <mergeCell ref="P121:T121"/>
    <mergeCell ref="A186:A188"/>
    <mergeCell ref="B188:C188"/>
    <mergeCell ref="D188:E188"/>
    <mergeCell ref="W197:AA197"/>
    <mergeCell ref="W206:AA206"/>
    <mergeCell ref="K350:O350"/>
    <mergeCell ref="Q350:U350"/>
    <mergeCell ref="K383:N383"/>
    <mergeCell ref="S383:V383"/>
    <mergeCell ref="V350:W350"/>
    <mergeCell ref="G450:G451"/>
    <mergeCell ref="K384:N384"/>
    <mergeCell ref="S384:V384"/>
    <mergeCell ref="K385:N385"/>
    <mergeCell ref="P385:Q385"/>
    <mergeCell ref="S385:V385"/>
    <mergeCell ref="K402:N402"/>
    <mergeCell ref="S402:V402"/>
    <mergeCell ref="K403:N403"/>
    <mergeCell ref="S403:V403"/>
    <mergeCell ref="K404:N404"/>
    <mergeCell ref="P404:Q404"/>
    <mergeCell ref="S404:V404"/>
  </mergeCells>
  <dataValidations count="1">
    <dataValidation type="list" allowBlank="1" showInputMessage="1" showErrorMessage="1" sqref="B34 B446 B214 B206 B44 B158" xr:uid="{00000000-0002-0000-0200-000000000000}">
      <formula1>$V$5:$V$10</formula1>
    </dataValidation>
  </dataValidations>
  <pageMargins left="0.7" right="0.7" top="0.78740157499999996" bottom="0.78740157499999996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Equation.3" shapeId="4097" r:id="rId5">
          <objectPr defaultSize="0" autoPict="0" r:id="rId6">
            <anchor moveWithCells="1">
              <from>
                <xdr:col>7</xdr:col>
                <xdr:colOff>685800</xdr:colOff>
                <xdr:row>33</xdr:row>
                <xdr:rowOff>161925</xdr:rowOff>
              </from>
              <to>
                <xdr:col>11</xdr:col>
                <xdr:colOff>571500</xdr:colOff>
                <xdr:row>36</xdr:row>
                <xdr:rowOff>0</xdr:rowOff>
              </to>
            </anchor>
          </objectPr>
        </oleObject>
      </mc:Choice>
      <mc:Fallback>
        <oleObject progId="Equation.3" shapeId="4097" r:id="rId5"/>
      </mc:Fallback>
    </mc:AlternateContent>
    <mc:AlternateContent xmlns:mc="http://schemas.openxmlformats.org/markup-compatibility/2006">
      <mc:Choice Requires="x14">
        <oleObject progId="Equation.3" shapeId="4098" r:id="rId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098" r:id="rId7"/>
      </mc:Fallback>
    </mc:AlternateContent>
    <mc:AlternateContent xmlns:mc="http://schemas.openxmlformats.org/markup-compatibility/2006">
      <mc:Choice Requires="x14">
        <oleObject progId="Equation.3" shapeId="4099" r:id="rId9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099" r:id="rId9"/>
      </mc:Fallback>
    </mc:AlternateContent>
    <mc:AlternateContent xmlns:mc="http://schemas.openxmlformats.org/markup-compatibility/2006">
      <mc:Choice Requires="x14">
        <oleObject progId="Equation.3" shapeId="4100" r:id="rId11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0" r:id="rId11"/>
      </mc:Fallback>
    </mc:AlternateContent>
    <mc:AlternateContent xmlns:mc="http://schemas.openxmlformats.org/markup-compatibility/2006">
      <mc:Choice Requires="x14">
        <oleObject progId="Equation.3" shapeId="4101" r:id="rId13">
          <objectPr defaultSize="0" autoPict="0" r:id="rId14">
            <anchor moveWithCells="1">
              <from>
                <xdr:col>7</xdr:col>
                <xdr:colOff>352425</xdr:colOff>
                <xdr:row>120</xdr:row>
                <xdr:rowOff>9525</xdr:rowOff>
              </from>
              <to>
                <xdr:col>12</xdr:col>
                <xdr:colOff>9525</xdr:colOff>
                <xdr:row>124</xdr:row>
                <xdr:rowOff>123825</xdr:rowOff>
              </to>
            </anchor>
          </objectPr>
        </oleObject>
      </mc:Choice>
      <mc:Fallback>
        <oleObject progId="Equation.3" shapeId="4101" r:id="rId13"/>
      </mc:Fallback>
    </mc:AlternateContent>
    <mc:AlternateContent xmlns:mc="http://schemas.openxmlformats.org/markup-compatibility/2006">
      <mc:Choice Requires="x14">
        <oleObject progId="Equation.3" shapeId="4102" r:id="rId15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2" r:id="rId15"/>
      </mc:Fallback>
    </mc:AlternateContent>
    <mc:AlternateContent xmlns:mc="http://schemas.openxmlformats.org/markup-compatibility/2006">
      <mc:Choice Requires="x14">
        <oleObject progId="Equation.3" shapeId="4103" r:id="rId16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3" r:id="rId16"/>
      </mc:Fallback>
    </mc:AlternateContent>
    <mc:AlternateContent xmlns:mc="http://schemas.openxmlformats.org/markup-compatibility/2006">
      <mc:Choice Requires="x14">
        <oleObject progId="Equation.3" shapeId="4104" r:id="rId17">
          <objectPr defaultSize="0" autoPict="0" r:id="rId8">
            <anchor moveWithCells="1">
              <from>
                <xdr:col>4</xdr:col>
                <xdr:colOff>676275</xdr:colOff>
                <xdr:row>43</xdr:row>
                <xdr:rowOff>142875</xdr:rowOff>
              </from>
              <to>
                <xdr:col>9</xdr:col>
                <xdr:colOff>361950</xdr:colOff>
                <xdr:row>45</xdr:row>
                <xdr:rowOff>0</xdr:rowOff>
              </to>
            </anchor>
          </objectPr>
        </oleObject>
      </mc:Choice>
      <mc:Fallback>
        <oleObject progId="Equation.3" shapeId="4104" r:id="rId17"/>
      </mc:Fallback>
    </mc:AlternateContent>
    <mc:AlternateContent xmlns:mc="http://schemas.openxmlformats.org/markup-compatibility/2006">
      <mc:Choice Requires="x14">
        <oleObject progId="Equation.3" shapeId="4105" r:id="rId18">
          <objectPr defaultSize="0" autoPict="0" r:id="rId10">
            <anchor moveWithCells="1">
              <from>
                <xdr:col>4</xdr:col>
                <xdr:colOff>542925</xdr:colOff>
                <xdr:row>51</xdr:row>
                <xdr:rowOff>123825</xdr:rowOff>
              </from>
              <to>
                <xdr:col>6</xdr:col>
                <xdr:colOff>400050</xdr:colOff>
                <xdr:row>53</xdr:row>
                <xdr:rowOff>0</xdr:rowOff>
              </to>
            </anchor>
          </objectPr>
        </oleObject>
      </mc:Choice>
      <mc:Fallback>
        <oleObject progId="Equation.3" shapeId="4105" r:id="rId18"/>
      </mc:Fallback>
    </mc:AlternateContent>
    <mc:AlternateContent xmlns:mc="http://schemas.openxmlformats.org/markup-compatibility/2006">
      <mc:Choice Requires="x14">
        <oleObject progId="Equation.3" shapeId="4106" r:id="rId19">
          <objectPr defaultSize="0" autoPict="0" r:id="rId12">
            <anchor moveWithCells="1">
              <from>
                <xdr:col>4</xdr:col>
                <xdr:colOff>571500</xdr:colOff>
                <xdr:row>53</xdr:row>
                <xdr:rowOff>19050</xdr:rowOff>
              </from>
              <to>
                <xdr:col>6</xdr:col>
                <xdr:colOff>457200</xdr:colOff>
                <xdr:row>54</xdr:row>
                <xdr:rowOff>0</xdr:rowOff>
              </to>
            </anchor>
          </objectPr>
        </oleObject>
      </mc:Choice>
      <mc:Fallback>
        <oleObject progId="Equation.3" shapeId="4106" r:id="rId19"/>
      </mc:Fallback>
    </mc:AlternateContent>
    <mc:AlternateContent xmlns:mc="http://schemas.openxmlformats.org/markup-compatibility/2006">
      <mc:Choice Requires="x14">
        <oleObject progId="Equation.3" shapeId="4107" r:id="rId20">
          <objectPr defaultSize="0" autoPict="0" r:id="rId10">
            <anchor moveWithCells="1">
              <from>
                <xdr:col>4</xdr:col>
                <xdr:colOff>542925</xdr:colOff>
                <xdr:row>216</xdr:row>
                <xdr:rowOff>123825</xdr:rowOff>
              </from>
              <to>
                <xdr:col>6</xdr:col>
                <xdr:colOff>400050</xdr:colOff>
                <xdr:row>218</xdr:row>
                <xdr:rowOff>0</xdr:rowOff>
              </to>
            </anchor>
          </objectPr>
        </oleObject>
      </mc:Choice>
      <mc:Fallback>
        <oleObject progId="Equation.3" shapeId="4107" r:id="rId20"/>
      </mc:Fallback>
    </mc:AlternateContent>
    <mc:AlternateContent xmlns:mc="http://schemas.openxmlformats.org/markup-compatibility/2006">
      <mc:Choice Requires="x14">
        <oleObject progId="Equation.3" shapeId="4108" r:id="rId21">
          <objectPr defaultSize="0" autoPict="0" r:id="rId12">
            <anchor moveWithCells="1">
              <from>
                <xdr:col>4</xdr:col>
                <xdr:colOff>571500</xdr:colOff>
                <xdr:row>218</xdr:row>
                <xdr:rowOff>19050</xdr:rowOff>
              </from>
              <to>
                <xdr:col>6</xdr:col>
                <xdr:colOff>457200</xdr:colOff>
                <xdr:row>219</xdr:row>
                <xdr:rowOff>0</xdr:rowOff>
              </to>
            </anchor>
          </objectPr>
        </oleObject>
      </mc:Choice>
      <mc:Fallback>
        <oleObject progId="Equation.3" shapeId="4108" r:id="rId2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27"/>
  <sheetViews>
    <sheetView topLeftCell="K31" workbookViewId="0">
      <selection activeCell="O42" sqref="O42"/>
    </sheetView>
  </sheetViews>
  <sheetFormatPr baseColWidth="10" defaultRowHeight="15"/>
  <cols>
    <col min="1" max="1" width="27.42578125" hidden="1" customWidth="1"/>
    <col min="2" max="2" width="0" hidden="1" customWidth="1"/>
    <col min="3" max="3" width="13.7109375" hidden="1" customWidth="1"/>
    <col min="4" max="10" width="0" hidden="1" customWidth="1"/>
    <col min="11" max="11" width="27.42578125" customWidth="1"/>
    <col min="12" max="12" width="24.85546875" customWidth="1"/>
    <col min="14" max="14" width="13.7109375" customWidth="1"/>
  </cols>
  <sheetData>
    <row r="1" spans="1:19" ht="21" customHeight="1">
      <c r="A1" s="804" t="s">
        <v>423</v>
      </c>
      <c r="B1" s="804"/>
      <c r="C1" s="804"/>
      <c r="D1" s="804"/>
      <c r="E1" s="804"/>
      <c r="F1" s="804"/>
      <c r="G1" s="804"/>
      <c r="H1" s="804"/>
      <c r="K1" s="804" t="s">
        <v>444</v>
      </c>
      <c r="L1" s="804"/>
      <c r="M1" s="804"/>
      <c r="N1" s="804"/>
      <c r="O1" s="804"/>
      <c r="P1" s="804"/>
      <c r="Q1" s="804"/>
      <c r="R1" s="804"/>
      <c r="S1" s="804"/>
    </row>
    <row r="2" spans="1:19" ht="21.6" customHeight="1">
      <c r="A2" s="804"/>
      <c r="B2" s="804"/>
      <c r="C2" s="804"/>
      <c r="D2" s="804"/>
      <c r="E2" s="804"/>
      <c r="F2" s="804"/>
      <c r="G2" s="804"/>
      <c r="H2" s="804"/>
      <c r="K2" s="804"/>
      <c r="L2" s="804"/>
      <c r="M2" s="804"/>
      <c r="N2" s="804"/>
      <c r="O2" s="804"/>
      <c r="P2" s="804"/>
      <c r="Q2" s="804"/>
      <c r="R2" s="804"/>
      <c r="S2" s="804"/>
    </row>
    <row r="3" spans="1:19" ht="21.6" customHeight="1">
      <c r="A3" s="527"/>
      <c r="B3" s="527"/>
      <c r="C3" s="527"/>
      <c r="D3" s="527"/>
      <c r="E3" s="527"/>
      <c r="F3" s="527"/>
      <c r="G3" s="527"/>
      <c r="H3" s="527"/>
      <c r="K3" s="527"/>
      <c r="L3" s="527"/>
      <c r="M3" s="527"/>
      <c r="N3" s="527"/>
      <c r="O3" s="527"/>
      <c r="P3" s="527"/>
      <c r="Q3" s="527"/>
      <c r="R3" s="527"/>
      <c r="S3" s="527"/>
    </row>
    <row r="4" spans="1:19" ht="18.75">
      <c r="A4" s="802" t="s">
        <v>472</v>
      </c>
      <c r="B4" s="802"/>
      <c r="C4" s="802"/>
      <c r="D4" s="802"/>
      <c r="E4" s="802"/>
      <c r="F4" s="802"/>
      <c r="G4" s="802"/>
      <c r="H4" s="802"/>
      <c r="K4" s="541" t="s">
        <v>473</v>
      </c>
      <c r="L4" s="541"/>
      <c r="M4" s="541"/>
      <c r="N4" s="541"/>
      <c r="O4" s="541"/>
      <c r="P4" s="541"/>
      <c r="Q4" s="541"/>
      <c r="R4" s="541"/>
      <c r="S4" s="541"/>
    </row>
    <row r="5" spans="1:19" ht="18.75">
      <c r="A5" s="509" t="s">
        <v>507</v>
      </c>
      <c r="K5" s="509" t="s">
        <v>445</v>
      </c>
      <c r="L5" s="509"/>
    </row>
    <row r="8" spans="1:19" ht="21.6" customHeight="1">
      <c r="A8" s="517"/>
      <c r="B8" s="517"/>
      <c r="C8" s="517"/>
      <c r="D8" s="517"/>
      <c r="E8" s="517"/>
      <c r="F8" s="517"/>
      <c r="G8" s="517"/>
      <c r="H8" s="517"/>
      <c r="K8" s="517"/>
      <c r="L8" s="527"/>
      <c r="M8" s="517"/>
      <c r="N8" s="517"/>
      <c r="O8" s="517"/>
      <c r="P8" s="517"/>
      <c r="Q8" s="517"/>
      <c r="R8" s="517"/>
      <c r="S8" s="517"/>
    </row>
    <row r="9" spans="1:19" ht="21.6" customHeight="1">
      <c r="A9" s="517"/>
      <c r="B9" s="517"/>
      <c r="C9" s="517"/>
      <c r="D9" s="517"/>
      <c r="E9" s="517"/>
      <c r="F9" s="517"/>
      <c r="G9" s="517"/>
      <c r="H9" s="517"/>
      <c r="K9" s="517"/>
      <c r="L9" s="527"/>
      <c r="M9" s="517"/>
      <c r="N9" s="517"/>
      <c r="O9" s="517"/>
      <c r="P9" s="517"/>
      <c r="Q9" s="517"/>
      <c r="R9" s="517"/>
      <c r="S9" s="517"/>
    </row>
    <row r="10" spans="1:19" ht="21.6" customHeight="1">
      <c r="A10" s="517"/>
      <c r="B10" s="517"/>
      <c r="C10" s="517"/>
      <c r="D10" s="517"/>
      <c r="E10" s="517"/>
      <c r="F10" s="517"/>
      <c r="G10" s="517"/>
      <c r="H10" s="517"/>
      <c r="K10" s="517"/>
      <c r="L10" s="527"/>
      <c r="M10" s="517"/>
      <c r="N10" s="517"/>
      <c r="O10" s="517"/>
      <c r="P10" s="517"/>
      <c r="Q10" s="517"/>
      <c r="R10" s="517"/>
      <c r="S10" s="517"/>
    </row>
    <row r="11" spans="1:19" ht="21.6" customHeight="1">
      <c r="A11" s="517"/>
      <c r="B11" s="517"/>
      <c r="C11" s="517"/>
      <c r="D11" s="517"/>
      <c r="E11" s="517"/>
      <c r="F11" s="517"/>
      <c r="G11" s="517"/>
      <c r="H11" s="517"/>
      <c r="K11" s="517"/>
      <c r="L11" s="527"/>
      <c r="M11" s="517"/>
      <c r="N11" s="517"/>
      <c r="O11" s="517"/>
      <c r="P11" s="517"/>
      <c r="Q11" s="517"/>
      <c r="R11" s="517"/>
      <c r="S11" s="517"/>
    </row>
    <row r="12" spans="1:19" ht="21.6" customHeight="1">
      <c r="A12" s="517"/>
      <c r="B12" s="517"/>
      <c r="C12" s="517"/>
      <c r="D12" s="517"/>
      <c r="E12" s="517"/>
      <c r="F12" s="517"/>
      <c r="G12" s="517"/>
      <c r="H12" s="517"/>
      <c r="K12" s="517"/>
      <c r="L12" s="527"/>
      <c r="M12" s="517"/>
      <c r="N12" s="517"/>
      <c r="O12" s="517"/>
      <c r="P12" s="517"/>
      <c r="Q12" s="517"/>
      <c r="R12" s="517"/>
      <c r="S12" s="517"/>
    </row>
    <row r="13" spans="1:19" ht="21.6" customHeight="1">
      <c r="A13" s="517"/>
      <c r="B13" s="517"/>
      <c r="C13" s="517"/>
      <c r="D13" s="517"/>
      <c r="E13" s="517"/>
      <c r="F13" s="517"/>
      <c r="G13" s="517"/>
      <c r="H13" s="517"/>
      <c r="K13" s="517"/>
      <c r="L13" s="527"/>
      <c r="M13" s="517"/>
      <c r="N13" s="517"/>
      <c r="O13" s="517"/>
      <c r="P13" s="517"/>
      <c r="Q13" s="517"/>
      <c r="R13" s="517"/>
      <c r="S13" s="517"/>
    </row>
    <row r="14" spans="1:19" ht="18.75">
      <c r="A14" s="509"/>
      <c r="K14" s="509"/>
      <c r="L14" s="509"/>
    </row>
    <row r="15" spans="1:19" ht="21">
      <c r="A15" s="506" t="s">
        <v>410</v>
      </c>
      <c r="K15" s="506" t="s">
        <v>478</v>
      </c>
      <c r="L15" s="506"/>
    </row>
    <row r="16" spans="1:19" ht="15" customHeight="1">
      <c r="A16" s="4" t="s">
        <v>413</v>
      </c>
      <c r="B16" s="710" t="s">
        <v>414</v>
      </c>
      <c r="C16" s="712"/>
      <c r="D16" s="710" t="s">
        <v>421</v>
      </c>
      <c r="E16" s="711"/>
      <c r="F16" s="711"/>
      <c r="G16" s="711"/>
      <c r="H16" s="712"/>
      <c r="K16" s="4" t="s">
        <v>446</v>
      </c>
      <c r="L16" s="533" t="s">
        <v>613</v>
      </c>
      <c r="M16" s="803" t="s">
        <v>450</v>
      </c>
      <c r="N16" s="803"/>
      <c r="O16" s="710" t="s">
        <v>448</v>
      </c>
      <c r="P16" s="711"/>
      <c r="Q16" s="711"/>
      <c r="R16" s="711"/>
      <c r="S16" s="712"/>
    </row>
    <row r="17" spans="1:19" ht="15" customHeight="1">
      <c r="A17" s="8" t="s">
        <v>418</v>
      </c>
      <c r="B17" s="44" t="s">
        <v>411</v>
      </c>
      <c r="C17" s="44" t="s">
        <v>412</v>
      </c>
      <c r="D17" s="95">
        <v>0.6</v>
      </c>
      <c r="E17" s="95">
        <v>0.7</v>
      </c>
      <c r="F17" s="95">
        <v>0.8</v>
      </c>
      <c r="G17" s="95">
        <v>0.9</v>
      </c>
      <c r="H17" s="95">
        <v>1</v>
      </c>
      <c r="K17" s="8" t="s">
        <v>447</v>
      </c>
      <c r="L17" s="532" t="s">
        <v>612</v>
      </c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396" t="s">
        <v>508</v>
      </c>
      <c r="B18" s="498">
        <f>'RICON_RICON-S-EK_GIGANT_WALCO '!C165</f>
        <v>6</v>
      </c>
      <c r="C18" s="498">
        <f>'RICON_RICON-S-EK_GIGANT_WALCO '!F165</f>
        <v>5.0131385975895597</v>
      </c>
      <c r="D18" s="498">
        <f t="shared" ref="D18:H30" si="0">MIN($B18/1,$C18*D$17/1.3)</f>
        <v>2.3137562758105656</v>
      </c>
      <c r="E18" s="498">
        <f t="shared" si="0"/>
        <v>2.6993823217789936</v>
      </c>
      <c r="F18" s="498">
        <f t="shared" si="0"/>
        <v>3.0850083677474216</v>
      </c>
      <c r="G18" s="498">
        <f t="shared" si="0"/>
        <v>3.4706344137158487</v>
      </c>
      <c r="H18" s="498">
        <f t="shared" si="0"/>
        <v>3.8562604596842767</v>
      </c>
      <c r="K18" s="396" t="s">
        <v>509</v>
      </c>
      <c r="L18" s="523" t="s">
        <v>491</v>
      </c>
      <c r="M18" s="498">
        <f>'RICON_RICON-S-EK_GIGANT_WALCO '!C165</f>
        <v>6</v>
      </c>
      <c r="N18" s="498">
        <f>'RICON_RICON-S-EK_GIGANT_WALCO '!F165</f>
        <v>5.0131385975895597</v>
      </c>
      <c r="O18" s="498">
        <f t="shared" ref="O18:S30" si="1">MIN($B18/1,$C18*O$17/1.3)</f>
        <v>2.3137562758105656</v>
      </c>
      <c r="P18" s="498">
        <f t="shared" si="1"/>
        <v>2.6993823217789936</v>
      </c>
      <c r="Q18" s="498">
        <f t="shared" si="1"/>
        <v>3.0850083677474216</v>
      </c>
      <c r="R18" s="498">
        <f t="shared" si="1"/>
        <v>3.4706344137158487</v>
      </c>
      <c r="S18" s="498">
        <f t="shared" si="1"/>
        <v>3.8562604596842767</v>
      </c>
    </row>
    <row r="19" spans="1:19" ht="45">
      <c r="A19" s="396" t="s">
        <v>510</v>
      </c>
      <c r="B19" s="498">
        <f>'RICON_RICON-S-EK_GIGANT_WALCO '!C166</f>
        <v>11</v>
      </c>
      <c r="C19" s="498">
        <f>'RICON_RICON-S-EK_GIGANT_WALCO '!F166</f>
        <v>7.2988007866232749</v>
      </c>
      <c r="D19" s="498">
        <f t="shared" si="0"/>
        <v>3.3686772861338188</v>
      </c>
      <c r="E19" s="498">
        <f t="shared" si="0"/>
        <v>3.9301235004894552</v>
      </c>
      <c r="F19" s="498">
        <f t="shared" si="0"/>
        <v>4.4915697148450926</v>
      </c>
      <c r="G19" s="498">
        <f t="shared" si="0"/>
        <v>5.0530159292007291</v>
      </c>
      <c r="H19" s="498">
        <f t="shared" si="0"/>
        <v>5.6144621435563655</v>
      </c>
      <c r="K19" s="396" t="s">
        <v>511</v>
      </c>
      <c r="L19" s="523" t="s">
        <v>648</v>
      </c>
      <c r="M19" s="498">
        <f>'RICON_RICON-S-EK_GIGANT_WALCO '!C166</f>
        <v>11</v>
      </c>
      <c r="N19" s="498">
        <f>'RICON_RICON-S-EK_GIGANT_WALCO '!F166</f>
        <v>7.2988007866232749</v>
      </c>
      <c r="O19" s="498">
        <f t="shared" si="1"/>
        <v>3.3686772861338188</v>
      </c>
      <c r="P19" s="498">
        <f t="shared" si="1"/>
        <v>3.9301235004894552</v>
      </c>
      <c r="Q19" s="498">
        <f t="shared" si="1"/>
        <v>4.4915697148450926</v>
      </c>
      <c r="R19" s="498">
        <f t="shared" si="1"/>
        <v>5.0530159292007291</v>
      </c>
      <c r="S19" s="498">
        <f t="shared" si="1"/>
        <v>5.6144621435563655</v>
      </c>
    </row>
    <row r="20" spans="1:19" ht="45">
      <c r="A20" s="396" t="s">
        <v>512</v>
      </c>
      <c r="B20" s="498">
        <f>'RICON_RICON-S-EK_GIGANT_WALCO '!C167</f>
        <v>14</v>
      </c>
      <c r="C20" s="498">
        <f>'RICON_RICON-S-EK_GIGANT_WALCO '!F167</f>
        <v>10.026277195179119</v>
      </c>
      <c r="D20" s="498">
        <f t="shared" si="0"/>
        <v>4.6275125516211313</v>
      </c>
      <c r="E20" s="498">
        <f t="shared" si="0"/>
        <v>5.3987646435579872</v>
      </c>
      <c r="F20" s="498">
        <f t="shared" si="0"/>
        <v>6.1700167354948432</v>
      </c>
      <c r="G20" s="498">
        <f t="shared" si="0"/>
        <v>6.9412688274316974</v>
      </c>
      <c r="H20" s="498">
        <f t="shared" si="0"/>
        <v>7.7125209193685533</v>
      </c>
      <c r="K20" s="396" t="s">
        <v>513</v>
      </c>
      <c r="L20" s="523" t="s">
        <v>495</v>
      </c>
      <c r="M20" s="498">
        <f>'RICON_RICON-S-EK_GIGANT_WALCO '!C167</f>
        <v>14</v>
      </c>
      <c r="N20" s="498">
        <f>'RICON_RICON-S-EK_GIGANT_WALCO '!F167</f>
        <v>10.026277195179119</v>
      </c>
      <c r="O20" s="498">
        <f t="shared" si="1"/>
        <v>4.6275125516211313</v>
      </c>
      <c r="P20" s="498">
        <f t="shared" si="1"/>
        <v>5.3987646435579872</v>
      </c>
      <c r="Q20" s="498">
        <f t="shared" si="1"/>
        <v>6.1700167354948432</v>
      </c>
      <c r="R20" s="498">
        <f t="shared" si="1"/>
        <v>6.9412688274316974</v>
      </c>
      <c r="S20" s="498">
        <f t="shared" si="1"/>
        <v>7.7125209193685533</v>
      </c>
    </row>
    <row r="21" spans="1:19" ht="45">
      <c r="A21" s="396" t="s">
        <v>514</v>
      </c>
      <c r="B21" s="498">
        <f>'RICON_RICON-S-EK_GIGANT_WALCO '!C168</f>
        <v>18</v>
      </c>
      <c r="C21" s="498">
        <f>'RICON_RICON-S-EK_GIGANT_WALCO '!F168</f>
        <v>12.753753603734964</v>
      </c>
      <c r="D21" s="498">
        <f t="shared" si="0"/>
        <v>5.8863478171084447</v>
      </c>
      <c r="E21" s="498">
        <f t="shared" si="0"/>
        <v>6.8674057866265183</v>
      </c>
      <c r="F21" s="498">
        <f t="shared" si="0"/>
        <v>7.8484637561445938</v>
      </c>
      <c r="G21" s="498">
        <f t="shared" si="0"/>
        <v>8.8295217256626675</v>
      </c>
      <c r="H21" s="498">
        <f t="shared" si="0"/>
        <v>9.810579695180742</v>
      </c>
      <c r="K21" s="396" t="s">
        <v>515</v>
      </c>
      <c r="L21" s="523" t="s">
        <v>496</v>
      </c>
      <c r="M21" s="498">
        <f>'RICON_RICON-S-EK_GIGANT_WALCO '!C168</f>
        <v>18</v>
      </c>
      <c r="N21" s="498">
        <f>'RICON_RICON-S-EK_GIGANT_WALCO '!F168</f>
        <v>12.753753603734964</v>
      </c>
      <c r="O21" s="498">
        <f t="shared" si="1"/>
        <v>5.8863478171084447</v>
      </c>
      <c r="P21" s="498">
        <f t="shared" si="1"/>
        <v>6.8674057866265183</v>
      </c>
      <c r="Q21" s="498">
        <f t="shared" si="1"/>
        <v>7.8484637561445938</v>
      </c>
      <c r="R21" s="498">
        <f t="shared" si="1"/>
        <v>8.8295217256626675</v>
      </c>
      <c r="S21" s="498">
        <f t="shared" si="1"/>
        <v>9.810579695180742</v>
      </c>
    </row>
    <row r="22" spans="1:19" ht="45">
      <c r="A22" s="396" t="s">
        <v>516</v>
      </c>
      <c r="B22" s="498">
        <f>'RICON_RICON-S-EK_GIGANT_WALCO '!C169</f>
        <v>18</v>
      </c>
      <c r="C22" s="498">
        <f>'RICON_RICON-S-EK_GIGANT_WALCO '!F169</f>
        <v>15.481230012290808</v>
      </c>
      <c r="D22" s="498">
        <f t="shared" si="0"/>
        <v>7.1451830825957581</v>
      </c>
      <c r="E22" s="498">
        <f t="shared" si="0"/>
        <v>8.3360469296950495</v>
      </c>
      <c r="F22" s="498">
        <f t="shared" si="0"/>
        <v>9.5269107767943435</v>
      </c>
      <c r="G22" s="498">
        <f t="shared" si="0"/>
        <v>10.717774623893636</v>
      </c>
      <c r="H22" s="498">
        <f t="shared" si="0"/>
        <v>11.90863847099293</v>
      </c>
      <c r="K22" s="396" t="s">
        <v>517</v>
      </c>
      <c r="L22" s="523" t="s">
        <v>497</v>
      </c>
      <c r="M22" s="498">
        <f>'RICON_RICON-S-EK_GIGANT_WALCO '!C169</f>
        <v>18</v>
      </c>
      <c r="N22" s="498">
        <f>'RICON_RICON-S-EK_GIGANT_WALCO '!F169</f>
        <v>15.481230012290808</v>
      </c>
      <c r="O22" s="498">
        <f t="shared" si="1"/>
        <v>7.1451830825957581</v>
      </c>
      <c r="P22" s="498">
        <f t="shared" si="1"/>
        <v>8.3360469296950495</v>
      </c>
      <c r="Q22" s="498">
        <f t="shared" si="1"/>
        <v>9.5269107767943435</v>
      </c>
      <c r="R22" s="498">
        <f t="shared" si="1"/>
        <v>10.717774623893636</v>
      </c>
      <c r="S22" s="498">
        <f t="shared" si="1"/>
        <v>11.90863847099293</v>
      </c>
    </row>
    <row r="23" spans="1:19" ht="45">
      <c r="A23" s="396" t="s">
        <v>518</v>
      </c>
      <c r="B23" s="498">
        <f>'RICON_RICON-S-EK_GIGANT_WALCO '!C170</f>
        <v>18</v>
      </c>
      <c r="C23" s="498">
        <f>'RICON_RICON-S-EK_GIGANT_WALCO '!F170</f>
        <v>18.208706420846653</v>
      </c>
      <c r="D23" s="498">
        <f t="shared" si="0"/>
        <v>8.4040183480830706</v>
      </c>
      <c r="E23" s="498">
        <f t="shared" si="0"/>
        <v>9.8046880727635806</v>
      </c>
      <c r="F23" s="498">
        <f t="shared" si="0"/>
        <v>11.205357797444094</v>
      </c>
      <c r="G23" s="498">
        <f t="shared" si="0"/>
        <v>12.606027522124606</v>
      </c>
      <c r="H23" s="498">
        <f t="shared" si="0"/>
        <v>14.006697246805118</v>
      </c>
      <c r="K23" s="396" t="s">
        <v>519</v>
      </c>
      <c r="L23" s="523" t="s">
        <v>482</v>
      </c>
      <c r="M23" s="498">
        <f>'RICON_RICON-S-EK_GIGANT_WALCO '!C170</f>
        <v>18</v>
      </c>
      <c r="N23" s="498">
        <f>'RICON_RICON-S-EK_GIGANT_WALCO '!F170</f>
        <v>18.208706420846653</v>
      </c>
      <c r="O23" s="498">
        <f t="shared" si="1"/>
        <v>8.4040183480830706</v>
      </c>
      <c r="P23" s="498">
        <f t="shared" si="1"/>
        <v>9.8046880727635806</v>
      </c>
      <c r="Q23" s="498">
        <f t="shared" si="1"/>
        <v>11.205357797444094</v>
      </c>
      <c r="R23" s="498">
        <f t="shared" si="1"/>
        <v>12.606027522124606</v>
      </c>
      <c r="S23" s="498">
        <f t="shared" si="1"/>
        <v>14.006697246805118</v>
      </c>
    </row>
    <row r="24" spans="1:19" ht="45">
      <c r="A24" s="408" t="s">
        <v>520</v>
      </c>
      <c r="B24" s="498">
        <f>'RICON_RICON-S-EK_GIGANT_WALCO '!C173</f>
        <v>18</v>
      </c>
      <c r="C24" s="498">
        <f>'RICON_RICON-S-EK_GIGANT_WALCO '!F173</f>
        <v>19.321640441339383</v>
      </c>
      <c r="D24" s="498">
        <f t="shared" si="0"/>
        <v>8.9176802036950988</v>
      </c>
      <c r="E24" s="498">
        <f t="shared" si="0"/>
        <v>10.403960237644283</v>
      </c>
      <c r="F24" s="498">
        <f t="shared" si="0"/>
        <v>11.890240271593468</v>
      </c>
      <c r="G24" s="498">
        <f t="shared" si="0"/>
        <v>13.37652030554265</v>
      </c>
      <c r="H24" s="498">
        <f t="shared" si="0"/>
        <v>14.862800339491832</v>
      </c>
      <c r="K24" s="408" t="s">
        <v>521</v>
      </c>
      <c r="L24" s="523" t="s">
        <v>497</v>
      </c>
      <c r="M24" s="498">
        <f>'RICON_RICON-S-EK_GIGANT_WALCO '!C173</f>
        <v>18</v>
      </c>
      <c r="N24" s="498">
        <f>'RICON_RICON-S-EK_GIGANT_WALCO '!F173</f>
        <v>19.321640441339383</v>
      </c>
      <c r="O24" s="498">
        <f t="shared" si="1"/>
        <v>8.9176802036950988</v>
      </c>
      <c r="P24" s="498">
        <f t="shared" si="1"/>
        <v>10.403960237644283</v>
      </c>
      <c r="Q24" s="498">
        <f t="shared" si="1"/>
        <v>11.890240271593468</v>
      </c>
      <c r="R24" s="498">
        <f t="shared" si="1"/>
        <v>13.37652030554265</v>
      </c>
      <c r="S24" s="498">
        <f t="shared" si="1"/>
        <v>14.862800339491832</v>
      </c>
    </row>
    <row r="25" spans="1:19" ht="45">
      <c r="A25" s="408" t="s">
        <v>522</v>
      </c>
      <c r="B25" s="498">
        <f>'RICON_RICON-S-EK_GIGANT_WALCO '!C174</f>
        <v>18</v>
      </c>
      <c r="C25" s="498">
        <f>'RICON_RICON-S-EK_GIGANT_WALCO '!F174</f>
        <v>22.049116849895228</v>
      </c>
      <c r="D25" s="498">
        <f t="shared" si="0"/>
        <v>10.176515469182412</v>
      </c>
      <c r="E25" s="498">
        <f t="shared" si="0"/>
        <v>11.872601380712814</v>
      </c>
      <c r="F25" s="498">
        <f t="shared" si="0"/>
        <v>13.568687292243217</v>
      </c>
      <c r="G25" s="498">
        <f t="shared" si="0"/>
        <v>15.264773203773618</v>
      </c>
      <c r="H25" s="498">
        <f t="shared" si="0"/>
        <v>16.960859115304022</v>
      </c>
      <c r="K25" s="408" t="s">
        <v>523</v>
      </c>
      <c r="L25" s="523" t="s">
        <v>482</v>
      </c>
      <c r="M25" s="498">
        <f>'RICON_RICON-S-EK_GIGANT_WALCO '!C174</f>
        <v>18</v>
      </c>
      <c r="N25" s="498">
        <f>'RICON_RICON-S-EK_GIGANT_WALCO '!F174</f>
        <v>22.049116849895228</v>
      </c>
      <c r="O25" s="498">
        <f t="shared" si="1"/>
        <v>10.176515469182412</v>
      </c>
      <c r="P25" s="498">
        <f t="shared" si="1"/>
        <v>11.872601380712814</v>
      </c>
      <c r="Q25" s="498">
        <f t="shared" si="1"/>
        <v>13.568687292243217</v>
      </c>
      <c r="R25" s="498">
        <f t="shared" si="1"/>
        <v>15.264773203773618</v>
      </c>
      <c r="S25" s="498">
        <f t="shared" si="1"/>
        <v>16.960859115304022</v>
      </c>
    </row>
    <row r="26" spans="1:19" ht="45">
      <c r="A26" s="396" t="s">
        <v>524</v>
      </c>
      <c r="B26" s="498">
        <f>'RICON_RICON-S-EK_GIGANT_WALCO '!C175</f>
        <v>11</v>
      </c>
      <c r="C26" s="498">
        <f>'RICON_RICON-S-EK_GIGANT_WALCO '!F175</f>
        <v>12.311939384212835</v>
      </c>
      <c r="D26" s="498">
        <f t="shared" si="0"/>
        <v>5.6824335619443849</v>
      </c>
      <c r="E26" s="498">
        <f t="shared" si="0"/>
        <v>6.6295058222684489</v>
      </c>
      <c r="F26" s="498">
        <f t="shared" si="0"/>
        <v>7.5765780825925138</v>
      </c>
      <c r="G26" s="498">
        <f t="shared" si="0"/>
        <v>8.5236503429165786</v>
      </c>
      <c r="H26" s="498">
        <f t="shared" si="0"/>
        <v>9.4707226032406417</v>
      </c>
      <c r="K26" s="396" t="s">
        <v>525</v>
      </c>
      <c r="L26" s="523" t="s">
        <v>482</v>
      </c>
      <c r="M26" s="498">
        <f>'RICON_RICON-S-EK_GIGANT_WALCO '!C175</f>
        <v>11</v>
      </c>
      <c r="N26" s="498">
        <f>'RICON_RICON-S-EK_GIGANT_WALCO '!F175</f>
        <v>12.311939384212835</v>
      </c>
      <c r="O26" s="498">
        <f t="shared" si="1"/>
        <v>5.6824335619443849</v>
      </c>
      <c r="P26" s="498">
        <f t="shared" si="1"/>
        <v>6.6295058222684489</v>
      </c>
      <c r="Q26" s="498">
        <f t="shared" si="1"/>
        <v>7.5765780825925138</v>
      </c>
      <c r="R26" s="498">
        <f t="shared" si="1"/>
        <v>8.5236503429165786</v>
      </c>
      <c r="S26" s="498">
        <f t="shared" si="1"/>
        <v>9.4707226032406417</v>
      </c>
    </row>
    <row r="27" spans="1:19" ht="45">
      <c r="A27" s="396" t="s">
        <v>526</v>
      </c>
      <c r="B27" s="498">
        <f>'RICON_RICON-S-EK_GIGANT_WALCO '!C176</f>
        <v>14</v>
      </c>
      <c r="C27" s="498">
        <f>'RICON_RICON-S-EK_GIGANT_WALCO '!F176</f>
        <v>17.766892201324524</v>
      </c>
      <c r="D27" s="498">
        <f t="shared" si="0"/>
        <v>8.2001040929190108</v>
      </c>
      <c r="E27" s="498">
        <f t="shared" si="0"/>
        <v>9.5667881084055111</v>
      </c>
      <c r="F27" s="498">
        <f t="shared" si="0"/>
        <v>10.933472123892015</v>
      </c>
      <c r="G27" s="498">
        <f t="shared" si="0"/>
        <v>12.300156139378517</v>
      </c>
      <c r="H27" s="498">
        <f t="shared" si="0"/>
        <v>13.666840154865017</v>
      </c>
      <c r="K27" s="396" t="s">
        <v>527</v>
      </c>
      <c r="L27" s="523" t="s">
        <v>483</v>
      </c>
      <c r="M27" s="498">
        <f>'RICON_RICON-S-EK_GIGANT_WALCO '!C176</f>
        <v>14</v>
      </c>
      <c r="N27" s="498">
        <f>'RICON_RICON-S-EK_GIGANT_WALCO '!F176</f>
        <v>17.766892201324524</v>
      </c>
      <c r="O27" s="498">
        <f t="shared" si="1"/>
        <v>8.2001040929190108</v>
      </c>
      <c r="P27" s="498">
        <f t="shared" si="1"/>
        <v>9.5667881084055111</v>
      </c>
      <c r="Q27" s="498">
        <f t="shared" si="1"/>
        <v>10.933472123892015</v>
      </c>
      <c r="R27" s="498">
        <f t="shared" si="1"/>
        <v>12.300156139378517</v>
      </c>
      <c r="S27" s="498">
        <f t="shared" si="1"/>
        <v>13.666840154865017</v>
      </c>
    </row>
    <row r="28" spans="1:19" ht="45">
      <c r="A28" s="396" t="s">
        <v>528</v>
      </c>
      <c r="B28" s="498">
        <f>'RICON_RICON-S-EK_GIGANT_WALCO '!C177</f>
        <v>18</v>
      </c>
      <c r="C28" s="498">
        <f>'RICON_RICON-S-EK_GIGANT_WALCO '!F177</f>
        <v>23.221845018436213</v>
      </c>
      <c r="D28" s="498">
        <f t="shared" si="0"/>
        <v>10.717774623893636</v>
      </c>
      <c r="E28" s="498">
        <f t="shared" si="0"/>
        <v>12.504070394542575</v>
      </c>
      <c r="F28" s="498">
        <f t="shared" si="0"/>
        <v>14.290366165191516</v>
      </c>
      <c r="G28" s="498">
        <f t="shared" si="0"/>
        <v>16.076661935840455</v>
      </c>
      <c r="H28" s="498">
        <f t="shared" si="0"/>
        <v>17.862957706489393</v>
      </c>
      <c r="K28" s="396" t="s">
        <v>529</v>
      </c>
      <c r="L28" s="523" t="s">
        <v>484</v>
      </c>
      <c r="M28" s="498">
        <f>'RICON_RICON-S-EK_GIGANT_WALCO '!C177</f>
        <v>18</v>
      </c>
      <c r="N28" s="498">
        <f>'RICON_RICON-S-EK_GIGANT_WALCO '!F177</f>
        <v>23.221845018436213</v>
      </c>
      <c r="O28" s="498">
        <f t="shared" si="1"/>
        <v>10.717774623893636</v>
      </c>
      <c r="P28" s="498">
        <f t="shared" si="1"/>
        <v>12.504070394542575</v>
      </c>
      <c r="Q28" s="498">
        <f t="shared" si="1"/>
        <v>14.290366165191516</v>
      </c>
      <c r="R28" s="498">
        <f t="shared" si="1"/>
        <v>16.076661935840455</v>
      </c>
      <c r="S28" s="498">
        <f t="shared" si="1"/>
        <v>17.862957706489393</v>
      </c>
    </row>
    <row r="29" spans="1:19" ht="45">
      <c r="A29" s="396" t="s">
        <v>530</v>
      </c>
      <c r="B29" s="498">
        <f>'RICON_RICON-S-EK_GIGANT_WALCO '!C178</f>
        <v>18</v>
      </c>
      <c r="C29" s="498">
        <f>'RICON_RICON-S-EK_GIGANT_WALCO '!F178</f>
        <v>28.676797835547902</v>
      </c>
      <c r="D29" s="498">
        <f t="shared" si="0"/>
        <v>13.235445154868261</v>
      </c>
      <c r="E29" s="498">
        <f t="shared" si="0"/>
        <v>15.441352680679639</v>
      </c>
      <c r="F29" s="498">
        <f t="shared" si="0"/>
        <v>17.647260206491016</v>
      </c>
      <c r="G29" s="498">
        <f t="shared" si="0"/>
        <v>18</v>
      </c>
      <c r="H29" s="498">
        <f t="shared" si="0"/>
        <v>18</v>
      </c>
      <c r="K29" s="396" t="s">
        <v>531</v>
      </c>
      <c r="L29" s="523" t="s">
        <v>485</v>
      </c>
      <c r="M29" s="498">
        <f>'RICON_RICON-S-EK_GIGANT_WALCO '!C178</f>
        <v>18</v>
      </c>
      <c r="N29" s="498">
        <f>'RICON_RICON-S-EK_GIGANT_WALCO '!F178</f>
        <v>28.676797835547902</v>
      </c>
      <c r="O29" s="498">
        <f t="shared" si="1"/>
        <v>13.235445154868261</v>
      </c>
      <c r="P29" s="498">
        <f t="shared" si="1"/>
        <v>15.441352680679639</v>
      </c>
      <c r="Q29" s="498">
        <f t="shared" si="1"/>
        <v>17.647260206491016</v>
      </c>
      <c r="R29" s="498">
        <f t="shared" si="1"/>
        <v>18</v>
      </c>
      <c r="S29" s="498">
        <f t="shared" si="1"/>
        <v>18</v>
      </c>
    </row>
    <row r="30" spans="1:19" ht="45">
      <c r="A30" s="396" t="s">
        <v>532</v>
      </c>
      <c r="B30" s="498">
        <f>'RICON_RICON-S-EK_GIGANT_WALCO '!C179</f>
        <v>18</v>
      </c>
      <c r="C30" s="498">
        <f>'RICON_RICON-S-EK_GIGANT_WALCO '!F179</f>
        <v>34.131750652659591</v>
      </c>
      <c r="D30" s="498">
        <f t="shared" si="0"/>
        <v>15.753115685842886</v>
      </c>
      <c r="E30" s="498">
        <f t="shared" si="0"/>
        <v>18</v>
      </c>
      <c r="F30" s="498">
        <f t="shared" si="0"/>
        <v>18</v>
      </c>
      <c r="G30" s="498">
        <f t="shared" si="0"/>
        <v>18</v>
      </c>
      <c r="H30" s="498">
        <f t="shared" si="0"/>
        <v>18</v>
      </c>
      <c r="K30" s="396" t="s">
        <v>533</v>
      </c>
      <c r="L30" s="523" t="s">
        <v>486</v>
      </c>
      <c r="M30" s="498">
        <f>'RICON_RICON-S-EK_GIGANT_WALCO '!C179</f>
        <v>18</v>
      </c>
      <c r="N30" s="498">
        <f>'RICON_RICON-S-EK_GIGANT_WALCO '!F179</f>
        <v>34.131750652659591</v>
      </c>
      <c r="O30" s="498">
        <f t="shared" si="1"/>
        <v>15.753115685842886</v>
      </c>
      <c r="P30" s="498">
        <f t="shared" si="1"/>
        <v>18</v>
      </c>
      <c r="Q30" s="498">
        <f t="shared" si="1"/>
        <v>18</v>
      </c>
      <c r="R30" s="498">
        <f t="shared" si="1"/>
        <v>18</v>
      </c>
      <c r="S30" s="498">
        <f t="shared" si="1"/>
        <v>18</v>
      </c>
    </row>
    <row r="31" spans="1:19">
      <c r="A31" s="418"/>
      <c r="B31" s="508"/>
      <c r="C31" s="508"/>
      <c r="D31" s="508"/>
      <c r="E31" s="508"/>
      <c r="F31" s="508"/>
      <c r="G31" s="508"/>
      <c r="H31" s="508"/>
      <c r="K31" s="418"/>
      <c r="L31" s="418"/>
      <c r="M31" s="508"/>
      <c r="N31" s="508"/>
      <c r="O31" s="508"/>
      <c r="P31" s="508"/>
      <c r="Q31" s="508"/>
      <c r="R31" s="508"/>
      <c r="S31" s="508"/>
    </row>
    <row r="32" spans="1:19">
      <c r="A32" s="418"/>
      <c r="B32" s="508"/>
      <c r="C32" s="508"/>
      <c r="D32" s="508"/>
      <c r="E32" s="508"/>
      <c r="F32" s="508"/>
      <c r="G32" s="508"/>
      <c r="H32" s="508"/>
      <c r="K32" s="418"/>
      <c r="L32" s="418"/>
      <c r="M32" s="508"/>
      <c r="N32" s="508"/>
      <c r="O32" s="508"/>
      <c r="P32" s="508"/>
      <c r="Q32" s="508"/>
      <c r="R32" s="508"/>
      <c r="S32" s="508"/>
    </row>
    <row r="33" spans="1:19">
      <c r="A33" s="418"/>
      <c r="B33" s="508"/>
      <c r="C33" s="508"/>
      <c r="D33" s="508"/>
      <c r="E33" s="508"/>
      <c r="F33" s="508"/>
      <c r="G33" s="508"/>
      <c r="H33" s="508"/>
      <c r="K33" s="418"/>
      <c r="L33" s="418"/>
      <c r="M33" s="508"/>
      <c r="N33" s="508"/>
      <c r="O33" s="508"/>
      <c r="P33" s="508"/>
      <c r="Q33" s="508"/>
      <c r="R33" s="508"/>
      <c r="S33" s="508"/>
    </row>
    <row r="34" spans="1:19">
      <c r="A34" s="418"/>
      <c r="B34" s="508"/>
      <c r="C34" s="508"/>
      <c r="D34" s="508"/>
      <c r="E34" s="508"/>
      <c r="F34" s="508"/>
      <c r="G34" s="508"/>
      <c r="H34" s="508"/>
      <c r="K34" s="418"/>
      <c r="L34" s="418"/>
      <c r="M34" s="508"/>
      <c r="N34" s="508"/>
      <c r="O34" s="508"/>
      <c r="P34" s="508"/>
      <c r="Q34" s="508"/>
      <c r="R34" s="508"/>
      <c r="S34" s="508"/>
    </row>
    <row r="35" spans="1:19">
      <c r="A35" s="418"/>
      <c r="B35" s="508"/>
      <c r="C35" s="508"/>
      <c r="D35" s="508"/>
      <c r="E35" s="508"/>
      <c r="F35" s="508"/>
      <c r="G35" s="508"/>
      <c r="H35" s="508"/>
      <c r="K35" s="418"/>
      <c r="L35" s="418"/>
      <c r="M35" s="508"/>
      <c r="N35" s="508"/>
      <c r="O35" s="508"/>
      <c r="P35" s="508"/>
      <c r="Q35" s="508"/>
      <c r="R35" s="508"/>
      <c r="S35" s="508"/>
    </row>
    <row r="36" spans="1:19">
      <c r="A36" s="418"/>
      <c r="B36" s="508"/>
      <c r="C36" s="508"/>
      <c r="D36" s="508"/>
      <c r="E36" s="508"/>
      <c r="F36" s="508"/>
      <c r="G36" s="508"/>
      <c r="H36" s="508"/>
      <c r="K36" s="418"/>
      <c r="L36" s="418"/>
      <c r="M36" s="508"/>
      <c r="N36" s="508"/>
      <c r="O36" s="508"/>
      <c r="P36" s="508"/>
      <c r="Q36" s="508"/>
      <c r="R36" s="508"/>
      <c r="S36" s="508"/>
    </row>
    <row r="37" spans="1:19">
      <c r="A37" s="418"/>
      <c r="B37" s="508"/>
      <c r="C37" s="508"/>
      <c r="D37" s="508"/>
      <c r="E37" s="508"/>
      <c r="F37" s="508"/>
      <c r="G37" s="508"/>
      <c r="H37" s="508"/>
      <c r="K37" s="418"/>
      <c r="L37" s="418"/>
      <c r="M37" s="508"/>
      <c r="N37" s="508"/>
      <c r="O37" s="508"/>
      <c r="P37" s="508"/>
      <c r="Q37" s="508"/>
      <c r="R37" s="508"/>
      <c r="S37" s="508"/>
    </row>
    <row r="38" spans="1:19" ht="18.75">
      <c r="A38" s="802" t="s">
        <v>472</v>
      </c>
      <c r="B38" s="802"/>
      <c r="C38" s="802"/>
      <c r="D38" s="802"/>
      <c r="E38" s="802"/>
      <c r="F38" s="802"/>
      <c r="G38" s="802"/>
      <c r="H38" s="802"/>
      <c r="K38" s="802" t="s">
        <v>473</v>
      </c>
      <c r="L38" s="802"/>
      <c r="M38" s="802"/>
      <c r="N38" s="802"/>
      <c r="O38" s="802"/>
      <c r="P38" s="802"/>
      <c r="Q38" s="802"/>
      <c r="R38" s="802"/>
      <c r="S38" s="802"/>
    </row>
    <row r="39" spans="1:19" ht="18.75">
      <c r="A39" s="509" t="s">
        <v>507</v>
      </c>
      <c r="K39" s="509" t="s">
        <v>445</v>
      </c>
      <c r="L39" s="509"/>
    </row>
    <row r="40" spans="1:19" ht="42">
      <c r="A40" s="505" t="s">
        <v>416</v>
      </c>
      <c r="K40" s="505" t="s">
        <v>449</v>
      </c>
      <c r="L40" s="505"/>
    </row>
    <row r="41" spans="1:19">
      <c r="A41" s="4" t="s">
        <v>2</v>
      </c>
      <c r="B41" s="710" t="s">
        <v>414</v>
      </c>
      <c r="C41" s="712"/>
      <c r="D41" s="710" t="s">
        <v>421</v>
      </c>
      <c r="E41" s="711"/>
      <c r="F41" s="711"/>
      <c r="G41" s="711"/>
      <c r="H41" s="712"/>
      <c r="K41" s="4" t="s">
        <v>2</v>
      </c>
      <c r="L41" s="533" t="s">
        <v>613</v>
      </c>
      <c r="M41" s="803" t="s">
        <v>450</v>
      </c>
      <c r="N41" s="803"/>
      <c r="O41" s="710" t="s">
        <v>448</v>
      </c>
      <c r="P41" s="711"/>
      <c r="Q41" s="711"/>
      <c r="R41" s="711"/>
      <c r="S41" s="712"/>
    </row>
    <row r="42" spans="1:19">
      <c r="A42" s="8" t="s">
        <v>417</v>
      </c>
      <c r="B42" s="44" t="s">
        <v>411</v>
      </c>
      <c r="C42" s="44" t="s">
        <v>412</v>
      </c>
      <c r="D42" s="95">
        <v>0.6</v>
      </c>
      <c r="E42" s="95">
        <v>0.7</v>
      </c>
      <c r="F42" s="95">
        <v>0.8</v>
      </c>
      <c r="G42" s="95">
        <v>0.9</v>
      </c>
      <c r="H42" s="95">
        <v>1</v>
      </c>
      <c r="K42" s="8" t="s">
        <v>337</v>
      </c>
      <c r="L42" s="532" t="s">
        <v>612</v>
      </c>
      <c r="M42" s="44" t="s">
        <v>411</v>
      </c>
      <c r="N42" s="44" t="s">
        <v>412</v>
      </c>
      <c r="O42" s="95">
        <v>0.6</v>
      </c>
      <c r="P42" s="95">
        <v>0.7</v>
      </c>
      <c r="Q42" s="95">
        <v>0.8</v>
      </c>
      <c r="R42" s="95">
        <v>0.9</v>
      </c>
      <c r="S42" s="95">
        <v>1</v>
      </c>
    </row>
    <row r="43" spans="1:19" ht="45">
      <c r="A43" s="396" t="s">
        <v>534</v>
      </c>
      <c r="B43" s="498">
        <f>RICON_Edelstahl!C123</f>
        <v>4.5</v>
      </c>
      <c r="C43" s="498">
        <f>RICON_Edelstahl!F123</f>
        <v>5.1804296195027444</v>
      </c>
      <c r="D43" s="498">
        <f t="shared" ref="D43:D66" si="2">MIN($B43/1,$C43*D$42/1.3)</f>
        <v>2.3909675166935744</v>
      </c>
      <c r="E43" s="498">
        <f t="shared" ref="E43:H58" si="3">MIN($B43/1,$C43*E$42/1.3)</f>
        <v>2.7894621028091695</v>
      </c>
      <c r="F43" s="498">
        <f t="shared" si="3"/>
        <v>3.1879566889247655</v>
      </c>
      <c r="G43" s="498">
        <f t="shared" si="3"/>
        <v>3.5864512750403614</v>
      </c>
      <c r="H43" s="498">
        <f t="shared" si="3"/>
        <v>3.9849458611559569</v>
      </c>
      <c r="K43" s="396" t="s">
        <v>535</v>
      </c>
      <c r="L43" s="523" t="s">
        <v>491</v>
      </c>
      <c r="M43" s="498">
        <f>RICON_Edelstahl!C123</f>
        <v>4.5</v>
      </c>
      <c r="N43" s="498">
        <f>RICON_Edelstahl!F123</f>
        <v>5.1804296195027444</v>
      </c>
      <c r="O43" s="498">
        <f t="shared" ref="O43:S52" si="4">MIN($B43/1,$C43*O$42/1.3)</f>
        <v>2.3909675166935744</v>
      </c>
      <c r="P43" s="498">
        <f t="shared" si="4"/>
        <v>2.7894621028091695</v>
      </c>
      <c r="Q43" s="498">
        <f t="shared" si="4"/>
        <v>3.1879566889247655</v>
      </c>
      <c r="R43" s="498">
        <f t="shared" si="4"/>
        <v>3.5864512750403614</v>
      </c>
      <c r="S43" s="498">
        <f t="shared" si="4"/>
        <v>3.9849458611559569</v>
      </c>
    </row>
    <row r="44" spans="1:19" ht="45">
      <c r="A44" s="396" t="s">
        <v>536</v>
      </c>
      <c r="B44" s="498">
        <f>RICON_Edelstahl!C124</f>
        <v>8.1999999999999993</v>
      </c>
      <c r="C44" s="498">
        <f>RICON_Edelstahl!F124</f>
        <v>7.5161100233272613</v>
      </c>
      <c r="D44" s="498">
        <f t="shared" si="2"/>
        <v>3.4689738569202739</v>
      </c>
      <c r="E44" s="498">
        <f t="shared" si="3"/>
        <v>4.0471361664069869</v>
      </c>
      <c r="F44" s="498">
        <f t="shared" si="3"/>
        <v>4.6252984758936995</v>
      </c>
      <c r="G44" s="498">
        <f t="shared" si="3"/>
        <v>5.203460785380412</v>
      </c>
      <c r="H44" s="498">
        <f t="shared" si="3"/>
        <v>5.7816230948671237</v>
      </c>
      <c r="K44" s="396" t="s">
        <v>537</v>
      </c>
      <c r="L44" s="523" t="s">
        <v>494</v>
      </c>
      <c r="M44" s="498">
        <f>RICON_Edelstahl!C124</f>
        <v>8.1999999999999993</v>
      </c>
      <c r="N44" s="498">
        <f>RICON_Edelstahl!F124</f>
        <v>7.5161100233272613</v>
      </c>
      <c r="O44" s="498">
        <f t="shared" si="4"/>
        <v>3.4689738569202739</v>
      </c>
      <c r="P44" s="498">
        <f t="shared" si="4"/>
        <v>4.0471361664069869</v>
      </c>
      <c r="Q44" s="498">
        <f t="shared" si="4"/>
        <v>4.6252984758936995</v>
      </c>
      <c r="R44" s="498">
        <f t="shared" si="4"/>
        <v>5.203460785380412</v>
      </c>
      <c r="S44" s="498">
        <f t="shared" si="4"/>
        <v>5.7816230948671237</v>
      </c>
    </row>
    <row r="45" spans="1:19" ht="45">
      <c r="A45" s="396" t="s">
        <v>538</v>
      </c>
      <c r="B45" s="498">
        <f>RICON_Edelstahl!C125</f>
        <v>10.4</v>
      </c>
      <c r="C45" s="498">
        <f>RICON_Edelstahl!F125</f>
        <v>10.360859239005489</v>
      </c>
      <c r="D45" s="498">
        <f t="shared" si="2"/>
        <v>4.7819350333871489</v>
      </c>
      <c r="E45" s="498">
        <f t="shared" si="3"/>
        <v>5.578924205618339</v>
      </c>
      <c r="F45" s="498">
        <f t="shared" si="3"/>
        <v>6.3759133778495309</v>
      </c>
      <c r="G45" s="498">
        <f t="shared" si="3"/>
        <v>7.1729025500807229</v>
      </c>
      <c r="H45" s="498">
        <f t="shared" si="3"/>
        <v>7.9698917223119139</v>
      </c>
      <c r="K45" s="396" t="s">
        <v>539</v>
      </c>
      <c r="L45" s="523" t="s">
        <v>495</v>
      </c>
      <c r="M45" s="498">
        <f>RICON_Edelstahl!C125</f>
        <v>10.4</v>
      </c>
      <c r="N45" s="498">
        <f>RICON_Edelstahl!F125</f>
        <v>10.360859239005489</v>
      </c>
      <c r="O45" s="498">
        <f t="shared" si="4"/>
        <v>4.7819350333871489</v>
      </c>
      <c r="P45" s="498">
        <f t="shared" si="4"/>
        <v>5.578924205618339</v>
      </c>
      <c r="Q45" s="498">
        <f t="shared" si="4"/>
        <v>6.3759133778495309</v>
      </c>
      <c r="R45" s="498">
        <f t="shared" si="4"/>
        <v>7.1729025500807229</v>
      </c>
      <c r="S45" s="498">
        <f t="shared" si="4"/>
        <v>7.9698917223119139</v>
      </c>
    </row>
    <row r="46" spans="1:19" ht="45">
      <c r="A46" s="396" t="s">
        <v>540</v>
      </c>
      <c r="B46" s="498">
        <f>RICON_Edelstahl!C126</f>
        <v>13.4</v>
      </c>
      <c r="C46" s="498">
        <f>RICON_Edelstahl!F126</f>
        <v>13.205608454683714</v>
      </c>
      <c r="D46" s="498">
        <f t="shared" si="2"/>
        <v>6.0948962098540216</v>
      </c>
      <c r="E46" s="498">
        <f t="shared" si="3"/>
        <v>7.1107122448296911</v>
      </c>
      <c r="F46" s="498">
        <f t="shared" si="3"/>
        <v>8.1265282798053633</v>
      </c>
      <c r="G46" s="498">
        <f t="shared" si="3"/>
        <v>9.1423443147810328</v>
      </c>
      <c r="H46" s="498">
        <f t="shared" si="3"/>
        <v>10.158160349756702</v>
      </c>
      <c r="K46" s="396" t="s">
        <v>541</v>
      </c>
      <c r="L46" s="523" t="s">
        <v>496</v>
      </c>
      <c r="M46" s="498">
        <f>RICON_Edelstahl!C126</f>
        <v>13.4</v>
      </c>
      <c r="N46" s="498">
        <f>RICON_Edelstahl!F126</f>
        <v>13.205608454683714</v>
      </c>
      <c r="O46" s="498">
        <f t="shared" si="4"/>
        <v>6.0948962098540216</v>
      </c>
      <c r="P46" s="498">
        <f t="shared" si="4"/>
        <v>7.1107122448296911</v>
      </c>
      <c r="Q46" s="498">
        <f t="shared" si="4"/>
        <v>8.1265282798053633</v>
      </c>
      <c r="R46" s="498">
        <f t="shared" si="4"/>
        <v>9.1423443147810328</v>
      </c>
      <c r="S46" s="498">
        <f t="shared" si="4"/>
        <v>10.158160349756702</v>
      </c>
    </row>
    <row r="47" spans="1:19" ht="45">
      <c r="A47" s="396" t="s">
        <v>542</v>
      </c>
      <c r="B47" s="498">
        <f>RICON_Edelstahl!C127</f>
        <v>13.4</v>
      </c>
      <c r="C47" s="498">
        <f>RICON_Edelstahl!F127</f>
        <v>16.05035767036194</v>
      </c>
      <c r="D47" s="498">
        <f t="shared" si="2"/>
        <v>7.4078573863208952</v>
      </c>
      <c r="E47" s="498">
        <f t="shared" si="3"/>
        <v>8.6425002840410432</v>
      </c>
      <c r="F47" s="498">
        <f t="shared" si="3"/>
        <v>9.8771431817611948</v>
      </c>
      <c r="G47" s="498">
        <f t="shared" si="3"/>
        <v>11.111786079481343</v>
      </c>
      <c r="H47" s="498">
        <f t="shared" si="3"/>
        <v>12.346428977201493</v>
      </c>
      <c r="K47" s="396" t="s">
        <v>543</v>
      </c>
      <c r="L47" s="523" t="s">
        <v>497</v>
      </c>
      <c r="M47" s="498">
        <f>RICON_Edelstahl!C127</f>
        <v>13.4</v>
      </c>
      <c r="N47" s="498">
        <f>RICON_Edelstahl!F127</f>
        <v>16.05035767036194</v>
      </c>
      <c r="O47" s="498">
        <f t="shared" si="4"/>
        <v>7.4078573863208952</v>
      </c>
      <c r="P47" s="498">
        <f t="shared" si="4"/>
        <v>8.6425002840410432</v>
      </c>
      <c r="Q47" s="498">
        <f t="shared" si="4"/>
        <v>9.8771431817611948</v>
      </c>
      <c r="R47" s="498">
        <f t="shared" si="4"/>
        <v>11.111786079481343</v>
      </c>
      <c r="S47" s="498">
        <f t="shared" si="4"/>
        <v>12.346428977201493</v>
      </c>
    </row>
    <row r="48" spans="1:19" ht="45">
      <c r="A48" s="396" t="s">
        <v>544</v>
      </c>
      <c r="B48" s="498">
        <f>RICON_Edelstahl!C128</f>
        <v>13.4</v>
      </c>
      <c r="C48" s="498">
        <f>RICON_Edelstahl!F128</f>
        <v>18.895106886040168</v>
      </c>
      <c r="D48" s="498">
        <f t="shared" si="2"/>
        <v>8.7208185627877697</v>
      </c>
      <c r="E48" s="498">
        <f t="shared" si="3"/>
        <v>10.174288323252396</v>
      </c>
      <c r="F48" s="498">
        <f t="shared" si="3"/>
        <v>11.627758083717026</v>
      </c>
      <c r="G48" s="498">
        <f t="shared" si="3"/>
        <v>13.081227844181655</v>
      </c>
      <c r="H48" s="498">
        <f t="shared" si="3"/>
        <v>13.4</v>
      </c>
      <c r="K48" s="396" t="s">
        <v>545</v>
      </c>
      <c r="L48" s="523" t="s">
        <v>482</v>
      </c>
      <c r="M48" s="498">
        <f>RICON_Edelstahl!C128</f>
        <v>13.4</v>
      </c>
      <c r="N48" s="498">
        <f>RICON_Edelstahl!F128</f>
        <v>18.895106886040168</v>
      </c>
      <c r="O48" s="498">
        <f t="shared" si="4"/>
        <v>8.7208185627877697</v>
      </c>
      <c r="P48" s="498">
        <f t="shared" si="4"/>
        <v>10.174288323252396</v>
      </c>
      <c r="Q48" s="498">
        <f t="shared" si="4"/>
        <v>11.627758083717026</v>
      </c>
      <c r="R48" s="498">
        <f t="shared" si="4"/>
        <v>13.081227844181655</v>
      </c>
      <c r="S48" s="498">
        <f t="shared" si="4"/>
        <v>13.4</v>
      </c>
    </row>
    <row r="49" spans="1:19" ht="45">
      <c r="A49" s="396" t="s">
        <v>546</v>
      </c>
      <c r="B49" s="498">
        <f>RICON_Edelstahl!C129</f>
        <v>8.1999999999999993</v>
      </c>
      <c r="C49" s="498">
        <f>RICON_Edelstahl!F129</f>
        <v>12.696539642830006</v>
      </c>
      <c r="D49" s="498">
        <f t="shared" si="2"/>
        <v>5.8599413736138484</v>
      </c>
      <c r="E49" s="498">
        <f t="shared" si="3"/>
        <v>6.8365982692161564</v>
      </c>
      <c r="F49" s="498">
        <f t="shared" si="3"/>
        <v>7.8132551648184654</v>
      </c>
      <c r="G49" s="498">
        <f t="shared" si="3"/>
        <v>8.1999999999999993</v>
      </c>
      <c r="H49" s="498">
        <f t="shared" si="3"/>
        <v>8.1999999999999993</v>
      </c>
      <c r="K49" s="396" t="s">
        <v>547</v>
      </c>
      <c r="L49" s="523" t="s">
        <v>482</v>
      </c>
      <c r="M49" s="498">
        <f>RICON_Edelstahl!C129</f>
        <v>8.1999999999999993</v>
      </c>
      <c r="N49" s="498">
        <f>RICON_Edelstahl!F129</f>
        <v>12.696539642830006</v>
      </c>
      <c r="O49" s="498">
        <f t="shared" si="4"/>
        <v>5.8599413736138484</v>
      </c>
      <c r="P49" s="498">
        <f t="shared" si="4"/>
        <v>6.8365982692161564</v>
      </c>
      <c r="Q49" s="498">
        <f t="shared" si="4"/>
        <v>7.8132551648184654</v>
      </c>
      <c r="R49" s="498">
        <f t="shared" si="4"/>
        <v>8.1999999999999993</v>
      </c>
      <c r="S49" s="498">
        <f t="shared" si="4"/>
        <v>8.1999999999999993</v>
      </c>
    </row>
    <row r="50" spans="1:19" ht="45">
      <c r="A50" s="396" t="s">
        <v>548</v>
      </c>
      <c r="B50" s="498">
        <f>RICON_Edelstahl!C130</f>
        <v>10.4</v>
      </c>
      <c r="C50" s="498">
        <f>RICON_Edelstahl!F130</f>
        <v>18.386038074186459</v>
      </c>
      <c r="D50" s="498">
        <f t="shared" si="2"/>
        <v>8.4858637265475956</v>
      </c>
      <c r="E50" s="498">
        <f t="shared" si="3"/>
        <v>9.9001743476388615</v>
      </c>
      <c r="F50" s="498">
        <f t="shared" si="3"/>
        <v>10.4</v>
      </c>
      <c r="G50" s="498">
        <f t="shared" si="3"/>
        <v>10.4</v>
      </c>
      <c r="H50" s="498">
        <f t="shared" si="3"/>
        <v>10.4</v>
      </c>
      <c r="K50" s="396" t="s">
        <v>549</v>
      </c>
      <c r="L50" s="523" t="s">
        <v>483</v>
      </c>
      <c r="M50" s="498">
        <f>RICON_Edelstahl!C130</f>
        <v>10.4</v>
      </c>
      <c r="N50" s="498">
        <f>RICON_Edelstahl!F130</f>
        <v>18.386038074186459</v>
      </c>
      <c r="O50" s="498">
        <f t="shared" si="4"/>
        <v>8.4858637265475956</v>
      </c>
      <c r="P50" s="498">
        <f t="shared" si="4"/>
        <v>9.9001743476388615</v>
      </c>
      <c r="Q50" s="498">
        <f t="shared" si="4"/>
        <v>10.4</v>
      </c>
      <c r="R50" s="498">
        <f t="shared" si="4"/>
        <v>10.4</v>
      </c>
      <c r="S50" s="498">
        <f t="shared" si="4"/>
        <v>10.4</v>
      </c>
    </row>
    <row r="51" spans="1:19" ht="45">
      <c r="A51" s="396" t="s">
        <v>550</v>
      </c>
      <c r="B51" s="498">
        <f>RICON_Edelstahl!C131</f>
        <v>13.4</v>
      </c>
      <c r="C51" s="498">
        <f>RICON_Edelstahl!F131</f>
        <v>24.07553650554291</v>
      </c>
      <c r="D51" s="498">
        <f t="shared" si="2"/>
        <v>11.111786079481341</v>
      </c>
      <c r="E51" s="498">
        <f t="shared" si="3"/>
        <v>12.963750426061566</v>
      </c>
      <c r="F51" s="498">
        <f t="shared" si="3"/>
        <v>13.4</v>
      </c>
      <c r="G51" s="498">
        <f t="shared" si="3"/>
        <v>13.4</v>
      </c>
      <c r="H51" s="498">
        <f t="shared" si="3"/>
        <v>13.4</v>
      </c>
      <c r="K51" s="396" t="s">
        <v>551</v>
      </c>
      <c r="L51" s="523" t="s">
        <v>484</v>
      </c>
      <c r="M51" s="498">
        <f>RICON_Edelstahl!C131</f>
        <v>13.4</v>
      </c>
      <c r="N51" s="498">
        <f>RICON_Edelstahl!F131</f>
        <v>24.07553650554291</v>
      </c>
      <c r="O51" s="498">
        <f t="shared" si="4"/>
        <v>11.111786079481341</v>
      </c>
      <c r="P51" s="498">
        <f t="shared" si="4"/>
        <v>12.963750426061566</v>
      </c>
      <c r="Q51" s="498">
        <f t="shared" si="4"/>
        <v>13.4</v>
      </c>
      <c r="R51" s="498">
        <f t="shared" si="4"/>
        <v>13.4</v>
      </c>
      <c r="S51" s="498">
        <f t="shared" si="4"/>
        <v>13.4</v>
      </c>
    </row>
    <row r="52" spans="1:19" ht="45">
      <c r="A52" s="396" t="s">
        <v>552</v>
      </c>
      <c r="B52" s="498">
        <f>RICON_Edelstahl!C132</f>
        <v>13.4</v>
      </c>
      <c r="C52" s="498">
        <f>RICON_Edelstahl!F132</f>
        <v>29.765034936899362</v>
      </c>
      <c r="D52" s="498">
        <f t="shared" si="2"/>
        <v>13.4</v>
      </c>
      <c r="E52" s="498">
        <f t="shared" si="3"/>
        <v>13.4</v>
      </c>
      <c r="F52" s="498">
        <f t="shared" si="3"/>
        <v>13.4</v>
      </c>
      <c r="G52" s="498">
        <f t="shared" si="3"/>
        <v>13.4</v>
      </c>
      <c r="H52" s="498">
        <f t="shared" si="3"/>
        <v>13.4</v>
      </c>
      <c r="K52" s="396" t="s">
        <v>553</v>
      </c>
      <c r="L52" s="523" t="s">
        <v>485</v>
      </c>
      <c r="M52" s="498">
        <f>RICON_Edelstahl!C132</f>
        <v>13.4</v>
      </c>
      <c r="N52" s="498">
        <f>RICON_Edelstahl!F132</f>
        <v>29.765034936899362</v>
      </c>
      <c r="O52" s="498">
        <f t="shared" si="4"/>
        <v>13.4</v>
      </c>
      <c r="P52" s="498">
        <f t="shared" si="4"/>
        <v>13.4</v>
      </c>
      <c r="Q52" s="498">
        <f t="shared" si="4"/>
        <v>13.4</v>
      </c>
      <c r="R52" s="498">
        <f t="shared" si="4"/>
        <v>13.4</v>
      </c>
      <c r="S52" s="498">
        <f t="shared" si="4"/>
        <v>13.4</v>
      </c>
    </row>
    <row r="53" spans="1:19" ht="45.75" thickBot="1">
      <c r="A53" s="438" t="s">
        <v>554</v>
      </c>
      <c r="B53" s="500">
        <f>RICON_Edelstahl!C133</f>
        <v>13.4</v>
      </c>
      <c r="C53" s="500">
        <f>RICON_Edelstahl!F133</f>
        <v>35.454533368255817</v>
      </c>
      <c r="D53" s="500">
        <f t="shared" si="2"/>
        <v>13.4</v>
      </c>
      <c r="E53" s="500">
        <f t="shared" si="3"/>
        <v>13.4</v>
      </c>
      <c r="F53" s="500">
        <f t="shared" si="3"/>
        <v>13.4</v>
      </c>
      <c r="G53" s="500">
        <f t="shared" si="3"/>
        <v>13.4</v>
      </c>
      <c r="H53" s="500">
        <f t="shared" si="3"/>
        <v>13.4</v>
      </c>
      <c r="K53" s="438" t="s">
        <v>555</v>
      </c>
      <c r="L53" s="535" t="s">
        <v>486</v>
      </c>
      <c r="M53" s="500">
        <f>RICON_Edelstahl!C133</f>
        <v>13.4</v>
      </c>
      <c r="N53" s="500">
        <f>RICON_Edelstahl!F133</f>
        <v>35.454533368255817</v>
      </c>
      <c r="O53" s="500">
        <f t="shared" ref="O53:S66" si="5">MIN($B53/1,$C53*O$42/1.3)</f>
        <v>13.4</v>
      </c>
      <c r="P53" s="500">
        <f t="shared" si="5"/>
        <v>13.4</v>
      </c>
      <c r="Q53" s="500">
        <f t="shared" si="5"/>
        <v>13.4</v>
      </c>
      <c r="R53" s="500">
        <f t="shared" si="5"/>
        <v>13.4</v>
      </c>
      <c r="S53" s="500">
        <f t="shared" si="5"/>
        <v>13.4</v>
      </c>
    </row>
    <row r="54" spans="1:19" ht="45.75" thickTop="1">
      <c r="A54" s="411" t="s">
        <v>556</v>
      </c>
      <c r="B54" s="499">
        <f>RICON_Edelstahl!C134</f>
        <v>4.5</v>
      </c>
      <c r="C54" s="499">
        <f>RICON_Edelstahl!F134</f>
        <v>5.1804296195027444</v>
      </c>
      <c r="D54" s="499">
        <f t="shared" si="2"/>
        <v>2.3909675166935744</v>
      </c>
      <c r="E54" s="499">
        <f t="shared" si="3"/>
        <v>2.7894621028091695</v>
      </c>
      <c r="F54" s="499">
        <f t="shared" si="3"/>
        <v>3.1879566889247655</v>
      </c>
      <c r="G54" s="499">
        <f t="shared" si="3"/>
        <v>3.5864512750403614</v>
      </c>
      <c r="H54" s="499">
        <f t="shared" si="3"/>
        <v>3.9849458611559569</v>
      </c>
      <c r="K54" s="411" t="s">
        <v>557</v>
      </c>
      <c r="L54" s="523" t="s">
        <v>491</v>
      </c>
      <c r="M54" s="499">
        <f>RICON_Edelstahl!C134</f>
        <v>4.5</v>
      </c>
      <c r="N54" s="499">
        <f>RICON_Edelstahl!F134</f>
        <v>5.1804296195027444</v>
      </c>
      <c r="O54" s="499">
        <f t="shared" si="5"/>
        <v>2.3909675166935744</v>
      </c>
      <c r="P54" s="499">
        <f t="shared" si="5"/>
        <v>2.7894621028091695</v>
      </c>
      <c r="Q54" s="499">
        <f t="shared" si="5"/>
        <v>3.1879566889247655</v>
      </c>
      <c r="R54" s="499">
        <f t="shared" si="5"/>
        <v>3.5864512750403614</v>
      </c>
      <c r="S54" s="499">
        <f t="shared" si="5"/>
        <v>3.9849458611559569</v>
      </c>
    </row>
    <row r="55" spans="1:19" ht="45">
      <c r="A55" s="396" t="s">
        <v>558</v>
      </c>
      <c r="B55" s="498">
        <f>RICON_Edelstahl!C135</f>
        <v>8.1999999999999993</v>
      </c>
      <c r="C55" s="498">
        <f>RICON_Edelstahl!F135</f>
        <v>7.5161100233272613</v>
      </c>
      <c r="D55" s="498">
        <f t="shared" si="2"/>
        <v>3.4689738569202739</v>
      </c>
      <c r="E55" s="498">
        <f t="shared" si="3"/>
        <v>4.0471361664069869</v>
      </c>
      <c r="F55" s="498">
        <f t="shared" si="3"/>
        <v>4.6252984758936995</v>
      </c>
      <c r="G55" s="498">
        <f t="shared" si="3"/>
        <v>5.203460785380412</v>
      </c>
      <c r="H55" s="498">
        <f t="shared" si="3"/>
        <v>5.7816230948671237</v>
      </c>
      <c r="K55" s="396" t="s">
        <v>559</v>
      </c>
      <c r="L55" s="523" t="s">
        <v>494</v>
      </c>
      <c r="M55" s="498">
        <f>RICON_Edelstahl!C135</f>
        <v>8.1999999999999993</v>
      </c>
      <c r="N55" s="498">
        <f>RICON_Edelstahl!F135</f>
        <v>7.5161100233272613</v>
      </c>
      <c r="O55" s="498">
        <f t="shared" si="5"/>
        <v>3.4689738569202739</v>
      </c>
      <c r="P55" s="498">
        <f t="shared" si="5"/>
        <v>4.0471361664069869</v>
      </c>
      <c r="Q55" s="498">
        <f t="shared" si="5"/>
        <v>4.6252984758936995</v>
      </c>
      <c r="R55" s="498">
        <f t="shared" si="5"/>
        <v>5.203460785380412</v>
      </c>
      <c r="S55" s="498">
        <f t="shared" si="5"/>
        <v>5.7816230948671237</v>
      </c>
    </row>
    <row r="56" spans="1:19" ht="45">
      <c r="A56" s="396" t="s">
        <v>560</v>
      </c>
      <c r="B56" s="498">
        <f>RICON_Edelstahl!C136</f>
        <v>10.4</v>
      </c>
      <c r="C56" s="498">
        <f>RICON_Edelstahl!F136</f>
        <v>10.360859239005489</v>
      </c>
      <c r="D56" s="498">
        <f t="shared" si="2"/>
        <v>4.7819350333871489</v>
      </c>
      <c r="E56" s="498">
        <f t="shared" si="3"/>
        <v>5.578924205618339</v>
      </c>
      <c r="F56" s="498">
        <f t="shared" si="3"/>
        <v>6.3759133778495309</v>
      </c>
      <c r="G56" s="498">
        <f t="shared" si="3"/>
        <v>7.1729025500807229</v>
      </c>
      <c r="H56" s="498">
        <f t="shared" si="3"/>
        <v>7.9698917223119139</v>
      </c>
      <c r="K56" s="396" t="s">
        <v>561</v>
      </c>
      <c r="L56" s="523" t="s">
        <v>495</v>
      </c>
      <c r="M56" s="498">
        <f>RICON_Edelstahl!C136</f>
        <v>10.4</v>
      </c>
      <c r="N56" s="498">
        <f>RICON_Edelstahl!F136</f>
        <v>10.360859239005489</v>
      </c>
      <c r="O56" s="498">
        <f t="shared" si="5"/>
        <v>4.7819350333871489</v>
      </c>
      <c r="P56" s="498">
        <f t="shared" si="5"/>
        <v>5.578924205618339</v>
      </c>
      <c r="Q56" s="498">
        <f t="shared" si="5"/>
        <v>6.3759133778495309</v>
      </c>
      <c r="R56" s="498">
        <f t="shared" si="5"/>
        <v>7.1729025500807229</v>
      </c>
      <c r="S56" s="498">
        <f t="shared" si="5"/>
        <v>7.9698917223119139</v>
      </c>
    </row>
    <row r="57" spans="1:19" ht="45">
      <c r="A57" s="396" t="s">
        <v>562</v>
      </c>
      <c r="B57" s="498">
        <f>RICON_Edelstahl!C137</f>
        <v>13.4</v>
      </c>
      <c r="C57" s="498">
        <f>RICON_Edelstahl!F137</f>
        <v>13.205608454683714</v>
      </c>
      <c r="D57" s="498">
        <f t="shared" si="2"/>
        <v>6.0948962098540216</v>
      </c>
      <c r="E57" s="498">
        <f t="shared" si="3"/>
        <v>7.1107122448296911</v>
      </c>
      <c r="F57" s="498">
        <f t="shared" si="3"/>
        <v>8.1265282798053633</v>
      </c>
      <c r="G57" s="498">
        <f t="shared" si="3"/>
        <v>9.1423443147810328</v>
      </c>
      <c r="H57" s="498">
        <f t="shared" si="3"/>
        <v>10.158160349756702</v>
      </c>
      <c r="K57" s="396" t="s">
        <v>563</v>
      </c>
      <c r="L57" s="523" t="s">
        <v>496</v>
      </c>
      <c r="M57" s="498">
        <f>RICON_Edelstahl!C137</f>
        <v>13.4</v>
      </c>
      <c r="N57" s="498">
        <f>RICON_Edelstahl!F137</f>
        <v>13.205608454683714</v>
      </c>
      <c r="O57" s="498">
        <f t="shared" si="5"/>
        <v>6.0948962098540216</v>
      </c>
      <c r="P57" s="498">
        <f t="shared" si="5"/>
        <v>7.1107122448296911</v>
      </c>
      <c r="Q57" s="498">
        <f t="shared" si="5"/>
        <v>8.1265282798053633</v>
      </c>
      <c r="R57" s="498">
        <f t="shared" si="5"/>
        <v>9.1423443147810328</v>
      </c>
      <c r="S57" s="498">
        <f t="shared" si="5"/>
        <v>10.158160349756702</v>
      </c>
    </row>
    <row r="58" spans="1:19" ht="45">
      <c r="A58" s="396" t="s">
        <v>564</v>
      </c>
      <c r="B58" s="498">
        <f>RICON_Edelstahl!C138</f>
        <v>13.4</v>
      </c>
      <c r="C58" s="498">
        <f>RICON_Edelstahl!F138</f>
        <v>16.05035767036194</v>
      </c>
      <c r="D58" s="498">
        <f t="shared" si="2"/>
        <v>7.4078573863208952</v>
      </c>
      <c r="E58" s="498">
        <f t="shared" si="3"/>
        <v>8.6425002840410432</v>
      </c>
      <c r="F58" s="498">
        <f t="shared" si="3"/>
        <v>9.8771431817611948</v>
      </c>
      <c r="G58" s="498">
        <f t="shared" si="3"/>
        <v>11.111786079481343</v>
      </c>
      <c r="H58" s="498">
        <f t="shared" si="3"/>
        <v>12.346428977201493</v>
      </c>
      <c r="K58" s="396" t="s">
        <v>565</v>
      </c>
      <c r="L58" s="523" t="s">
        <v>497</v>
      </c>
      <c r="M58" s="498">
        <f>RICON_Edelstahl!C138</f>
        <v>13.4</v>
      </c>
      <c r="N58" s="498">
        <f>RICON_Edelstahl!F138</f>
        <v>16.05035767036194</v>
      </c>
      <c r="O58" s="498">
        <f t="shared" si="5"/>
        <v>7.4078573863208952</v>
      </c>
      <c r="P58" s="498">
        <f t="shared" si="5"/>
        <v>8.6425002840410432</v>
      </c>
      <c r="Q58" s="498">
        <f t="shared" si="5"/>
        <v>9.8771431817611948</v>
      </c>
      <c r="R58" s="498">
        <f t="shared" si="5"/>
        <v>11.111786079481343</v>
      </c>
      <c r="S58" s="498">
        <f t="shared" si="5"/>
        <v>12.346428977201493</v>
      </c>
    </row>
    <row r="59" spans="1:19" ht="45">
      <c r="A59" s="396" t="s">
        <v>566</v>
      </c>
      <c r="B59" s="498">
        <f>RICON_Edelstahl!C139</f>
        <v>13.4</v>
      </c>
      <c r="C59" s="498">
        <f>RICON_Edelstahl!F139</f>
        <v>18.895106886040168</v>
      </c>
      <c r="D59" s="498">
        <f t="shared" si="2"/>
        <v>8.7208185627877697</v>
      </c>
      <c r="E59" s="498">
        <f t="shared" ref="E59:H66" si="6">MIN($B59/1,$C59*E$42/1.3)</f>
        <v>10.174288323252396</v>
      </c>
      <c r="F59" s="498">
        <f t="shared" si="6"/>
        <v>11.627758083717026</v>
      </c>
      <c r="G59" s="498">
        <f t="shared" si="6"/>
        <v>13.081227844181655</v>
      </c>
      <c r="H59" s="498">
        <f t="shared" si="6"/>
        <v>13.4</v>
      </c>
      <c r="K59" s="396" t="s">
        <v>567</v>
      </c>
      <c r="L59" s="523" t="s">
        <v>482</v>
      </c>
      <c r="M59" s="498">
        <f>RICON_Edelstahl!C139</f>
        <v>13.4</v>
      </c>
      <c r="N59" s="498">
        <f>RICON_Edelstahl!F139</f>
        <v>18.895106886040168</v>
      </c>
      <c r="O59" s="498">
        <f t="shared" si="5"/>
        <v>8.7208185627877697</v>
      </c>
      <c r="P59" s="498">
        <f t="shared" si="5"/>
        <v>10.174288323252396</v>
      </c>
      <c r="Q59" s="498">
        <f t="shared" si="5"/>
        <v>11.627758083717026</v>
      </c>
      <c r="R59" s="498">
        <f t="shared" si="5"/>
        <v>13.081227844181655</v>
      </c>
      <c r="S59" s="498">
        <f t="shared" si="5"/>
        <v>13.4</v>
      </c>
    </row>
    <row r="60" spans="1:19" ht="45">
      <c r="A60" s="396" t="s">
        <v>568</v>
      </c>
      <c r="B60" s="498">
        <f>RICON_Edelstahl!C140</f>
        <v>8.1999999999999993</v>
      </c>
      <c r="C60" s="498">
        <f>RICON_Edelstahl!F140</f>
        <v>12.696539642830006</v>
      </c>
      <c r="D60" s="498">
        <f t="shared" si="2"/>
        <v>5.8599413736138484</v>
      </c>
      <c r="E60" s="498">
        <f t="shared" si="6"/>
        <v>6.8365982692161564</v>
      </c>
      <c r="F60" s="498">
        <f t="shared" si="6"/>
        <v>7.8132551648184654</v>
      </c>
      <c r="G60" s="498">
        <f t="shared" si="6"/>
        <v>8.1999999999999993</v>
      </c>
      <c r="H60" s="498">
        <f t="shared" si="6"/>
        <v>8.1999999999999993</v>
      </c>
      <c r="K60" s="396" t="s">
        <v>569</v>
      </c>
      <c r="L60" s="523" t="s">
        <v>482</v>
      </c>
      <c r="M60" s="498">
        <f>RICON_Edelstahl!C140</f>
        <v>8.1999999999999993</v>
      </c>
      <c r="N60" s="498">
        <f>RICON_Edelstahl!F140</f>
        <v>12.696539642830006</v>
      </c>
      <c r="O60" s="498">
        <f t="shared" si="5"/>
        <v>5.8599413736138484</v>
      </c>
      <c r="P60" s="498">
        <f t="shared" si="5"/>
        <v>6.8365982692161564</v>
      </c>
      <c r="Q60" s="498">
        <f t="shared" si="5"/>
        <v>7.8132551648184654</v>
      </c>
      <c r="R60" s="498">
        <f t="shared" si="5"/>
        <v>8.1999999999999993</v>
      </c>
      <c r="S60" s="498">
        <f t="shared" si="5"/>
        <v>8.1999999999999993</v>
      </c>
    </row>
    <row r="61" spans="1:19" ht="45">
      <c r="A61" s="396" t="s">
        <v>570</v>
      </c>
      <c r="B61" s="498">
        <f>RICON_Edelstahl!C141</f>
        <v>10.4</v>
      </c>
      <c r="C61" s="498">
        <f>RICON_Edelstahl!F141</f>
        <v>18.386038074186459</v>
      </c>
      <c r="D61" s="498">
        <f t="shared" si="2"/>
        <v>8.4858637265475956</v>
      </c>
      <c r="E61" s="498">
        <f t="shared" si="6"/>
        <v>9.9001743476388615</v>
      </c>
      <c r="F61" s="498">
        <f t="shared" si="6"/>
        <v>10.4</v>
      </c>
      <c r="G61" s="498">
        <f t="shared" si="6"/>
        <v>10.4</v>
      </c>
      <c r="H61" s="498">
        <f t="shared" si="6"/>
        <v>10.4</v>
      </c>
      <c r="K61" s="396" t="s">
        <v>571</v>
      </c>
      <c r="L61" s="523" t="s">
        <v>483</v>
      </c>
      <c r="M61" s="498">
        <f>RICON_Edelstahl!C141</f>
        <v>10.4</v>
      </c>
      <c r="N61" s="498">
        <f>RICON_Edelstahl!F141</f>
        <v>18.386038074186459</v>
      </c>
      <c r="O61" s="498">
        <f t="shared" si="5"/>
        <v>8.4858637265475956</v>
      </c>
      <c r="P61" s="498">
        <f t="shared" si="5"/>
        <v>9.9001743476388615</v>
      </c>
      <c r="Q61" s="498">
        <f t="shared" si="5"/>
        <v>10.4</v>
      </c>
      <c r="R61" s="498">
        <f t="shared" si="5"/>
        <v>10.4</v>
      </c>
      <c r="S61" s="498">
        <f t="shared" si="5"/>
        <v>10.4</v>
      </c>
    </row>
    <row r="62" spans="1:19" ht="45">
      <c r="A62" s="396" t="s">
        <v>572</v>
      </c>
      <c r="B62" s="498">
        <f>RICON_Edelstahl!C142</f>
        <v>13.4</v>
      </c>
      <c r="C62" s="498">
        <f>RICON_Edelstahl!F142</f>
        <v>24.07553650554291</v>
      </c>
      <c r="D62" s="498">
        <f t="shared" si="2"/>
        <v>11.111786079481341</v>
      </c>
      <c r="E62" s="498">
        <f t="shared" si="6"/>
        <v>12.963750426061566</v>
      </c>
      <c r="F62" s="498">
        <f t="shared" si="6"/>
        <v>13.4</v>
      </c>
      <c r="G62" s="498">
        <f t="shared" si="6"/>
        <v>13.4</v>
      </c>
      <c r="H62" s="498">
        <f t="shared" si="6"/>
        <v>13.4</v>
      </c>
      <c r="K62" s="396" t="s">
        <v>573</v>
      </c>
      <c r="L62" s="523" t="s">
        <v>484</v>
      </c>
      <c r="M62" s="498">
        <f>RICON_Edelstahl!C142</f>
        <v>13.4</v>
      </c>
      <c r="N62" s="498">
        <f>RICON_Edelstahl!F142</f>
        <v>24.07553650554291</v>
      </c>
      <c r="O62" s="498">
        <f t="shared" si="5"/>
        <v>11.111786079481341</v>
      </c>
      <c r="P62" s="498">
        <f t="shared" si="5"/>
        <v>12.963750426061566</v>
      </c>
      <c r="Q62" s="498">
        <f t="shared" si="5"/>
        <v>13.4</v>
      </c>
      <c r="R62" s="498">
        <f t="shared" si="5"/>
        <v>13.4</v>
      </c>
      <c r="S62" s="498">
        <f t="shared" si="5"/>
        <v>13.4</v>
      </c>
    </row>
    <row r="63" spans="1:19" ht="45">
      <c r="A63" s="396" t="s">
        <v>574</v>
      </c>
      <c r="B63" s="498">
        <f>RICON_Edelstahl!C143</f>
        <v>13.4</v>
      </c>
      <c r="C63" s="498">
        <f>RICON_Edelstahl!F143</f>
        <v>29.765034936899362</v>
      </c>
      <c r="D63" s="498">
        <f t="shared" si="2"/>
        <v>13.4</v>
      </c>
      <c r="E63" s="498">
        <f t="shared" si="6"/>
        <v>13.4</v>
      </c>
      <c r="F63" s="498">
        <f t="shared" si="6"/>
        <v>13.4</v>
      </c>
      <c r="G63" s="498">
        <f t="shared" si="6"/>
        <v>13.4</v>
      </c>
      <c r="H63" s="498">
        <f t="shared" si="6"/>
        <v>13.4</v>
      </c>
      <c r="K63" s="396" t="s">
        <v>575</v>
      </c>
      <c r="L63" s="523" t="s">
        <v>485</v>
      </c>
      <c r="M63" s="498">
        <f>RICON_Edelstahl!C143</f>
        <v>13.4</v>
      </c>
      <c r="N63" s="498">
        <f>RICON_Edelstahl!F143</f>
        <v>29.765034936899362</v>
      </c>
      <c r="O63" s="498">
        <f t="shared" si="5"/>
        <v>13.4</v>
      </c>
      <c r="P63" s="498">
        <f t="shared" si="5"/>
        <v>13.4</v>
      </c>
      <c r="Q63" s="498">
        <f t="shared" si="5"/>
        <v>13.4</v>
      </c>
      <c r="R63" s="498">
        <f t="shared" si="5"/>
        <v>13.4</v>
      </c>
      <c r="S63" s="498">
        <f t="shared" si="5"/>
        <v>13.4</v>
      </c>
    </row>
    <row r="64" spans="1:19" ht="45.75" thickBot="1">
      <c r="A64" s="438" t="s">
        <v>576</v>
      </c>
      <c r="B64" s="500">
        <f>RICON_Edelstahl!C144</f>
        <v>13.4</v>
      </c>
      <c r="C64" s="500">
        <f>RICON_Edelstahl!F144</f>
        <v>35.454533368255817</v>
      </c>
      <c r="D64" s="500">
        <f t="shared" si="2"/>
        <v>13.4</v>
      </c>
      <c r="E64" s="500">
        <f t="shared" si="6"/>
        <v>13.4</v>
      </c>
      <c r="F64" s="500">
        <f t="shared" si="6"/>
        <v>13.4</v>
      </c>
      <c r="G64" s="500">
        <f t="shared" si="6"/>
        <v>13.4</v>
      </c>
      <c r="H64" s="500">
        <f t="shared" si="6"/>
        <v>13.4</v>
      </c>
      <c r="K64" s="438" t="s">
        <v>577</v>
      </c>
      <c r="L64" s="535" t="s">
        <v>486</v>
      </c>
      <c r="M64" s="500">
        <f>RICON_Edelstahl!C144</f>
        <v>13.4</v>
      </c>
      <c r="N64" s="500">
        <f>RICON_Edelstahl!F144</f>
        <v>35.454533368255817</v>
      </c>
      <c r="O64" s="500">
        <f t="shared" si="5"/>
        <v>13.4</v>
      </c>
      <c r="P64" s="500">
        <f t="shared" si="5"/>
        <v>13.4</v>
      </c>
      <c r="Q64" s="500">
        <f t="shared" si="5"/>
        <v>13.4</v>
      </c>
      <c r="R64" s="500">
        <f t="shared" si="5"/>
        <v>13.4</v>
      </c>
      <c r="S64" s="500">
        <f t="shared" si="5"/>
        <v>13.4</v>
      </c>
    </row>
    <row r="65" spans="1:19" ht="45.75" thickTop="1">
      <c r="A65" s="411" t="s">
        <v>578</v>
      </c>
      <c r="B65" s="499">
        <f>RICON_Edelstahl!C149</f>
        <v>3.7</v>
      </c>
      <c r="C65" s="499">
        <f>RICON_Edelstahl!F149</f>
        <v>5.0646478158177981</v>
      </c>
      <c r="D65" s="499">
        <f t="shared" si="2"/>
        <v>2.3375297611466759</v>
      </c>
      <c r="E65" s="499">
        <f t="shared" si="6"/>
        <v>2.7271180546711218</v>
      </c>
      <c r="F65" s="499">
        <f t="shared" si="6"/>
        <v>3.1167063481955686</v>
      </c>
      <c r="G65" s="499">
        <f t="shared" si="6"/>
        <v>3.5062946417200136</v>
      </c>
      <c r="H65" s="499">
        <f t="shared" si="6"/>
        <v>3.7</v>
      </c>
      <c r="K65" s="411" t="s">
        <v>579</v>
      </c>
      <c r="L65" s="534" t="s">
        <v>616</v>
      </c>
      <c r="M65" s="499">
        <f>RICON_Edelstahl!C149</f>
        <v>3.7</v>
      </c>
      <c r="N65" s="499">
        <f>RICON_Edelstahl!F149</f>
        <v>5.0646478158177981</v>
      </c>
      <c r="O65" s="499">
        <f t="shared" si="5"/>
        <v>2.3375297611466759</v>
      </c>
      <c r="P65" s="499">
        <f t="shared" si="5"/>
        <v>2.7271180546711218</v>
      </c>
      <c r="Q65" s="499">
        <f t="shared" si="5"/>
        <v>3.1167063481955686</v>
      </c>
      <c r="R65" s="499">
        <f t="shared" si="5"/>
        <v>3.5062946417200136</v>
      </c>
      <c r="S65" s="499">
        <f t="shared" si="5"/>
        <v>3.7</v>
      </c>
    </row>
    <row r="66" spans="1:19" ht="45">
      <c r="A66" s="411" t="s">
        <v>580</v>
      </c>
      <c r="B66" s="498">
        <f>RICON_Edelstahl!C150</f>
        <v>3.7</v>
      </c>
      <c r="C66" s="498">
        <f>RICON_Edelstahl!F150</f>
        <v>5.0646478158177981</v>
      </c>
      <c r="D66" s="498">
        <f t="shared" si="2"/>
        <v>2.3375297611466759</v>
      </c>
      <c r="E66" s="498">
        <f t="shared" si="6"/>
        <v>2.7271180546711218</v>
      </c>
      <c r="F66" s="498">
        <f t="shared" si="6"/>
        <v>3.1167063481955686</v>
      </c>
      <c r="G66" s="498">
        <f t="shared" si="6"/>
        <v>3.5062946417200136</v>
      </c>
      <c r="H66" s="498">
        <f t="shared" si="6"/>
        <v>3.7</v>
      </c>
      <c r="K66" s="411" t="s">
        <v>581</v>
      </c>
      <c r="L66" s="534" t="s">
        <v>615</v>
      </c>
      <c r="M66" s="498">
        <f>RICON_Edelstahl!C150</f>
        <v>3.7</v>
      </c>
      <c r="N66" s="498">
        <f>RICON_Edelstahl!F150</f>
        <v>5.0646478158177981</v>
      </c>
      <c r="O66" s="498">
        <f t="shared" si="5"/>
        <v>2.3375297611466759</v>
      </c>
      <c r="P66" s="498">
        <f t="shared" si="5"/>
        <v>2.7271180546711218</v>
      </c>
      <c r="Q66" s="498">
        <f t="shared" si="5"/>
        <v>3.1167063481955686</v>
      </c>
      <c r="R66" s="498">
        <f t="shared" si="5"/>
        <v>3.5062946417200136</v>
      </c>
      <c r="S66" s="498">
        <f t="shared" si="5"/>
        <v>3.7</v>
      </c>
    </row>
    <row r="67" spans="1:19">
      <c r="A67" s="418"/>
      <c r="B67" s="508"/>
      <c r="C67" s="508"/>
      <c r="D67" s="508"/>
      <c r="E67" s="508"/>
      <c r="F67" s="508"/>
      <c r="G67" s="508"/>
      <c r="H67" s="508"/>
      <c r="K67" s="418"/>
      <c r="L67" s="418"/>
      <c r="M67" s="508"/>
      <c r="N67" s="508"/>
      <c r="O67" s="508"/>
      <c r="P67" s="508"/>
      <c r="Q67" s="508"/>
      <c r="R67" s="508"/>
      <c r="S67" s="508"/>
    </row>
    <row r="68" spans="1:19">
      <c r="A68" s="418"/>
      <c r="B68" s="508"/>
      <c r="C68" s="508"/>
      <c r="D68" s="508"/>
      <c r="E68" s="508"/>
      <c r="F68" s="508"/>
      <c r="G68" s="508"/>
      <c r="H68" s="508"/>
      <c r="K68" s="418"/>
      <c r="L68" s="418"/>
      <c r="M68" s="508"/>
      <c r="N68" s="508"/>
      <c r="O68" s="508"/>
      <c r="P68" s="508"/>
      <c r="Q68" s="508"/>
      <c r="R68" s="508"/>
      <c r="S68" s="508"/>
    </row>
    <row r="69" spans="1:19" ht="18.75">
      <c r="A69" s="802" t="s">
        <v>472</v>
      </c>
      <c r="B69" s="802"/>
      <c r="C69" s="802"/>
      <c r="D69" s="802"/>
      <c r="E69" s="802"/>
      <c r="F69" s="802"/>
      <c r="G69" s="802"/>
      <c r="H69" s="802"/>
      <c r="K69" s="802" t="s">
        <v>473</v>
      </c>
      <c r="L69" s="802"/>
      <c r="M69" s="802"/>
      <c r="N69" s="802"/>
      <c r="O69" s="802"/>
      <c r="P69" s="802"/>
      <c r="Q69" s="802"/>
      <c r="R69" s="802"/>
      <c r="S69" s="802"/>
    </row>
    <row r="70" spans="1:19" ht="18.75">
      <c r="A70" s="509" t="s">
        <v>582</v>
      </c>
      <c r="K70" s="509" t="s">
        <v>451</v>
      </c>
      <c r="L70" s="509"/>
    </row>
    <row r="71" spans="1:19" ht="42">
      <c r="A71" s="505" t="s">
        <v>416</v>
      </c>
      <c r="K71" s="505" t="s">
        <v>449</v>
      </c>
      <c r="L71" s="505"/>
    </row>
    <row r="72" spans="1:19">
      <c r="A72" s="4" t="s">
        <v>2</v>
      </c>
      <c r="B72" s="710" t="s">
        <v>414</v>
      </c>
      <c r="C72" s="712"/>
      <c r="D72" s="710" t="s">
        <v>421</v>
      </c>
      <c r="E72" s="711"/>
      <c r="F72" s="711"/>
      <c r="G72" s="711"/>
      <c r="H72" s="712"/>
      <c r="K72" s="4" t="s">
        <v>2</v>
      </c>
      <c r="L72" s="533" t="s">
        <v>613</v>
      </c>
      <c r="M72" s="803" t="s">
        <v>450</v>
      </c>
      <c r="N72" s="803"/>
      <c r="O72" s="710" t="s">
        <v>448</v>
      </c>
      <c r="P72" s="711"/>
      <c r="Q72" s="711"/>
      <c r="R72" s="711"/>
      <c r="S72" s="712"/>
    </row>
    <row r="73" spans="1:19">
      <c r="A73" s="8" t="s">
        <v>417</v>
      </c>
      <c r="B73" s="44" t="s">
        <v>411</v>
      </c>
      <c r="C73" s="44" t="s">
        <v>412</v>
      </c>
      <c r="D73" s="510">
        <v>0.5</v>
      </c>
      <c r="E73" s="510">
        <v>0.55000000000000004</v>
      </c>
      <c r="F73" s="510">
        <v>0.65</v>
      </c>
      <c r="G73" s="510">
        <v>0.7</v>
      </c>
      <c r="H73" s="510">
        <v>0.8</v>
      </c>
      <c r="K73" s="8" t="s">
        <v>337</v>
      </c>
      <c r="L73" s="532" t="s">
        <v>612</v>
      </c>
      <c r="M73" s="44" t="s">
        <v>411</v>
      </c>
      <c r="N73" s="44" t="s">
        <v>412</v>
      </c>
      <c r="O73" s="510">
        <v>0.5</v>
      </c>
      <c r="P73" s="510">
        <v>0.55000000000000004</v>
      </c>
      <c r="Q73" s="510">
        <v>0.65</v>
      </c>
      <c r="R73" s="510">
        <v>0.7</v>
      </c>
      <c r="S73" s="510">
        <v>0.8</v>
      </c>
    </row>
    <row r="74" spans="1:19" ht="45">
      <c r="A74" s="396" t="s">
        <v>534</v>
      </c>
      <c r="B74" s="498">
        <f>RICON_Edelstahl!C123</f>
        <v>4.5</v>
      </c>
      <c r="C74" s="498">
        <f>RICON_Edelstahl!F123</f>
        <v>5.1804296195027444</v>
      </c>
      <c r="D74" s="498">
        <f t="shared" ref="D74:D97" si="7">MIN($B74/1,$C74*D$73/1.3)</f>
        <v>1.9924729305779785</v>
      </c>
      <c r="E74" s="498">
        <f t="shared" ref="E74:H89" si="8">MIN($B74/1,$C74*E$73/1.3)</f>
        <v>2.1917202236357767</v>
      </c>
      <c r="F74" s="498">
        <f t="shared" si="8"/>
        <v>2.5902148097513722</v>
      </c>
      <c r="G74" s="498">
        <f t="shared" si="8"/>
        <v>2.7894621028091695</v>
      </c>
      <c r="H74" s="498">
        <f t="shared" si="8"/>
        <v>3.1879566889247655</v>
      </c>
      <c r="K74" s="396" t="s">
        <v>535</v>
      </c>
      <c r="L74" s="523" t="s">
        <v>491</v>
      </c>
      <c r="M74" s="498">
        <f>RICON_Edelstahl!C123</f>
        <v>4.5</v>
      </c>
      <c r="N74" s="498">
        <f>RICON_Edelstahl!F123</f>
        <v>5.1804296195027444</v>
      </c>
      <c r="O74" s="498">
        <f t="shared" ref="O74:S83" si="9">MIN($B74/1,$C74*O$73/1.3)</f>
        <v>1.9924729305779785</v>
      </c>
      <c r="P74" s="498">
        <f t="shared" si="9"/>
        <v>2.1917202236357767</v>
      </c>
      <c r="Q74" s="498">
        <f t="shared" si="9"/>
        <v>2.5902148097513722</v>
      </c>
      <c r="R74" s="498">
        <f t="shared" si="9"/>
        <v>2.7894621028091695</v>
      </c>
      <c r="S74" s="498">
        <f t="shared" si="9"/>
        <v>3.1879566889247655</v>
      </c>
    </row>
    <row r="75" spans="1:19" ht="45">
      <c r="A75" s="396" t="s">
        <v>536</v>
      </c>
      <c r="B75" s="498">
        <f>RICON_Edelstahl!C124</f>
        <v>8.1999999999999993</v>
      </c>
      <c r="C75" s="498">
        <f>RICON_Edelstahl!F124</f>
        <v>7.5161100233272613</v>
      </c>
      <c r="D75" s="498">
        <f t="shared" si="7"/>
        <v>2.8908115474335618</v>
      </c>
      <c r="E75" s="498">
        <f t="shared" si="8"/>
        <v>3.1798927021769181</v>
      </c>
      <c r="F75" s="498">
        <f t="shared" si="8"/>
        <v>3.7580550116636311</v>
      </c>
      <c r="G75" s="498">
        <f t="shared" si="8"/>
        <v>4.0471361664069869</v>
      </c>
      <c r="H75" s="498">
        <f t="shared" si="8"/>
        <v>4.6252984758936995</v>
      </c>
      <c r="K75" s="396" t="s">
        <v>537</v>
      </c>
      <c r="L75" s="523" t="s">
        <v>494</v>
      </c>
      <c r="M75" s="498">
        <f>RICON_Edelstahl!C124</f>
        <v>8.1999999999999993</v>
      </c>
      <c r="N75" s="498">
        <f>RICON_Edelstahl!F124</f>
        <v>7.5161100233272613</v>
      </c>
      <c r="O75" s="498">
        <f t="shared" si="9"/>
        <v>2.8908115474335618</v>
      </c>
      <c r="P75" s="498">
        <f t="shared" si="9"/>
        <v>3.1798927021769181</v>
      </c>
      <c r="Q75" s="498">
        <f t="shared" si="9"/>
        <v>3.7580550116636311</v>
      </c>
      <c r="R75" s="498">
        <f t="shared" si="9"/>
        <v>4.0471361664069869</v>
      </c>
      <c r="S75" s="498">
        <f t="shared" si="9"/>
        <v>4.6252984758936995</v>
      </c>
    </row>
    <row r="76" spans="1:19" ht="45">
      <c r="A76" s="396" t="s">
        <v>538</v>
      </c>
      <c r="B76" s="498">
        <f>RICON_Edelstahl!C125</f>
        <v>10.4</v>
      </c>
      <c r="C76" s="498">
        <f>RICON_Edelstahl!F125</f>
        <v>10.360859239005489</v>
      </c>
      <c r="D76" s="498">
        <f t="shared" si="7"/>
        <v>3.9849458611559569</v>
      </c>
      <c r="E76" s="498">
        <f t="shared" si="8"/>
        <v>4.3834404472715534</v>
      </c>
      <c r="F76" s="498">
        <f t="shared" si="8"/>
        <v>5.1804296195027444</v>
      </c>
      <c r="G76" s="498">
        <f t="shared" si="8"/>
        <v>5.578924205618339</v>
      </c>
      <c r="H76" s="498">
        <f t="shared" si="8"/>
        <v>6.3759133778495309</v>
      </c>
      <c r="K76" s="396" t="s">
        <v>539</v>
      </c>
      <c r="L76" s="523" t="s">
        <v>495</v>
      </c>
      <c r="M76" s="498">
        <f>RICON_Edelstahl!C125</f>
        <v>10.4</v>
      </c>
      <c r="N76" s="498">
        <f>RICON_Edelstahl!F125</f>
        <v>10.360859239005489</v>
      </c>
      <c r="O76" s="498">
        <f t="shared" si="9"/>
        <v>3.9849458611559569</v>
      </c>
      <c r="P76" s="498">
        <f t="shared" si="9"/>
        <v>4.3834404472715534</v>
      </c>
      <c r="Q76" s="498">
        <f t="shared" si="9"/>
        <v>5.1804296195027444</v>
      </c>
      <c r="R76" s="498">
        <f t="shared" si="9"/>
        <v>5.578924205618339</v>
      </c>
      <c r="S76" s="498">
        <f t="shared" si="9"/>
        <v>6.3759133778495309</v>
      </c>
    </row>
    <row r="77" spans="1:19" ht="45">
      <c r="A77" s="396" t="s">
        <v>540</v>
      </c>
      <c r="B77" s="498">
        <f>RICON_Edelstahl!C126</f>
        <v>13.4</v>
      </c>
      <c r="C77" s="498">
        <f>RICON_Edelstahl!F126</f>
        <v>13.205608454683714</v>
      </c>
      <c r="D77" s="498">
        <f t="shared" si="7"/>
        <v>5.0790801748783512</v>
      </c>
      <c r="E77" s="498">
        <f t="shared" si="8"/>
        <v>5.5869881923661877</v>
      </c>
      <c r="F77" s="498">
        <f t="shared" si="8"/>
        <v>6.6028042273418572</v>
      </c>
      <c r="G77" s="498">
        <f t="shared" si="8"/>
        <v>7.1107122448296911</v>
      </c>
      <c r="H77" s="498">
        <f t="shared" si="8"/>
        <v>8.1265282798053633</v>
      </c>
      <c r="K77" s="396" t="s">
        <v>541</v>
      </c>
      <c r="L77" s="523" t="s">
        <v>496</v>
      </c>
      <c r="M77" s="498">
        <f>RICON_Edelstahl!C126</f>
        <v>13.4</v>
      </c>
      <c r="N77" s="498">
        <f>RICON_Edelstahl!F126</f>
        <v>13.205608454683714</v>
      </c>
      <c r="O77" s="498">
        <f t="shared" si="9"/>
        <v>5.0790801748783512</v>
      </c>
      <c r="P77" s="498">
        <f t="shared" si="9"/>
        <v>5.5869881923661877</v>
      </c>
      <c r="Q77" s="498">
        <f t="shared" si="9"/>
        <v>6.6028042273418572</v>
      </c>
      <c r="R77" s="498">
        <f t="shared" si="9"/>
        <v>7.1107122448296911</v>
      </c>
      <c r="S77" s="498">
        <f t="shared" si="9"/>
        <v>8.1265282798053633</v>
      </c>
    </row>
    <row r="78" spans="1:19" ht="45">
      <c r="A78" s="396" t="s">
        <v>542</v>
      </c>
      <c r="B78" s="498">
        <f>RICON_Edelstahl!C127</f>
        <v>13.4</v>
      </c>
      <c r="C78" s="498">
        <f>RICON_Edelstahl!F127</f>
        <v>16.05035767036194</v>
      </c>
      <c r="D78" s="498">
        <f t="shared" si="7"/>
        <v>6.1732144886007463</v>
      </c>
      <c r="E78" s="498">
        <f t="shared" si="8"/>
        <v>6.7905359374608212</v>
      </c>
      <c r="F78" s="498">
        <f t="shared" si="8"/>
        <v>8.0251788351809701</v>
      </c>
      <c r="G78" s="498">
        <f t="shared" si="8"/>
        <v>8.6425002840410432</v>
      </c>
      <c r="H78" s="498">
        <f t="shared" si="8"/>
        <v>9.8771431817611948</v>
      </c>
      <c r="K78" s="396" t="s">
        <v>543</v>
      </c>
      <c r="L78" s="523" t="s">
        <v>497</v>
      </c>
      <c r="M78" s="498">
        <f>RICON_Edelstahl!C127</f>
        <v>13.4</v>
      </c>
      <c r="N78" s="498">
        <f>RICON_Edelstahl!F127</f>
        <v>16.05035767036194</v>
      </c>
      <c r="O78" s="498">
        <f t="shared" si="9"/>
        <v>6.1732144886007463</v>
      </c>
      <c r="P78" s="498">
        <f t="shared" si="9"/>
        <v>6.7905359374608212</v>
      </c>
      <c r="Q78" s="498">
        <f t="shared" si="9"/>
        <v>8.0251788351809701</v>
      </c>
      <c r="R78" s="498">
        <f t="shared" si="9"/>
        <v>8.6425002840410432</v>
      </c>
      <c r="S78" s="498">
        <f t="shared" si="9"/>
        <v>9.8771431817611948</v>
      </c>
    </row>
    <row r="79" spans="1:19" ht="45">
      <c r="A79" s="396" t="s">
        <v>544</v>
      </c>
      <c r="B79" s="498">
        <f>RICON_Edelstahl!C128</f>
        <v>13.4</v>
      </c>
      <c r="C79" s="498">
        <f>RICON_Edelstahl!F128</f>
        <v>18.895106886040168</v>
      </c>
      <c r="D79" s="498">
        <f t="shared" si="7"/>
        <v>7.2673488023231414</v>
      </c>
      <c r="E79" s="498">
        <f t="shared" si="8"/>
        <v>7.9940836825554564</v>
      </c>
      <c r="F79" s="498">
        <f t="shared" si="8"/>
        <v>9.4475534430200838</v>
      </c>
      <c r="G79" s="498">
        <f t="shared" si="8"/>
        <v>10.174288323252396</v>
      </c>
      <c r="H79" s="498">
        <f t="shared" si="8"/>
        <v>11.627758083717026</v>
      </c>
      <c r="K79" s="396" t="s">
        <v>545</v>
      </c>
      <c r="L79" s="523" t="s">
        <v>482</v>
      </c>
      <c r="M79" s="498">
        <f>RICON_Edelstahl!C128</f>
        <v>13.4</v>
      </c>
      <c r="N79" s="498">
        <f>RICON_Edelstahl!F128</f>
        <v>18.895106886040168</v>
      </c>
      <c r="O79" s="498">
        <f t="shared" si="9"/>
        <v>7.2673488023231414</v>
      </c>
      <c r="P79" s="498">
        <f t="shared" si="9"/>
        <v>7.9940836825554564</v>
      </c>
      <c r="Q79" s="498">
        <f t="shared" si="9"/>
        <v>9.4475534430200838</v>
      </c>
      <c r="R79" s="498">
        <f t="shared" si="9"/>
        <v>10.174288323252396</v>
      </c>
      <c r="S79" s="498">
        <f t="shared" si="9"/>
        <v>11.627758083717026</v>
      </c>
    </row>
    <row r="80" spans="1:19" ht="45">
      <c r="A80" s="396" t="s">
        <v>546</v>
      </c>
      <c r="B80" s="498">
        <f>RICON_Edelstahl!C129</f>
        <v>8.1999999999999993</v>
      </c>
      <c r="C80" s="498">
        <f>RICON_Edelstahl!F129</f>
        <v>12.696539642830006</v>
      </c>
      <c r="D80" s="498">
        <f t="shared" si="7"/>
        <v>4.8832844780115403</v>
      </c>
      <c r="E80" s="498">
        <f t="shared" si="8"/>
        <v>5.3716129258126948</v>
      </c>
      <c r="F80" s="498">
        <f t="shared" si="8"/>
        <v>6.3482698214150037</v>
      </c>
      <c r="G80" s="498">
        <f t="shared" si="8"/>
        <v>6.8365982692161564</v>
      </c>
      <c r="H80" s="498">
        <f t="shared" si="8"/>
        <v>7.8132551648184654</v>
      </c>
      <c r="K80" s="396" t="s">
        <v>547</v>
      </c>
      <c r="L80" s="523" t="s">
        <v>482</v>
      </c>
      <c r="M80" s="498">
        <f>RICON_Edelstahl!C129</f>
        <v>8.1999999999999993</v>
      </c>
      <c r="N80" s="498">
        <f>RICON_Edelstahl!F129</f>
        <v>12.696539642830006</v>
      </c>
      <c r="O80" s="498">
        <f t="shared" si="9"/>
        <v>4.8832844780115403</v>
      </c>
      <c r="P80" s="498">
        <f t="shared" si="9"/>
        <v>5.3716129258126948</v>
      </c>
      <c r="Q80" s="498">
        <f t="shared" si="9"/>
        <v>6.3482698214150037</v>
      </c>
      <c r="R80" s="498">
        <f t="shared" si="9"/>
        <v>6.8365982692161564</v>
      </c>
      <c r="S80" s="498">
        <f t="shared" si="9"/>
        <v>7.8132551648184654</v>
      </c>
    </row>
    <row r="81" spans="1:19" ht="45">
      <c r="A81" s="396" t="s">
        <v>548</v>
      </c>
      <c r="B81" s="498">
        <f>RICON_Edelstahl!C130</f>
        <v>10.4</v>
      </c>
      <c r="C81" s="498">
        <f>RICON_Edelstahl!F130</f>
        <v>18.386038074186459</v>
      </c>
      <c r="D81" s="498">
        <f t="shared" si="7"/>
        <v>7.0715531054563296</v>
      </c>
      <c r="E81" s="498">
        <f t="shared" si="8"/>
        <v>7.7787084160019635</v>
      </c>
      <c r="F81" s="498">
        <f t="shared" si="8"/>
        <v>9.1930190370932294</v>
      </c>
      <c r="G81" s="498">
        <f t="shared" si="8"/>
        <v>9.9001743476388615</v>
      </c>
      <c r="H81" s="498">
        <f t="shared" si="8"/>
        <v>10.4</v>
      </c>
      <c r="K81" s="396" t="s">
        <v>549</v>
      </c>
      <c r="L81" s="523" t="s">
        <v>483</v>
      </c>
      <c r="M81" s="498">
        <f>RICON_Edelstahl!C130</f>
        <v>10.4</v>
      </c>
      <c r="N81" s="498">
        <f>RICON_Edelstahl!F130</f>
        <v>18.386038074186459</v>
      </c>
      <c r="O81" s="498">
        <f t="shared" si="9"/>
        <v>7.0715531054563296</v>
      </c>
      <c r="P81" s="498">
        <f t="shared" si="9"/>
        <v>7.7787084160019635</v>
      </c>
      <c r="Q81" s="498">
        <f t="shared" si="9"/>
        <v>9.1930190370932294</v>
      </c>
      <c r="R81" s="498">
        <f t="shared" si="9"/>
        <v>9.9001743476388615</v>
      </c>
      <c r="S81" s="498">
        <f t="shared" si="9"/>
        <v>10.4</v>
      </c>
    </row>
    <row r="82" spans="1:19" ht="45">
      <c r="A82" s="396" t="s">
        <v>550</v>
      </c>
      <c r="B82" s="498">
        <f>RICON_Edelstahl!C131</f>
        <v>13.4</v>
      </c>
      <c r="C82" s="498">
        <f>RICON_Edelstahl!F131</f>
        <v>24.07553650554291</v>
      </c>
      <c r="D82" s="498">
        <f t="shared" si="7"/>
        <v>9.2598217329011199</v>
      </c>
      <c r="E82" s="498">
        <f t="shared" si="8"/>
        <v>10.185803906191232</v>
      </c>
      <c r="F82" s="498">
        <f t="shared" si="8"/>
        <v>12.037768252771455</v>
      </c>
      <c r="G82" s="498">
        <f t="shared" si="8"/>
        <v>12.963750426061566</v>
      </c>
      <c r="H82" s="498">
        <f t="shared" si="8"/>
        <v>13.4</v>
      </c>
      <c r="K82" s="396" t="s">
        <v>551</v>
      </c>
      <c r="L82" s="523" t="s">
        <v>484</v>
      </c>
      <c r="M82" s="498">
        <f>RICON_Edelstahl!C131</f>
        <v>13.4</v>
      </c>
      <c r="N82" s="498">
        <f>RICON_Edelstahl!F131</f>
        <v>24.07553650554291</v>
      </c>
      <c r="O82" s="498">
        <f t="shared" si="9"/>
        <v>9.2598217329011199</v>
      </c>
      <c r="P82" s="498">
        <f t="shared" si="9"/>
        <v>10.185803906191232</v>
      </c>
      <c r="Q82" s="498">
        <f t="shared" si="9"/>
        <v>12.037768252771455</v>
      </c>
      <c r="R82" s="498">
        <f t="shared" si="9"/>
        <v>12.963750426061566</v>
      </c>
      <c r="S82" s="498">
        <f t="shared" si="9"/>
        <v>13.4</v>
      </c>
    </row>
    <row r="83" spans="1:19" ht="45">
      <c r="A83" s="396" t="s">
        <v>552</v>
      </c>
      <c r="B83" s="498">
        <f>RICON_Edelstahl!C132</f>
        <v>13.4</v>
      </c>
      <c r="C83" s="498">
        <f>RICON_Edelstahl!F132</f>
        <v>29.765034936899362</v>
      </c>
      <c r="D83" s="498">
        <f t="shared" si="7"/>
        <v>11.448090360345908</v>
      </c>
      <c r="E83" s="498">
        <f t="shared" si="8"/>
        <v>12.592899396380501</v>
      </c>
      <c r="F83" s="498">
        <f t="shared" si="8"/>
        <v>13.4</v>
      </c>
      <c r="G83" s="498">
        <f t="shared" si="8"/>
        <v>13.4</v>
      </c>
      <c r="H83" s="498">
        <f t="shared" si="8"/>
        <v>13.4</v>
      </c>
      <c r="K83" s="396" t="s">
        <v>553</v>
      </c>
      <c r="L83" s="523" t="s">
        <v>485</v>
      </c>
      <c r="M83" s="498">
        <f>RICON_Edelstahl!C132</f>
        <v>13.4</v>
      </c>
      <c r="N83" s="498">
        <f>RICON_Edelstahl!F132</f>
        <v>29.765034936899362</v>
      </c>
      <c r="O83" s="498">
        <f t="shared" si="9"/>
        <v>11.448090360345908</v>
      </c>
      <c r="P83" s="498">
        <f t="shared" si="9"/>
        <v>12.592899396380501</v>
      </c>
      <c r="Q83" s="498">
        <f t="shared" si="9"/>
        <v>13.4</v>
      </c>
      <c r="R83" s="498">
        <f t="shared" si="9"/>
        <v>13.4</v>
      </c>
      <c r="S83" s="498">
        <f t="shared" si="9"/>
        <v>13.4</v>
      </c>
    </row>
    <row r="84" spans="1:19" ht="45.75" thickBot="1">
      <c r="A84" s="438" t="s">
        <v>554</v>
      </c>
      <c r="B84" s="500">
        <f>RICON_Edelstahl!C133</f>
        <v>13.4</v>
      </c>
      <c r="C84" s="500">
        <f>RICON_Edelstahl!F133</f>
        <v>35.454533368255817</v>
      </c>
      <c r="D84" s="500">
        <f t="shared" si="7"/>
        <v>13.4</v>
      </c>
      <c r="E84" s="500">
        <f t="shared" si="8"/>
        <v>13.4</v>
      </c>
      <c r="F84" s="500">
        <f t="shared" si="8"/>
        <v>13.4</v>
      </c>
      <c r="G84" s="500">
        <f t="shared" si="8"/>
        <v>13.4</v>
      </c>
      <c r="H84" s="500">
        <f t="shared" si="8"/>
        <v>13.4</v>
      </c>
      <c r="K84" s="438" t="s">
        <v>555</v>
      </c>
      <c r="L84" s="535" t="s">
        <v>486</v>
      </c>
      <c r="M84" s="500">
        <f>RICON_Edelstahl!C133</f>
        <v>13.4</v>
      </c>
      <c r="N84" s="500">
        <f>RICON_Edelstahl!F133</f>
        <v>35.454533368255817</v>
      </c>
      <c r="O84" s="500">
        <f t="shared" ref="O84:S97" si="10">MIN($B84/1,$C84*O$73/1.3)</f>
        <v>13.4</v>
      </c>
      <c r="P84" s="500">
        <f t="shared" si="10"/>
        <v>13.4</v>
      </c>
      <c r="Q84" s="500">
        <f t="shared" si="10"/>
        <v>13.4</v>
      </c>
      <c r="R84" s="500">
        <f t="shared" si="10"/>
        <v>13.4</v>
      </c>
      <c r="S84" s="500">
        <f t="shared" si="10"/>
        <v>13.4</v>
      </c>
    </row>
    <row r="85" spans="1:19" ht="45.75" thickTop="1">
      <c r="A85" s="411" t="s">
        <v>556</v>
      </c>
      <c r="B85" s="499">
        <f>RICON_Edelstahl!C134</f>
        <v>4.5</v>
      </c>
      <c r="C85" s="499">
        <f>RICON_Edelstahl!F134</f>
        <v>5.1804296195027444</v>
      </c>
      <c r="D85" s="499">
        <f t="shared" si="7"/>
        <v>1.9924729305779785</v>
      </c>
      <c r="E85" s="499">
        <f t="shared" si="8"/>
        <v>2.1917202236357767</v>
      </c>
      <c r="F85" s="499">
        <f t="shared" si="8"/>
        <v>2.5902148097513722</v>
      </c>
      <c r="G85" s="499">
        <f t="shared" si="8"/>
        <v>2.7894621028091695</v>
      </c>
      <c r="H85" s="499">
        <f t="shared" si="8"/>
        <v>3.1879566889247655</v>
      </c>
      <c r="K85" s="411" t="s">
        <v>557</v>
      </c>
      <c r="L85" s="523" t="s">
        <v>491</v>
      </c>
      <c r="M85" s="499">
        <f>RICON_Edelstahl!C134</f>
        <v>4.5</v>
      </c>
      <c r="N85" s="499">
        <f>RICON_Edelstahl!F134</f>
        <v>5.1804296195027444</v>
      </c>
      <c r="O85" s="499">
        <f t="shared" si="10"/>
        <v>1.9924729305779785</v>
      </c>
      <c r="P85" s="499">
        <f t="shared" si="10"/>
        <v>2.1917202236357767</v>
      </c>
      <c r="Q85" s="499">
        <f t="shared" si="10"/>
        <v>2.5902148097513722</v>
      </c>
      <c r="R85" s="499">
        <f t="shared" si="10"/>
        <v>2.7894621028091695</v>
      </c>
      <c r="S85" s="499">
        <f t="shared" si="10"/>
        <v>3.1879566889247655</v>
      </c>
    </row>
    <row r="86" spans="1:19" ht="45">
      <c r="A86" s="396" t="s">
        <v>558</v>
      </c>
      <c r="B86" s="498">
        <f>RICON_Edelstahl!C135</f>
        <v>8.1999999999999993</v>
      </c>
      <c r="C86" s="498">
        <f>RICON_Edelstahl!F135</f>
        <v>7.5161100233272613</v>
      </c>
      <c r="D86" s="498">
        <f t="shared" si="7"/>
        <v>2.8908115474335618</v>
      </c>
      <c r="E86" s="498">
        <f t="shared" si="8"/>
        <v>3.1798927021769181</v>
      </c>
      <c r="F86" s="498">
        <f t="shared" si="8"/>
        <v>3.7580550116636311</v>
      </c>
      <c r="G86" s="498">
        <f t="shared" si="8"/>
        <v>4.0471361664069869</v>
      </c>
      <c r="H86" s="498">
        <f t="shared" si="8"/>
        <v>4.6252984758936995</v>
      </c>
      <c r="K86" s="396" t="s">
        <v>559</v>
      </c>
      <c r="L86" s="523" t="s">
        <v>494</v>
      </c>
      <c r="M86" s="498">
        <f>RICON_Edelstahl!C135</f>
        <v>8.1999999999999993</v>
      </c>
      <c r="N86" s="498">
        <f>RICON_Edelstahl!F135</f>
        <v>7.5161100233272613</v>
      </c>
      <c r="O86" s="498">
        <f t="shared" si="10"/>
        <v>2.8908115474335618</v>
      </c>
      <c r="P86" s="498">
        <f t="shared" si="10"/>
        <v>3.1798927021769181</v>
      </c>
      <c r="Q86" s="498">
        <f t="shared" si="10"/>
        <v>3.7580550116636311</v>
      </c>
      <c r="R86" s="498">
        <f t="shared" si="10"/>
        <v>4.0471361664069869</v>
      </c>
      <c r="S86" s="498">
        <f t="shared" si="10"/>
        <v>4.6252984758936995</v>
      </c>
    </row>
    <row r="87" spans="1:19" ht="45">
      <c r="A87" s="396" t="s">
        <v>560</v>
      </c>
      <c r="B87" s="498">
        <f>RICON_Edelstahl!C136</f>
        <v>10.4</v>
      </c>
      <c r="C87" s="498">
        <f>RICON_Edelstahl!F136</f>
        <v>10.360859239005489</v>
      </c>
      <c r="D87" s="498">
        <f t="shared" si="7"/>
        <v>3.9849458611559569</v>
      </c>
      <c r="E87" s="498">
        <f t="shared" si="8"/>
        <v>4.3834404472715534</v>
      </c>
      <c r="F87" s="498">
        <f t="shared" si="8"/>
        <v>5.1804296195027444</v>
      </c>
      <c r="G87" s="498">
        <f t="shared" si="8"/>
        <v>5.578924205618339</v>
      </c>
      <c r="H87" s="498">
        <f t="shared" si="8"/>
        <v>6.3759133778495309</v>
      </c>
      <c r="K87" s="396" t="s">
        <v>561</v>
      </c>
      <c r="L87" s="523" t="s">
        <v>495</v>
      </c>
      <c r="M87" s="498">
        <f>RICON_Edelstahl!C136</f>
        <v>10.4</v>
      </c>
      <c r="N87" s="498">
        <f>RICON_Edelstahl!F136</f>
        <v>10.360859239005489</v>
      </c>
      <c r="O87" s="498">
        <f t="shared" si="10"/>
        <v>3.9849458611559569</v>
      </c>
      <c r="P87" s="498">
        <f t="shared" si="10"/>
        <v>4.3834404472715534</v>
      </c>
      <c r="Q87" s="498">
        <f t="shared" si="10"/>
        <v>5.1804296195027444</v>
      </c>
      <c r="R87" s="498">
        <f t="shared" si="10"/>
        <v>5.578924205618339</v>
      </c>
      <c r="S87" s="498">
        <f t="shared" si="10"/>
        <v>6.3759133778495309</v>
      </c>
    </row>
    <row r="88" spans="1:19" ht="45">
      <c r="A88" s="396" t="s">
        <v>562</v>
      </c>
      <c r="B88" s="498">
        <f>RICON_Edelstahl!C137</f>
        <v>13.4</v>
      </c>
      <c r="C88" s="498">
        <f>RICON_Edelstahl!F137</f>
        <v>13.205608454683714</v>
      </c>
      <c r="D88" s="498">
        <f t="shared" si="7"/>
        <v>5.0790801748783512</v>
      </c>
      <c r="E88" s="498">
        <f t="shared" si="8"/>
        <v>5.5869881923661877</v>
      </c>
      <c r="F88" s="498">
        <f t="shared" si="8"/>
        <v>6.6028042273418572</v>
      </c>
      <c r="G88" s="498">
        <f t="shared" si="8"/>
        <v>7.1107122448296911</v>
      </c>
      <c r="H88" s="498">
        <f t="shared" si="8"/>
        <v>8.1265282798053633</v>
      </c>
      <c r="K88" s="396" t="s">
        <v>563</v>
      </c>
      <c r="L88" s="523" t="s">
        <v>496</v>
      </c>
      <c r="M88" s="498">
        <f>RICON_Edelstahl!C137</f>
        <v>13.4</v>
      </c>
      <c r="N88" s="498">
        <f>RICON_Edelstahl!F137</f>
        <v>13.205608454683714</v>
      </c>
      <c r="O88" s="498">
        <f t="shared" si="10"/>
        <v>5.0790801748783512</v>
      </c>
      <c r="P88" s="498">
        <f t="shared" si="10"/>
        <v>5.5869881923661877</v>
      </c>
      <c r="Q88" s="498">
        <f t="shared" si="10"/>
        <v>6.6028042273418572</v>
      </c>
      <c r="R88" s="498">
        <f t="shared" si="10"/>
        <v>7.1107122448296911</v>
      </c>
      <c r="S88" s="498">
        <f t="shared" si="10"/>
        <v>8.1265282798053633</v>
      </c>
    </row>
    <row r="89" spans="1:19" ht="45">
      <c r="A89" s="396" t="s">
        <v>564</v>
      </c>
      <c r="B89" s="498">
        <f>RICON_Edelstahl!C138</f>
        <v>13.4</v>
      </c>
      <c r="C89" s="498">
        <f>RICON_Edelstahl!F138</f>
        <v>16.05035767036194</v>
      </c>
      <c r="D89" s="498">
        <f t="shared" si="7"/>
        <v>6.1732144886007463</v>
      </c>
      <c r="E89" s="498">
        <f t="shared" si="8"/>
        <v>6.7905359374608212</v>
      </c>
      <c r="F89" s="498">
        <f t="shared" si="8"/>
        <v>8.0251788351809701</v>
      </c>
      <c r="G89" s="498">
        <f t="shared" si="8"/>
        <v>8.6425002840410432</v>
      </c>
      <c r="H89" s="498">
        <f t="shared" si="8"/>
        <v>9.8771431817611948</v>
      </c>
      <c r="K89" s="396" t="s">
        <v>565</v>
      </c>
      <c r="L89" s="523" t="s">
        <v>497</v>
      </c>
      <c r="M89" s="498">
        <f>RICON_Edelstahl!C138</f>
        <v>13.4</v>
      </c>
      <c r="N89" s="498">
        <f>RICON_Edelstahl!F138</f>
        <v>16.05035767036194</v>
      </c>
      <c r="O89" s="498">
        <f t="shared" si="10"/>
        <v>6.1732144886007463</v>
      </c>
      <c r="P89" s="498">
        <f t="shared" si="10"/>
        <v>6.7905359374608212</v>
      </c>
      <c r="Q89" s="498">
        <f t="shared" si="10"/>
        <v>8.0251788351809701</v>
      </c>
      <c r="R89" s="498">
        <f t="shared" si="10"/>
        <v>8.6425002840410432</v>
      </c>
      <c r="S89" s="498">
        <f t="shared" si="10"/>
        <v>9.8771431817611948</v>
      </c>
    </row>
    <row r="90" spans="1:19" ht="45">
      <c r="A90" s="396" t="s">
        <v>566</v>
      </c>
      <c r="B90" s="498">
        <f>RICON_Edelstahl!C139</f>
        <v>13.4</v>
      </c>
      <c r="C90" s="498">
        <f>RICON_Edelstahl!F139</f>
        <v>18.895106886040168</v>
      </c>
      <c r="D90" s="498">
        <f t="shared" si="7"/>
        <v>7.2673488023231414</v>
      </c>
      <c r="E90" s="498">
        <f t="shared" ref="E90:H97" si="11">MIN($B90/1,$C90*E$73/1.3)</f>
        <v>7.9940836825554564</v>
      </c>
      <c r="F90" s="498">
        <f t="shared" si="11"/>
        <v>9.4475534430200838</v>
      </c>
      <c r="G90" s="498">
        <f t="shared" si="11"/>
        <v>10.174288323252396</v>
      </c>
      <c r="H90" s="498">
        <f t="shared" si="11"/>
        <v>11.627758083717026</v>
      </c>
      <c r="K90" s="396" t="s">
        <v>567</v>
      </c>
      <c r="L90" s="523" t="s">
        <v>482</v>
      </c>
      <c r="M90" s="498">
        <f>RICON_Edelstahl!C139</f>
        <v>13.4</v>
      </c>
      <c r="N90" s="498">
        <f>RICON_Edelstahl!F139</f>
        <v>18.895106886040168</v>
      </c>
      <c r="O90" s="498">
        <f t="shared" si="10"/>
        <v>7.2673488023231414</v>
      </c>
      <c r="P90" s="498">
        <f t="shared" si="10"/>
        <v>7.9940836825554564</v>
      </c>
      <c r="Q90" s="498">
        <f t="shared" si="10"/>
        <v>9.4475534430200838</v>
      </c>
      <c r="R90" s="498">
        <f t="shared" si="10"/>
        <v>10.174288323252396</v>
      </c>
      <c r="S90" s="498">
        <f t="shared" si="10"/>
        <v>11.627758083717026</v>
      </c>
    </row>
    <row r="91" spans="1:19" ht="45">
      <c r="A91" s="396" t="s">
        <v>568</v>
      </c>
      <c r="B91" s="498">
        <f>RICON_Edelstahl!C140</f>
        <v>8.1999999999999993</v>
      </c>
      <c r="C91" s="498">
        <f>RICON_Edelstahl!F140</f>
        <v>12.696539642830006</v>
      </c>
      <c r="D91" s="498">
        <f t="shared" si="7"/>
        <v>4.8832844780115403</v>
      </c>
      <c r="E91" s="498">
        <f t="shared" si="11"/>
        <v>5.3716129258126948</v>
      </c>
      <c r="F91" s="498">
        <f t="shared" si="11"/>
        <v>6.3482698214150037</v>
      </c>
      <c r="G91" s="498">
        <f t="shared" si="11"/>
        <v>6.8365982692161564</v>
      </c>
      <c r="H91" s="498">
        <f t="shared" si="11"/>
        <v>7.8132551648184654</v>
      </c>
      <c r="K91" s="396" t="s">
        <v>569</v>
      </c>
      <c r="L91" s="523" t="s">
        <v>482</v>
      </c>
      <c r="M91" s="498">
        <f>RICON_Edelstahl!C140</f>
        <v>8.1999999999999993</v>
      </c>
      <c r="N91" s="498">
        <f>RICON_Edelstahl!F140</f>
        <v>12.696539642830006</v>
      </c>
      <c r="O91" s="498">
        <f t="shared" si="10"/>
        <v>4.8832844780115403</v>
      </c>
      <c r="P91" s="498">
        <f t="shared" si="10"/>
        <v>5.3716129258126948</v>
      </c>
      <c r="Q91" s="498">
        <f t="shared" si="10"/>
        <v>6.3482698214150037</v>
      </c>
      <c r="R91" s="498">
        <f t="shared" si="10"/>
        <v>6.8365982692161564</v>
      </c>
      <c r="S91" s="498">
        <f t="shared" si="10"/>
        <v>7.8132551648184654</v>
      </c>
    </row>
    <row r="92" spans="1:19" ht="45">
      <c r="A92" s="396" t="s">
        <v>570</v>
      </c>
      <c r="B92" s="498">
        <f>RICON_Edelstahl!C141</f>
        <v>10.4</v>
      </c>
      <c r="C92" s="498">
        <f>RICON_Edelstahl!F141</f>
        <v>18.386038074186459</v>
      </c>
      <c r="D92" s="498">
        <f t="shared" si="7"/>
        <v>7.0715531054563296</v>
      </c>
      <c r="E92" s="498">
        <f t="shared" si="11"/>
        <v>7.7787084160019635</v>
      </c>
      <c r="F92" s="498">
        <f t="shared" si="11"/>
        <v>9.1930190370932294</v>
      </c>
      <c r="G92" s="498">
        <f t="shared" si="11"/>
        <v>9.9001743476388615</v>
      </c>
      <c r="H92" s="498">
        <f t="shared" si="11"/>
        <v>10.4</v>
      </c>
      <c r="K92" s="396" t="s">
        <v>571</v>
      </c>
      <c r="L92" s="523" t="s">
        <v>483</v>
      </c>
      <c r="M92" s="498">
        <f>RICON_Edelstahl!C141</f>
        <v>10.4</v>
      </c>
      <c r="N92" s="498">
        <f>RICON_Edelstahl!F141</f>
        <v>18.386038074186459</v>
      </c>
      <c r="O92" s="498">
        <f t="shared" si="10"/>
        <v>7.0715531054563296</v>
      </c>
      <c r="P92" s="498">
        <f t="shared" si="10"/>
        <v>7.7787084160019635</v>
      </c>
      <c r="Q92" s="498">
        <f t="shared" si="10"/>
        <v>9.1930190370932294</v>
      </c>
      <c r="R92" s="498">
        <f t="shared" si="10"/>
        <v>9.9001743476388615</v>
      </c>
      <c r="S92" s="498">
        <f t="shared" si="10"/>
        <v>10.4</v>
      </c>
    </row>
    <row r="93" spans="1:19" ht="45">
      <c r="A93" s="396" t="s">
        <v>572</v>
      </c>
      <c r="B93" s="498">
        <f>RICON_Edelstahl!C142</f>
        <v>13.4</v>
      </c>
      <c r="C93" s="498">
        <f>RICON_Edelstahl!F142</f>
        <v>24.07553650554291</v>
      </c>
      <c r="D93" s="498">
        <f t="shared" si="7"/>
        <v>9.2598217329011199</v>
      </c>
      <c r="E93" s="498">
        <f t="shared" si="11"/>
        <v>10.185803906191232</v>
      </c>
      <c r="F93" s="498">
        <f t="shared" si="11"/>
        <v>12.037768252771455</v>
      </c>
      <c r="G93" s="498">
        <f t="shared" si="11"/>
        <v>12.963750426061566</v>
      </c>
      <c r="H93" s="498">
        <f t="shared" si="11"/>
        <v>13.4</v>
      </c>
      <c r="K93" s="396" t="s">
        <v>573</v>
      </c>
      <c r="L93" s="523" t="s">
        <v>484</v>
      </c>
      <c r="M93" s="498">
        <f>RICON_Edelstahl!C142</f>
        <v>13.4</v>
      </c>
      <c r="N93" s="498">
        <f>RICON_Edelstahl!F142</f>
        <v>24.07553650554291</v>
      </c>
      <c r="O93" s="498">
        <f t="shared" si="10"/>
        <v>9.2598217329011199</v>
      </c>
      <c r="P93" s="498">
        <f t="shared" si="10"/>
        <v>10.185803906191232</v>
      </c>
      <c r="Q93" s="498">
        <f t="shared" si="10"/>
        <v>12.037768252771455</v>
      </c>
      <c r="R93" s="498">
        <f t="shared" si="10"/>
        <v>12.963750426061566</v>
      </c>
      <c r="S93" s="498">
        <f t="shared" si="10"/>
        <v>13.4</v>
      </c>
    </row>
    <row r="94" spans="1:19" ht="45">
      <c r="A94" s="396" t="s">
        <v>574</v>
      </c>
      <c r="B94" s="498">
        <f>RICON_Edelstahl!C143</f>
        <v>13.4</v>
      </c>
      <c r="C94" s="498">
        <f>RICON_Edelstahl!F143</f>
        <v>29.765034936899362</v>
      </c>
      <c r="D94" s="498">
        <f t="shared" si="7"/>
        <v>11.448090360345908</v>
      </c>
      <c r="E94" s="498">
        <f t="shared" si="11"/>
        <v>12.592899396380501</v>
      </c>
      <c r="F94" s="498">
        <f t="shared" si="11"/>
        <v>13.4</v>
      </c>
      <c r="G94" s="498">
        <f t="shared" si="11"/>
        <v>13.4</v>
      </c>
      <c r="H94" s="498">
        <f t="shared" si="11"/>
        <v>13.4</v>
      </c>
      <c r="K94" s="396" t="s">
        <v>575</v>
      </c>
      <c r="L94" s="523" t="s">
        <v>485</v>
      </c>
      <c r="M94" s="498">
        <f>RICON_Edelstahl!C143</f>
        <v>13.4</v>
      </c>
      <c r="N94" s="498">
        <f>RICON_Edelstahl!F143</f>
        <v>29.765034936899362</v>
      </c>
      <c r="O94" s="498">
        <f t="shared" si="10"/>
        <v>11.448090360345908</v>
      </c>
      <c r="P94" s="498">
        <f t="shared" si="10"/>
        <v>12.592899396380501</v>
      </c>
      <c r="Q94" s="498">
        <f t="shared" si="10"/>
        <v>13.4</v>
      </c>
      <c r="R94" s="498">
        <f t="shared" si="10"/>
        <v>13.4</v>
      </c>
      <c r="S94" s="498">
        <f t="shared" si="10"/>
        <v>13.4</v>
      </c>
    </row>
    <row r="95" spans="1:19" ht="45.75" thickBot="1">
      <c r="A95" s="438" t="s">
        <v>576</v>
      </c>
      <c r="B95" s="500">
        <f>RICON_Edelstahl!C144</f>
        <v>13.4</v>
      </c>
      <c r="C95" s="500">
        <f>RICON_Edelstahl!F144</f>
        <v>35.454533368255817</v>
      </c>
      <c r="D95" s="500">
        <f t="shared" si="7"/>
        <v>13.4</v>
      </c>
      <c r="E95" s="500">
        <f t="shared" si="11"/>
        <v>13.4</v>
      </c>
      <c r="F95" s="500">
        <f t="shared" si="11"/>
        <v>13.4</v>
      </c>
      <c r="G95" s="500">
        <f t="shared" si="11"/>
        <v>13.4</v>
      </c>
      <c r="H95" s="500">
        <f t="shared" si="11"/>
        <v>13.4</v>
      </c>
      <c r="K95" s="438" t="s">
        <v>577</v>
      </c>
      <c r="L95" s="535" t="s">
        <v>486</v>
      </c>
      <c r="M95" s="500">
        <f>RICON_Edelstahl!C144</f>
        <v>13.4</v>
      </c>
      <c r="N95" s="500">
        <f>RICON_Edelstahl!F144</f>
        <v>35.454533368255817</v>
      </c>
      <c r="O95" s="500">
        <f t="shared" si="10"/>
        <v>13.4</v>
      </c>
      <c r="P95" s="500">
        <f t="shared" si="10"/>
        <v>13.4</v>
      </c>
      <c r="Q95" s="500">
        <f t="shared" si="10"/>
        <v>13.4</v>
      </c>
      <c r="R95" s="500">
        <f t="shared" si="10"/>
        <v>13.4</v>
      </c>
      <c r="S95" s="500">
        <f t="shared" si="10"/>
        <v>13.4</v>
      </c>
    </row>
    <row r="96" spans="1:19" ht="45.75" thickTop="1">
      <c r="A96" s="411" t="s">
        <v>578</v>
      </c>
      <c r="B96" s="499">
        <f>RICON_Edelstahl!C149</f>
        <v>3.7</v>
      </c>
      <c r="C96" s="499">
        <f>RICON_Edelstahl!F149</f>
        <v>5.0646478158177981</v>
      </c>
      <c r="D96" s="499">
        <f t="shared" si="7"/>
        <v>1.94794146762223</v>
      </c>
      <c r="E96" s="499">
        <f t="shared" si="11"/>
        <v>2.1427356143844531</v>
      </c>
      <c r="F96" s="499">
        <f t="shared" si="11"/>
        <v>2.5323239079088991</v>
      </c>
      <c r="G96" s="499">
        <f t="shared" si="11"/>
        <v>2.7271180546711218</v>
      </c>
      <c r="H96" s="499">
        <f t="shared" si="11"/>
        <v>3.1167063481955686</v>
      </c>
      <c r="K96" s="411" t="s">
        <v>579</v>
      </c>
      <c r="L96" s="534" t="s">
        <v>616</v>
      </c>
      <c r="M96" s="499">
        <f>RICON_Edelstahl!C149</f>
        <v>3.7</v>
      </c>
      <c r="N96" s="499">
        <f>RICON_Edelstahl!F149</f>
        <v>5.0646478158177981</v>
      </c>
      <c r="O96" s="499">
        <f t="shared" si="10"/>
        <v>1.94794146762223</v>
      </c>
      <c r="P96" s="499">
        <f t="shared" si="10"/>
        <v>2.1427356143844531</v>
      </c>
      <c r="Q96" s="499">
        <f t="shared" si="10"/>
        <v>2.5323239079088991</v>
      </c>
      <c r="R96" s="499">
        <f t="shared" si="10"/>
        <v>2.7271180546711218</v>
      </c>
      <c r="S96" s="499">
        <f t="shared" si="10"/>
        <v>3.1167063481955686</v>
      </c>
    </row>
    <row r="97" spans="1:19" ht="45">
      <c r="A97" s="411" t="s">
        <v>580</v>
      </c>
      <c r="B97" s="498">
        <f>RICON_Edelstahl!C150</f>
        <v>3.7</v>
      </c>
      <c r="C97" s="498">
        <f>RICON_Edelstahl!F150</f>
        <v>5.0646478158177981</v>
      </c>
      <c r="D97" s="498">
        <f t="shared" si="7"/>
        <v>1.94794146762223</v>
      </c>
      <c r="E97" s="498">
        <f t="shared" si="11"/>
        <v>2.1427356143844531</v>
      </c>
      <c r="F97" s="498">
        <f t="shared" si="11"/>
        <v>2.5323239079088991</v>
      </c>
      <c r="G97" s="498">
        <f t="shared" si="11"/>
        <v>2.7271180546711218</v>
      </c>
      <c r="H97" s="498">
        <f t="shared" si="11"/>
        <v>3.1167063481955686</v>
      </c>
      <c r="K97" s="411" t="s">
        <v>581</v>
      </c>
      <c r="L97" s="534" t="s">
        <v>615</v>
      </c>
      <c r="M97" s="498">
        <f>RICON_Edelstahl!C150</f>
        <v>3.7</v>
      </c>
      <c r="N97" s="498">
        <f>RICON_Edelstahl!F150</f>
        <v>5.0646478158177981</v>
      </c>
      <c r="O97" s="498">
        <f t="shared" si="10"/>
        <v>1.94794146762223</v>
      </c>
      <c r="P97" s="498">
        <f t="shared" si="10"/>
        <v>2.1427356143844531</v>
      </c>
      <c r="Q97" s="498">
        <f t="shared" si="10"/>
        <v>2.5323239079088991</v>
      </c>
      <c r="R97" s="498">
        <f t="shared" si="10"/>
        <v>2.7271180546711218</v>
      </c>
      <c r="S97" s="498">
        <f t="shared" si="10"/>
        <v>3.1167063481955686</v>
      </c>
    </row>
    <row r="98" spans="1:19">
      <c r="A98" s="418"/>
      <c r="B98" s="508"/>
      <c r="C98" s="508"/>
      <c r="D98" s="508"/>
      <c r="E98" s="508"/>
      <c r="F98" s="508"/>
      <c r="G98" s="508"/>
      <c r="H98" s="508"/>
      <c r="K98" s="418"/>
      <c r="L98" s="418"/>
      <c r="M98" s="508"/>
      <c r="N98" s="508"/>
      <c r="O98" s="508"/>
      <c r="P98" s="508"/>
      <c r="Q98" s="508"/>
      <c r="R98" s="508"/>
      <c r="S98" s="508"/>
    </row>
    <row r="99" spans="1:19">
      <c r="A99" s="418"/>
      <c r="B99" s="508"/>
      <c r="C99" s="508"/>
      <c r="D99" s="508"/>
      <c r="E99" s="508"/>
      <c r="F99" s="508"/>
      <c r="G99" s="508"/>
      <c r="H99" s="508"/>
      <c r="K99" s="418"/>
      <c r="L99" s="418"/>
      <c r="M99" s="508"/>
      <c r="N99" s="508"/>
      <c r="O99" s="508"/>
      <c r="P99" s="508"/>
      <c r="Q99" s="508"/>
      <c r="R99" s="508"/>
      <c r="S99" s="508"/>
    </row>
    <row r="100" spans="1:19" ht="18.75">
      <c r="A100" s="802" t="s">
        <v>472</v>
      </c>
      <c r="B100" s="802"/>
      <c r="C100" s="802"/>
      <c r="D100" s="802"/>
      <c r="E100" s="802"/>
      <c r="F100" s="802"/>
      <c r="G100" s="802"/>
      <c r="H100" s="802"/>
      <c r="K100" s="802" t="s">
        <v>473</v>
      </c>
      <c r="L100" s="802"/>
      <c r="M100" s="802"/>
      <c r="N100" s="802"/>
      <c r="O100" s="802"/>
      <c r="P100" s="802"/>
      <c r="Q100" s="802"/>
      <c r="R100" s="802"/>
      <c r="S100" s="802"/>
    </row>
    <row r="101" spans="1:19" ht="18.75">
      <c r="A101" s="509" t="s">
        <v>507</v>
      </c>
      <c r="K101" s="509" t="s">
        <v>445</v>
      </c>
      <c r="L101" s="509"/>
    </row>
    <row r="102" spans="1:19" ht="18.75">
      <c r="A102" s="509"/>
      <c r="K102" s="509"/>
      <c r="L102" s="509"/>
    </row>
    <row r="103" spans="1:19" ht="18.75">
      <c r="A103" s="509"/>
      <c r="K103" s="509"/>
      <c r="L103" s="509"/>
    </row>
    <row r="104" spans="1:19" ht="18.75">
      <c r="A104" s="509"/>
      <c r="K104" s="509"/>
      <c r="L104" s="509"/>
    </row>
    <row r="105" spans="1:19" ht="18.75">
      <c r="A105" s="509"/>
      <c r="K105" s="509"/>
      <c r="L105" s="509"/>
    </row>
    <row r="106" spans="1:19" ht="18.75">
      <c r="A106" s="509"/>
      <c r="K106" s="509"/>
      <c r="L106" s="509"/>
    </row>
    <row r="107" spans="1:19" ht="18.75">
      <c r="A107" s="509"/>
      <c r="K107" s="509"/>
      <c r="L107" s="509"/>
    </row>
    <row r="108" spans="1:19" ht="18.75">
      <c r="A108" s="509"/>
      <c r="K108" s="509"/>
      <c r="L108" s="509"/>
    </row>
    <row r="109" spans="1:19" ht="21">
      <c r="A109" s="505" t="s">
        <v>415</v>
      </c>
      <c r="K109" s="505" t="s">
        <v>415</v>
      </c>
      <c r="L109" s="505"/>
    </row>
    <row r="110" spans="1:19" ht="15" customHeight="1">
      <c r="A110" s="4" t="s">
        <v>2</v>
      </c>
      <c r="B110" s="710" t="s">
        <v>414</v>
      </c>
      <c r="C110" s="712"/>
      <c r="D110" s="710" t="s">
        <v>421</v>
      </c>
      <c r="E110" s="711"/>
      <c r="F110" s="711"/>
      <c r="G110" s="711"/>
      <c r="H110" s="712"/>
      <c r="K110" s="4" t="s">
        <v>2</v>
      </c>
      <c r="L110" s="533" t="s">
        <v>613</v>
      </c>
      <c r="M110" s="803" t="s">
        <v>450</v>
      </c>
      <c r="N110" s="803"/>
      <c r="O110" s="710" t="s">
        <v>448</v>
      </c>
      <c r="P110" s="711"/>
      <c r="Q110" s="711"/>
      <c r="R110" s="711"/>
      <c r="S110" s="712"/>
    </row>
    <row r="111" spans="1:19" ht="27.75" customHeight="1">
      <c r="A111" s="8"/>
      <c r="B111" s="44" t="s">
        <v>411</v>
      </c>
      <c r="C111" s="44" t="s">
        <v>412</v>
      </c>
      <c r="D111" s="95">
        <v>0.6</v>
      </c>
      <c r="E111" s="95">
        <v>0.7</v>
      </c>
      <c r="F111" s="95">
        <v>0.8</v>
      </c>
      <c r="G111" s="95">
        <v>0.9</v>
      </c>
      <c r="H111" s="95">
        <v>1</v>
      </c>
      <c r="K111" s="8"/>
      <c r="L111" s="532" t="s">
        <v>612</v>
      </c>
      <c r="M111" s="44" t="s">
        <v>411</v>
      </c>
      <c r="N111" s="44" t="s">
        <v>412</v>
      </c>
      <c r="O111" s="95">
        <v>0.6</v>
      </c>
      <c r="P111" s="95">
        <v>0.7</v>
      </c>
      <c r="Q111" s="95">
        <v>0.8</v>
      </c>
      <c r="R111" s="95">
        <v>0.9</v>
      </c>
      <c r="S111" s="95">
        <v>1</v>
      </c>
    </row>
    <row r="112" spans="1:19" ht="45">
      <c r="A112" s="68" t="s">
        <v>583</v>
      </c>
      <c r="B112" s="498">
        <f>'RICON_RICON-S-EK_GIGANT_WALCO '!C101</f>
        <v>17</v>
      </c>
      <c r="C112" s="498">
        <f>'RICON_RICON-S-EK_GIGANT_WALCO '!F101</f>
        <v>12.49450681193213</v>
      </c>
      <c r="D112" s="498">
        <f>MIN($B112/1,$C112*D$111/1.3)</f>
        <v>5.7666954516609827</v>
      </c>
      <c r="E112" s="498">
        <f t="shared" ref="E112:H116" si="12">MIN($B112/1,$C112*E$111/1.3)</f>
        <v>6.7278113602711462</v>
      </c>
      <c r="F112" s="498">
        <f t="shared" si="12"/>
        <v>7.6889272688813115</v>
      </c>
      <c r="G112" s="498">
        <f t="shared" si="12"/>
        <v>8.6500431774914741</v>
      </c>
      <c r="H112" s="498">
        <f t="shared" si="12"/>
        <v>9.6111590861016385</v>
      </c>
      <c r="K112" s="68" t="s">
        <v>584</v>
      </c>
      <c r="L112" s="525" t="s">
        <v>617</v>
      </c>
      <c r="M112" s="498">
        <f>'RICON_RICON-S-EK_GIGANT_WALCO '!C101</f>
        <v>17</v>
      </c>
      <c r="N112" s="498">
        <f>'RICON_RICON-S-EK_GIGANT_WALCO '!F101</f>
        <v>12.49450681193213</v>
      </c>
      <c r="O112" s="498">
        <f t="shared" ref="O112:S116" si="13">MIN($B112/1,$C112*O$111/1.3)</f>
        <v>5.7666954516609827</v>
      </c>
      <c r="P112" s="498">
        <f t="shared" si="13"/>
        <v>6.7278113602711462</v>
      </c>
      <c r="Q112" s="498">
        <f t="shared" si="13"/>
        <v>7.6889272688813115</v>
      </c>
      <c r="R112" s="498">
        <f t="shared" si="13"/>
        <v>8.6500431774914741</v>
      </c>
      <c r="S112" s="498">
        <f t="shared" si="13"/>
        <v>9.6111590861016385</v>
      </c>
    </row>
    <row r="113" spans="1:19" ht="60">
      <c r="A113" s="67" t="s">
        <v>585</v>
      </c>
      <c r="B113" s="498">
        <f>'RICON_RICON-S-EK_GIGANT_WALCO '!C103</f>
        <v>24</v>
      </c>
      <c r="C113" s="498">
        <f>'RICON_RICON-S-EK_GIGANT_WALCO '!F103</f>
        <v>16.659342415909506</v>
      </c>
      <c r="D113" s="498">
        <f>MIN($B113/1,$C113*D$111/1.3)</f>
        <v>7.6889272688813097</v>
      </c>
      <c r="E113" s="498">
        <f t="shared" si="12"/>
        <v>8.970415147028195</v>
      </c>
      <c r="F113" s="498">
        <f t="shared" si="12"/>
        <v>10.251903025175082</v>
      </c>
      <c r="G113" s="498">
        <f t="shared" si="12"/>
        <v>11.533390903321965</v>
      </c>
      <c r="H113" s="498">
        <f t="shared" si="12"/>
        <v>12.814878781468851</v>
      </c>
      <c r="K113" s="67" t="s">
        <v>586</v>
      </c>
      <c r="L113" s="525" t="s">
        <v>630</v>
      </c>
      <c r="M113" s="498">
        <f>'RICON_RICON-S-EK_GIGANT_WALCO '!C103</f>
        <v>24</v>
      </c>
      <c r="N113" s="498">
        <f>'RICON_RICON-S-EK_GIGANT_WALCO '!F103</f>
        <v>16.659342415909506</v>
      </c>
      <c r="O113" s="498">
        <f t="shared" si="13"/>
        <v>7.6889272688813097</v>
      </c>
      <c r="P113" s="498">
        <f t="shared" si="13"/>
        <v>8.970415147028195</v>
      </c>
      <c r="Q113" s="498">
        <f t="shared" si="13"/>
        <v>10.251903025175082</v>
      </c>
      <c r="R113" s="498">
        <f t="shared" si="13"/>
        <v>11.533390903321965</v>
      </c>
      <c r="S113" s="498">
        <f t="shared" si="13"/>
        <v>12.814878781468851</v>
      </c>
    </row>
    <row r="114" spans="1:19" ht="60">
      <c r="A114" s="67" t="s">
        <v>587</v>
      </c>
      <c r="B114" s="498">
        <f>'RICON_RICON-S-EK_GIGANT_WALCO '!C105</f>
        <v>24</v>
      </c>
      <c r="C114" s="498">
        <f>'RICON_RICON-S-EK_GIGANT_WALCO '!F105</f>
        <v>16.659342415909506</v>
      </c>
      <c r="D114" s="498">
        <f>MIN($B114/1,$C114*D$111/1.3)</f>
        <v>7.6889272688813097</v>
      </c>
      <c r="E114" s="498">
        <f t="shared" si="12"/>
        <v>8.970415147028195</v>
      </c>
      <c r="F114" s="498">
        <f t="shared" si="12"/>
        <v>10.251903025175082</v>
      </c>
      <c r="G114" s="498">
        <f t="shared" si="12"/>
        <v>11.533390903321965</v>
      </c>
      <c r="H114" s="498">
        <f t="shared" si="12"/>
        <v>12.814878781468851</v>
      </c>
      <c r="K114" s="67" t="s">
        <v>588</v>
      </c>
      <c r="L114" s="525" t="s">
        <v>631</v>
      </c>
      <c r="M114" s="498">
        <f>'RICON_RICON-S-EK_GIGANT_WALCO '!C105</f>
        <v>24</v>
      </c>
      <c r="N114" s="498">
        <f>'RICON_RICON-S-EK_GIGANT_WALCO '!F105</f>
        <v>16.659342415909506</v>
      </c>
      <c r="O114" s="498">
        <f t="shared" si="13"/>
        <v>7.6889272688813097</v>
      </c>
      <c r="P114" s="498">
        <f t="shared" si="13"/>
        <v>8.970415147028195</v>
      </c>
      <c r="Q114" s="498">
        <f t="shared" si="13"/>
        <v>10.251903025175082</v>
      </c>
      <c r="R114" s="498">
        <f t="shared" si="13"/>
        <v>11.533390903321965</v>
      </c>
      <c r="S114" s="498">
        <f t="shared" si="13"/>
        <v>12.814878781468851</v>
      </c>
    </row>
    <row r="115" spans="1:19" ht="60">
      <c r="A115" s="67" t="s">
        <v>589</v>
      </c>
      <c r="B115" s="498">
        <f>'RICON_RICON-S-EK_GIGANT_WALCO '!C106</f>
        <v>33</v>
      </c>
      <c r="C115" s="498">
        <f>'RICON_RICON-S-EK_GIGANT_WALCO '!F106</f>
        <v>24.98901362386426</v>
      </c>
      <c r="D115" s="498">
        <f>MIN($B115/1,$C115*D$111/1.3)</f>
        <v>11.533390903321965</v>
      </c>
      <c r="E115" s="498">
        <f t="shared" si="12"/>
        <v>13.455622720542292</v>
      </c>
      <c r="F115" s="498">
        <f t="shared" si="12"/>
        <v>15.377854537762623</v>
      </c>
      <c r="G115" s="498">
        <f t="shared" si="12"/>
        <v>17.300086354982948</v>
      </c>
      <c r="H115" s="498">
        <f t="shared" si="12"/>
        <v>19.222318172203277</v>
      </c>
      <c r="K115" s="67" t="s">
        <v>590</v>
      </c>
      <c r="L115" s="525" t="s">
        <v>632</v>
      </c>
      <c r="M115" s="498">
        <f>'RICON_RICON-S-EK_GIGANT_WALCO '!C106</f>
        <v>33</v>
      </c>
      <c r="N115" s="498">
        <f>'RICON_RICON-S-EK_GIGANT_WALCO '!F106</f>
        <v>24.98901362386426</v>
      </c>
      <c r="O115" s="498">
        <f t="shared" si="13"/>
        <v>11.533390903321965</v>
      </c>
      <c r="P115" s="498">
        <f t="shared" si="13"/>
        <v>13.455622720542292</v>
      </c>
      <c r="Q115" s="498">
        <f t="shared" si="13"/>
        <v>15.377854537762623</v>
      </c>
      <c r="R115" s="498">
        <f t="shared" si="13"/>
        <v>17.300086354982948</v>
      </c>
      <c r="S115" s="498">
        <f t="shared" si="13"/>
        <v>19.222318172203277</v>
      </c>
    </row>
    <row r="116" spans="1:19" ht="60">
      <c r="A116" s="67" t="s">
        <v>591</v>
      </c>
      <c r="B116" s="498">
        <f>'RICON_RICON-S-EK_GIGANT_WALCO '!C108</f>
        <v>33</v>
      </c>
      <c r="C116" s="498">
        <f>'RICON_RICON-S-EK_GIGANT_WALCO '!F108</f>
        <v>20.824178019886883</v>
      </c>
      <c r="D116" s="498">
        <f>MIN($B116/1,$C116*D$111/1.3)</f>
        <v>9.6111590861016385</v>
      </c>
      <c r="E116" s="498">
        <f t="shared" si="12"/>
        <v>11.213018933785243</v>
      </c>
      <c r="F116" s="498">
        <f t="shared" si="12"/>
        <v>12.814878781468851</v>
      </c>
      <c r="G116" s="498">
        <f t="shared" si="12"/>
        <v>14.416738629152459</v>
      </c>
      <c r="H116" s="498">
        <f t="shared" si="12"/>
        <v>16.018598476836065</v>
      </c>
      <c r="K116" s="67" t="s">
        <v>592</v>
      </c>
      <c r="L116" s="525" t="s">
        <v>633</v>
      </c>
      <c r="M116" s="498">
        <f>'RICON_RICON-S-EK_GIGANT_WALCO '!C108</f>
        <v>33</v>
      </c>
      <c r="N116" s="498">
        <f>'RICON_RICON-S-EK_GIGANT_WALCO '!F108</f>
        <v>20.824178019886883</v>
      </c>
      <c r="O116" s="498">
        <f t="shared" si="13"/>
        <v>9.6111590861016385</v>
      </c>
      <c r="P116" s="498">
        <f t="shared" si="13"/>
        <v>11.213018933785243</v>
      </c>
      <c r="Q116" s="498">
        <f t="shared" si="13"/>
        <v>12.814878781468851</v>
      </c>
      <c r="R116" s="498">
        <f t="shared" si="13"/>
        <v>14.416738629152459</v>
      </c>
      <c r="S116" s="498">
        <f t="shared" si="13"/>
        <v>16.018598476836065</v>
      </c>
    </row>
    <row r="117" spans="1:19">
      <c r="A117" s="501"/>
      <c r="B117" s="508"/>
      <c r="C117" s="508"/>
      <c r="D117" s="508"/>
      <c r="E117" s="508"/>
      <c r="F117" s="508"/>
      <c r="G117" s="508"/>
      <c r="H117" s="508"/>
      <c r="K117" s="501"/>
      <c r="L117" s="501"/>
      <c r="M117" s="508"/>
      <c r="N117" s="508"/>
      <c r="O117" s="508"/>
      <c r="P117" s="508"/>
      <c r="Q117" s="508"/>
      <c r="R117" s="508"/>
      <c r="S117" s="508"/>
    </row>
    <row r="118" spans="1:19">
      <c r="A118" s="501"/>
      <c r="B118" s="508"/>
      <c r="C118" s="508"/>
      <c r="D118" s="508"/>
      <c r="E118" s="508"/>
      <c r="F118" s="508"/>
      <c r="G118" s="508"/>
      <c r="H118" s="508"/>
      <c r="K118" s="501"/>
      <c r="L118" s="501"/>
      <c r="M118" s="508"/>
      <c r="N118" s="508"/>
      <c r="O118" s="508"/>
      <c r="P118" s="508"/>
      <c r="Q118" s="508"/>
      <c r="R118" s="508"/>
      <c r="S118" s="508"/>
    </row>
    <row r="119" spans="1:19">
      <c r="A119" s="501"/>
      <c r="B119" s="508"/>
      <c r="C119" s="508"/>
      <c r="D119" s="508"/>
      <c r="E119" s="508"/>
      <c r="F119" s="508"/>
      <c r="G119" s="508"/>
      <c r="H119" s="508"/>
      <c r="K119" s="501"/>
      <c r="L119" s="501"/>
      <c r="M119" s="508"/>
      <c r="N119" s="508"/>
      <c r="O119" s="508"/>
      <c r="P119" s="508"/>
      <c r="Q119" s="508"/>
      <c r="R119" s="508"/>
      <c r="S119" s="508"/>
    </row>
    <row r="120" spans="1:19">
      <c r="A120" s="501"/>
      <c r="B120" s="508"/>
      <c r="C120" s="508"/>
      <c r="D120" s="508"/>
      <c r="E120" s="508"/>
      <c r="F120" s="508"/>
      <c r="G120" s="508"/>
      <c r="H120" s="508"/>
      <c r="K120" s="501"/>
      <c r="L120" s="501"/>
      <c r="M120" s="508"/>
      <c r="N120" s="508"/>
      <c r="O120" s="508"/>
      <c r="P120" s="508"/>
      <c r="Q120" s="508"/>
      <c r="R120" s="508"/>
      <c r="S120" s="508"/>
    </row>
    <row r="121" spans="1:19">
      <c r="A121" s="501"/>
      <c r="B121" s="508"/>
      <c r="C121" s="508"/>
      <c r="D121" s="508"/>
      <c r="E121" s="508"/>
      <c r="F121" s="508"/>
      <c r="G121" s="508"/>
      <c r="H121" s="508"/>
      <c r="K121" s="501"/>
      <c r="L121" s="501"/>
      <c r="M121" s="508"/>
      <c r="N121" s="508"/>
      <c r="O121" s="508"/>
      <c r="P121" s="508"/>
      <c r="Q121" s="508"/>
      <c r="R121" s="508"/>
      <c r="S121" s="508"/>
    </row>
    <row r="122" spans="1:19" ht="18.75">
      <c r="A122" s="802" t="s">
        <v>472</v>
      </c>
      <c r="B122" s="802"/>
      <c r="C122" s="802"/>
      <c r="D122" s="802"/>
      <c r="E122" s="802"/>
      <c r="F122" s="802"/>
      <c r="G122" s="802"/>
      <c r="H122" s="802"/>
      <c r="K122" s="541" t="s">
        <v>473</v>
      </c>
      <c r="L122" s="541"/>
      <c r="M122" s="541"/>
      <c r="N122" s="541"/>
      <c r="O122" s="541"/>
      <c r="P122" s="541"/>
      <c r="Q122" s="541"/>
      <c r="R122" s="541"/>
      <c r="S122" s="541"/>
    </row>
    <row r="123" spans="1:19" ht="18.75">
      <c r="A123" s="509" t="s">
        <v>507</v>
      </c>
      <c r="K123" s="509" t="s">
        <v>445</v>
      </c>
      <c r="L123" s="509"/>
    </row>
    <row r="124" spans="1:19" ht="18.75">
      <c r="A124" s="509"/>
      <c r="K124" s="509"/>
      <c r="L124" s="509"/>
    </row>
    <row r="125" spans="1:19" ht="18.75">
      <c r="A125" s="509"/>
      <c r="K125" s="509"/>
      <c r="L125" s="509"/>
    </row>
    <row r="126" spans="1:19" ht="18.75">
      <c r="A126" s="509"/>
      <c r="K126" s="509"/>
      <c r="L126" s="509"/>
    </row>
    <row r="127" spans="1:19" ht="18.75">
      <c r="A127" s="509"/>
      <c r="K127" s="509"/>
      <c r="L127" s="509"/>
    </row>
    <row r="128" spans="1:19" ht="18.75">
      <c r="A128" s="509"/>
      <c r="K128" s="509"/>
      <c r="L128" s="509"/>
    </row>
    <row r="129" spans="1:19" ht="18.75">
      <c r="A129" s="509"/>
      <c r="K129" s="509"/>
      <c r="L129" s="509"/>
    </row>
    <row r="130" spans="1:19" ht="18.75">
      <c r="A130" s="509"/>
      <c r="K130" s="509"/>
      <c r="L130" s="509"/>
    </row>
    <row r="131" spans="1:19" ht="18.75">
      <c r="A131" s="509"/>
      <c r="K131" s="509"/>
      <c r="L131" s="509"/>
    </row>
    <row r="132" spans="1:19" ht="18.75">
      <c r="A132" s="509"/>
      <c r="K132" s="509"/>
      <c r="L132" s="509"/>
    </row>
    <row r="133" spans="1:19" ht="21">
      <c r="A133" s="504" t="s">
        <v>419</v>
      </c>
      <c r="K133" s="504" t="s">
        <v>480</v>
      </c>
      <c r="L133" s="504"/>
    </row>
    <row r="134" spans="1:19" ht="15" customHeight="1">
      <c r="A134" s="4" t="s">
        <v>413</v>
      </c>
      <c r="B134" s="710" t="s">
        <v>414</v>
      </c>
      <c r="C134" s="712"/>
      <c r="D134" s="710" t="s">
        <v>421</v>
      </c>
      <c r="E134" s="711"/>
      <c r="F134" s="711"/>
      <c r="G134" s="711"/>
      <c r="H134" s="712"/>
      <c r="K134" s="4" t="s">
        <v>2</v>
      </c>
      <c r="L134" s="533" t="s">
        <v>613</v>
      </c>
      <c r="M134" s="803" t="s">
        <v>450</v>
      </c>
      <c r="N134" s="803"/>
      <c r="O134" s="710" t="s">
        <v>448</v>
      </c>
      <c r="P134" s="711"/>
      <c r="Q134" s="711"/>
      <c r="R134" s="711"/>
      <c r="S134" s="712"/>
    </row>
    <row r="135" spans="1:19">
      <c r="A135" s="8"/>
      <c r="B135" s="44" t="s">
        <v>411</v>
      </c>
      <c r="C135" s="44" t="s">
        <v>412</v>
      </c>
      <c r="D135" s="95">
        <v>0.6</v>
      </c>
      <c r="E135" s="95">
        <v>0.7</v>
      </c>
      <c r="F135" s="95">
        <v>0.8</v>
      </c>
      <c r="G135" s="95">
        <v>0.9</v>
      </c>
      <c r="H135" s="95">
        <v>1</v>
      </c>
      <c r="K135" s="8"/>
      <c r="L135" s="532" t="s">
        <v>612</v>
      </c>
      <c r="M135" s="44" t="s">
        <v>411</v>
      </c>
      <c r="N135" s="44" t="s">
        <v>412</v>
      </c>
      <c r="O135" s="95">
        <v>0.6</v>
      </c>
      <c r="P135" s="95">
        <v>0.7</v>
      </c>
      <c r="Q135" s="95">
        <v>0.8</v>
      </c>
      <c r="R135" s="95">
        <v>0.9</v>
      </c>
      <c r="S135" s="95">
        <v>1</v>
      </c>
    </row>
    <row r="136" spans="1:19" ht="45">
      <c r="A136" s="424" t="s">
        <v>593</v>
      </c>
      <c r="B136" s="498">
        <f>'RICON_RICON-S-EK_GIGANT_WALCO '!C249</f>
        <v>34</v>
      </c>
      <c r="C136" s="498">
        <f>'RICON_RICON-S-EK_GIGANT_WALCO '!F249</f>
        <v>37.149991394525706</v>
      </c>
      <c r="D136" s="498">
        <f t="shared" ref="D136:D141" si="14">MIN($B136/1,$C136*D$135/1.3)</f>
        <v>17.146149874396478</v>
      </c>
      <c r="E136" s="498">
        <f t="shared" ref="E136:H141" si="15">MIN($B136/1,$C136*E$135/1.3)</f>
        <v>20.003841520129225</v>
      </c>
      <c r="F136" s="498">
        <f t="shared" si="15"/>
        <v>22.861533165861974</v>
      </c>
      <c r="G136" s="498">
        <f t="shared" si="15"/>
        <v>25.719224811594717</v>
      </c>
      <c r="H136" s="498">
        <f t="shared" si="15"/>
        <v>28.576916457327464</v>
      </c>
      <c r="K136" s="424" t="s">
        <v>642</v>
      </c>
      <c r="L136" s="530" t="s">
        <v>488</v>
      </c>
      <c r="M136" s="498">
        <f>'RICON_RICON-S-EK_GIGANT_WALCO '!C249</f>
        <v>34</v>
      </c>
      <c r="N136" s="498">
        <f>'RICON_RICON-S-EK_GIGANT_WALCO '!F249</f>
        <v>37.149991394525706</v>
      </c>
      <c r="O136" s="498">
        <f t="shared" ref="O136:S141" si="16">MIN($B136/1,$C136*O$135/1.3)</f>
        <v>17.146149874396478</v>
      </c>
      <c r="P136" s="498">
        <f t="shared" si="16"/>
        <v>20.003841520129225</v>
      </c>
      <c r="Q136" s="498">
        <f t="shared" si="16"/>
        <v>22.861533165861974</v>
      </c>
      <c r="R136" s="498">
        <f t="shared" si="16"/>
        <v>25.719224811594717</v>
      </c>
      <c r="S136" s="498">
        <f t="shared" si="16"/>
        <v>28.576916457327464</v>
      </c>
    </row>
    <row r="137" spans="1:19" ht="45">
      <c r="A137" s="342" t="s">
        <v>594</v>
      </c>
      <c r="B137" s="498">
        <f>'RICON_RICON-S-EK_GIGANT_WALCO '!C250</f>
        <v>34</v>
      </c>
      <c r="C137" s="498">
        <f>'RICON_RICON-S-EK_GIGANT_WALCO '!F250</f>
        <v>40.18125965399701</v>
      </c>
      <c r="D137" s="498">
        <f t="shared" si="14"/>
        <v>18.545196763383235</v>
      </c>
      <c r="E137" s="498">
        <f t="shared" si="15"/>
        <v>21.636062890613772</v>
      </c>
      <c r="F137" s="498">
        <f t="shared" si="15"/>
        <v>24.726929017844313</v>
      </c>
      <c r="G137" s="498">
        <f t="shared" si="15"/>
        <v>27.817795145074854</v>
      </c>
      <c r="H137" s="498">
        <f t="shared" si="15"/>
        <v>30.908661272305391</v>
      </c>
      <c r="K137" s="342" t="s">
        <v>643</v>
      </c>
      <c r="L137" s="528" t="s">
        <v>621</v>
      </c>
      <c r="M137" s="498">
        <f>'RICON_RICON-S-EK_GIGANT_WALCO '!C250</f>
        <v>34</v>
      </c>
      <c r="N137" s="498">
        <f>'RICON_RICON-S-EK_GIGANT_WALCO '!F250</f>
        <v>40.18125965399701</v>
      </c>
      <c r="O137" s="498">
        <f t="shared" si="16"/>
        <v>18.545196763383235</v>
      </c>
      <c r="P137" s="498">
        <f t="shared" si="16"/>
        <v>21.636062890613772</v>
      </c>
      <c r="Q137" s="498">
        <f t="shared" si="16"/>
        <v>24.726929017844313</v>
      </c>
      <c r="R137" s="498">
        <f t="shared" si="16"/>
        <v>27.817795145074854</v>
      </c>
      <c r="S137" s="498">
        <f t="shared" si="16"/>
        <v>30.908661272305391</v>
      </c>
    </row>
    <row r="138" spans="1:19" ht="45">
      <c r="A138" s="342" t="s">
        <v>595</v>
      </c>
      <c r="B138" s="498">
        <f>'RICON_RICON-S-EK_GIGANT_WALCO '!C252</f>
        <v>34</v>
      </c>
      <c r="C138" s="498">
        <f>'RICON_RICON-S-EK_GIGANT_WALCO '!F252</f>
        <v>56.710921194381697</v>
      </c>
      <c r="D138" s="498">
        <f t="shared" si="14"/>
        <v>26.174271320483861</v>
      </c>
      <c r="E138" s="498">
        <f t="shared" si="15"/>
        <v>30.536649873897833</v>
      </c>
      <c r="F138" s="498">
        <f t="shared" si="15"/>
        <v>34</v>
      </c>
      <c r="G138" s="498">
        <f t="shared" si="15"/>
        <v>34</v>
      </c>
      <c r="H138" s="498">
        <f t="shared" si="15"/>
        <v>34</v>
      </c>
      <c r="K138" s="342" t="s">
        <v>644</v>
      </c>
      <c r="L138" s="528" t="s">
        <v>489</v>
      </c>
      <c r="M138" s="498">
        <f>'RICON_RICON-S-EK_GIGANT_WALCO '!C252</f>
        <v>34</v>
      </c>
      <c r="N138" s="498">
        <f>'RICON_RICON-S-EK_GIGANT_WALCO '!F252</f>
        <v>56.710921194381697</v>
      </c>
      <c r="O138" s="498">
        <f t="shared" si="16"/>
        <v>26.174271320483861</v>
      </c>
      <c r="P138" s="498">
        <f t="shared" si="16"/>
        <v>30.536649873897833</v>
      </c>
      <c r="Q138" s="498">
        <f t="shared" si="16"/>
        <v>34</v>
      </c>
      <c r="R138" s="498">
        <f t="shared" si="16"/>
        <v>34</v>
      </c>
      <c r="S138" s="498">
        <f t="shared" si="16"/>
        <v>34</v>
      </c>
    </row>
    <row r="139" spans="1:19" ht="45">
      <c r="A139" s="342" t="s">
        <v>596</v>
      </c>
      <c r="B139" s="498">
        <f>'RICON_RICON-S-EK_GIGANT_WALCO '!C253</f>
        <v>34</v>
      </c>
      <c r="C139" s="498">
        <f>'RICON_RICON-S-EK_GIGANT_WALCO '!F253</f>
        <v>66.480609906200655</v>
      </c>
      <c r="D139" s="498">
        <f t="shared" si="14"/>
        <v>30.683358418246456</v>
      </c>
      <c r="E139" s="498">
        <f t="shared" si="15"/>
        <v>34</v>
      </c>
      <c r="F139" s="498">
        <f t="shared" si="15"/>
        <v>34</v>
      </c>
      <c r="G139" s="498">
        <f t="shared" si="15"/>
        <v>34</v>
      </c>
      <c r="H139" s="498">
        <f t="shared" si="15"/>
        <v>34</v>
      </c>
      <c r="K139" s="342" t="s">
        <v>645</v>
      </c>
      <c r="L139" s="528" t="s">
        <v>622</v>
      </c>
      <c r="M139" s="498">
        <f>'RICON_RICON-S-EK_GIGANT_WALCO '!C253</f>
        <v>34</v>
      </c>
      <c r="N139" s="498">
        <f>'RICON_RICON-S-EK_GIGANT_WALCO '!F253</f>
        <v>66.480609906200655</v>
      </c>
      <c r="O139" s="498">
        <f t="shared" si="16"/>
        <v>30.683358418246456</v>
      </c>
      <c r="P139" s="498">
        <f t="shared" si="16"/>
        <v>34</v>
      </c>
      <c r="Q139" s="498">
        <f t="shared" si="16"/>
        <v>34</v>
      </c>
      <c r="R139" s="498">
        <f t="shared" si="16"/>
        <v>34</v>
      </c>
      <c r="S139" s="498">
        <f t="shared" si="16"/>
        <v>34</v>
      </c>
    </row>
    <row r="140" spans="1:19" ht="45">
      <c r="A140" s="342" t="s">
        <v>597</v>
      </c>
      <c r="B140" s="498">
        <f>'RICON_RICON-S-EK_GIGANT_WALCO '!C255</f>
        <v>50</v>
      </c>
      <c r="C140" s="498">
        <f>'RICON_RICON-S-EK_GIGANT_WALCO '!F255</f>
        <v>79.124951595789881</v>
      </c>
      <c r="D140" s="498">
        <f t="shared" si="14"/>
        <v>36.519208428826097</v>
      </c>
      <c r="E140" s="498">
        <f t="shared" si="15"/>
        <v>42.605743166963784</v>
      </c>
      <c r="F140" s="498">
        <f t="shared" si="15"/>
        <v>48.692277905101463</v>
      </c>
      <c r="G140" s="498">
        <f t="shared" si="15"/>
        <v>50</v>
      </c>
      <c r="H140" s="498">
        <f t="shared" si="15"/>
        <v>50</v>
      </c>
      <c r="K140" s="342" t="s">
        <v>646</v>
      </c>
      <c r="L140" s="528" t="s">
        <v>498</v>
      </c>
      <c r="M140" s="498">
        <f>'RICON_RICON-S-EK_GIGANT_WALCO '!C255</f>
        <v>50</v>
      </c>
      <c r="N140" s="498">
        <f>'RICON_RICON-S-EK_GIGANT_WALCO '!F255</f>
        <v>79.124951595789881</v>
      </c>
      <c r="O140" s="498">
        <f t="shared" si="16"/>
        <v>36.519208428826097</v>
      </c>
      <c r="P140" s="498">
        <f t="shared" si="16"/>
        <v>42.605743166963784</v>
      </c>
      <c r="Q140" s="498">
        <f t="shared" si="16"/>
        <v>48.692277905101463</v>
      </c>
      <c r="R140" s="498">
        <f t="shared" si="16"/>
        <v>50</v>
      </c>
      <c r="S140" s="498">
        <f t="shared" si="16"/>
        <v>50</v>
      </c>
    </row>
    <row r="141" spans="1:19" ht="45">
      <c r="A141" s="342" t="s">
        <v>598</v>
      </c>
      <c r="B141" s="498">
        <f>'RICON_RICON-S-EK_GIGANT_WALCO '!C257</f>
        <v>50</v>
      </c>
      <c r="C141" s="498">
        <f>'RICON_RICON-S-EK_GIGANT_WALCO '!F257</f>
        <v>96.723603718619998</v>
      </c>
      <c r="D141" s="498">
        <f t="shared" si="14"/>
        <v>44.641663254747691</v>
      </c>
      <c r="E141" s="498">
        <f t="shared" si="15"/>
        <v>50</v>
      </c>
      <c r="F141" s="498">
        <f t="shared" si="15"/>
        <v>50</v>
      </c>
      <c r="G141" s="498">
        <f t="shared" si="15"/>
        <v>50</v>
      </c>
      <c r="H141" s="498">
        <f t="shared" si="15"/>
        <v>50</v>
      </c>
      <c r="K141" s="342" t="s">
        <v>647</v>
      </c>
      <c r="L141" s="528" t="s">
        <v>499</v>
      </c>
      <c r="M141" s="498">
        <f>'RICON_RICON-S-EK_GIGANT_WALCO '!C257</f>
        <v>50</v>
      </c>
      <c r="N141" s="498">
        <f>'RICON_RICON-S-EK_GIGANT_WALCO '!F257</f>
        <v>96.723603718619998</v>
      </c>
      <c r="O141" s="498">
        <f t="shared" si="16"/>
        <v>44.641663254747691</v>
      </c>
      <c r="P141" s="498">
        <f t="shared" si="16"/>
        <v>50</v>
      </c>
      <c r="Q141" s="498">
        <f t="shared" si="16"/>
        <v>50</v>
      </c>
      <c r="R141" s="498">
        <f t="shared" si="16"/>
        <v>50</v>
      </c>
      <c r="S141" s="498">
        <f t="shared" si="16"/>
        <v>50</v>
      </c>
    </row>
    <row r="142" spans="1:19">
      <c r="A142" s="502"/>
      <c r="B142" s="508"/>
      <c r="C142" s="508"/>
      <c r="D142" s="508"/>
      <c r="E142" s="508"/>
      <c r="F142" s="508"/>
      <c r="G142" s="508"/>
      <c r="H142" s="508"/>
      <c r="K142" s="502"/>
      <c r="L142" s="502"/>
      <c r="M142" s="508"/>
      <c r="N142" s="508"/>
      <c r="O142" s="508"/>
      <c r="P142" s="508"/>
      <c r="Q142" s="508"/>
      <c r="R142" s="508"/>
      <c r="S142" s="508"/>
    </row>
    <row r="143" spans="1:19">
      <c r="A143" s="502"/>
      <c r="B143" s="508"/>
      <c r="C143" s="508"/>
      <c r="D143" s="508"/>
      <c r="E143" s="508"/>
      <c r="F143" s="508"/>
      <c r="G143" s="508"/>
      <c r="H143" s="508"/>
      <c r="K143" s="502"/>
      <c r="L143" s="502"/>
      <c r="M143" s="508"/>
      <c r="N143" s="508"/>
      <c r="O143" s="508"/>
      <c r="P143" s="508"/>
      <c r="Q143" s="508"/>
      <c r="R143" s="508"/>
      <c r="S143" s="508"/>
    </row>
    <row r="144" spans="1:19">
      <c r="A144" s="502"/>
      <c r="B144" s="508"/>
      <c r="C144" s="508"/>
      <c r="D144" s="508"/>
      <c r="E144" s="508"/>
      <c r="F144" s="508"/>
      <c r="G144" s="508"/>
      <c r="H144" s="508"/>
      <c r="K144" s="502"/>
      <c r="L144" s="502"/>
      <c r="M144" s="508"/>
      <c r="N144" s="508"/>
      <c r="O144" s="508"/>
      <c r="P144" s="508"/>
      <c r="Q144" s="508"/>
      <c r="R144" s="508"/>
      <c r="S144" s="508"/>
    </row>
    <row r="145" spans="1:19">
      <c r="A145" s="502"/>
      <c r="B145" s="508"/>
      <c r="C145" s="508"/>
      <c r="D145" s="508"/>
      <c r="E145" s="508"/>
      <c r="F145" s="508"/>
      <c r="G145" s="508"/>
      <c r="H145" s="508"/>
      <c r="K145" s="502"/>
      <c r="L145" s="502"/>
      <c r="M145" s="508"/>
      <c r="N145" s="508"/>
      <c r="O145" s="508"/>
      <c r="P145" s="508"/>
      <c r="Q145" s="508"/>
      <c r="R145" s="508"/>
      <c r="S145" s="508"/>
    </row>
    <row r="146" spans="1:19">
      <c r="A146" s="502"/>
      <c r="B146" s="508"/>
      <c r="C146" s="508"/>
      <c r="D146" s="508"/>
      <c r="E146" s="508"/>
      <c r="F146" s="508"/>
      <c r="G146" s="508"/>
      <c r="H146" s="508"/>
      <c r="K146" s="502"/>
      <c r="L146" s="502"/>
      <c r="M146" s="508"/>
      <c r="N146" s="508"/>
      <c r="O146" s="508"/>
      <c r="P146" s="508"/>
      <c r="Q146" s="508"/>
      <c r="R146" s="508"/>
      <c r="S146" s="508"/>
    </row>
    <row r="147" spans="1:19" ht="18.75">
      <c r="A147" s="802" t="s">
        <v>472</v>
      </c>
      <c r="B147" s="802"/>
      <c r="C147" s="802"/>
      <c r="D147" s="802"/>
      <c r="E147" s="802"/>
      <c r="F147" s="802"/>
      <c r="G147" s="802"/>
      <c r="H147" s="802"/>
      <c r="K147" s="541" t="s">
        <v>473</v>
      </c>
      <c r="L147" s="541"/>
      <c r="M147" s="541"/>
      <c r="N147" s="541"/>
      <c r="O147" s="541"/>
      <c r="P147" s="541"/>
      <c r="Q147" s="541"/>
      <c r="R147" s="541"/>
      <c r="S147" s="541"/>
    </row>
    <row r="148" spans="1:19" ht="18.75">
      <c r="A148" s="509" t="s">
        <v>507</v>
      </c>
      <c r="K148" s="509" t="s">
        <v>445</v>
      </c>
      <c r="L148" s="509"/>
    </row>
    <row r="149" spans="1:19" ht="18.75">
      <c r="A149" s="509"/>
      <c r="K149" s="509"/>
      <c r="L149" s="509"/>
    </row>
    <row r="150" spans="1:19" ht="18.75">
      <c r="A150" s="509"/>
      <c r="K150" s="509"/>
      <c r="L150" s="509"/>
    </row>
    <row r="151" spans="1:19" ht="18.75">
      <c r="A151" s="509"/>
      <c r="K151" s="509"/>
      <c r="L151" s="509"/>
    </row>
    <row r="152" spans="1:19" ht="18.75">
      <c r="A152" s="509"/>
      <c r="K152" s="509"/>
      <c r="L152" s="509"/>
    </row>
    <row r="153" spans="1:19" ht="18.75">
      <c r="A153" s="509"/>
      <c r="K153" s="509"/>
      <c r="L153" s="509"/>
    </row>
    <row r="154" spans="1:19" ht="18.75">
      <c r="A154" s="509"/>
      <c r="K154" s="509"/>
      <c r="L154" s="509"/>
    </row>
    <row r="155" spans="1:19" ht="18.75">
      <c r="A155" s="509"/>
      <c r="K155" s="509"/>
      <c r="L155" s="509"/>
    </row>
    <row r="156" spans="1:19" ht="18.75">
      <c r="A156" s="509"/>
      <c r="K156" s="509"/>
      <c r="L156" s="509"/>
    </row>
    <row r="157" spans="1:19" ht="18.75">
      <c r="A157" s="509"/>
      <c r="K157" s="509"/>
      <c r="L157" s="509"/>
    </row>
    <row r="158" spans="1:19" ht="18.75">
      <c r="A158" s="509"/>
      <c r="K158" s="509"/>
      <c r="L158" s="509"/>
    </row>
    <row r="159" spans="1:19" ht="18.75">
      <c r="A159" s="509"/>
      <c r="K159" s="509"/>
      <c r="L159" s="509"/>
    </row>
    <row r="160" spans="1:19" ht="18.75">
      <c r="A160" s="509"/>
      <c r="K160" s="509"/>
      <c r="L160" s="509"/>
    </row>
    <row r="161" spans="1:19" ht="18.75">
      <c r="A161" s="509"/>
      <c r="K161" s="509"/>
      <c r="L161" s="509"/>
    </row>
    <row r="162" spans="1:19" ht="18.75">
      <c r="A162" s="509"/>
      <c r="K162" s="509"/>
      <c r="L162" s="509"/>
    </row>
    <row r="163" spans="1:19" ht="18.75">
      <c r="A163" s="509"/>
      <c r="K163" s="509"/>
      <c r="L163" s="509"/>
    </row>
    <row r="164" spans="1:19" ht="18.75">
      <c r="A164" s="509"/>
      <c r="K164" s="509"/>
      <c r="L164" s="509"/>
    </row>
    <row r="165" spans="1:19" ht="18.75">
      <c r="A165" s="509"/>
      <c r="K165" s="509"/>
      <c r="L165" s="509"/>
    </row>
    <row r="166" spans="1:19" ht="18.75">
      <c r="A166" s="509"/>
      <c r="K166" s="509"/>
      <c r="L166" s="509"/>
    </row>
    <row r="167" spans="1:19" ht="18.75">
      <c r="A167" s="509"/>
      <c r="K167" s="509"/>
      <c r="L167" s="509"/>
    </row>
    <row r="168" spans="1:19" ht="18.75">
      <c r="A168" s="509"/>
      <c r="K168" s="509"/>
      <c r="L168" s="509"/>
    </row>
    <row r="169" spans="1:19" ht="18.75">
      <c r="A169" s="509"/>
      <c r="K169" s="509"/>
      <c r="L169" s="509"/>
    </row>
    <row r="170" spans="1:19" ht="18.75">
      <c r="A170" s="509"/>
      <c r="K170" s="509"/>
      <c r="L170" s="509"/>
    </row>
    <row r="171" spans="1:19" ht="21">
      <c r="A171" s="503" t="s">
        <v>420</v>
      </c>
      <c r="K171" s="503" t="s">
        <v>481</v>
      </c>
      <c r="L171" s="503"/>
    </row>
    <row r="172" spans="1:19" ht="15" customHeight="1">
      <c r="A172" s="4" t="s">
        <v>413</v>
      </c>
      <c r="B172" s="710" t="s">
        <v>414</v>
      </c>
      <c r="C172" s="712"/>
      <c r="D172" s="710" t="s">
        <v>421</v>
      </c>
      <c r="E172" s="711"/>
      <c r="F172" s="711"/>
      <c r="G172" s="711"/>
      <c r="H172" s="712"/>
      <c r="K172" s="4" t="s">
        <v>2</v>
      </c>
      <c r="L172" s="533" t="s">
        <v>613</v>
      </c>
      <c r="M172" s="803" t="s">
        <v>450</v>
      </c>
      <c r="N172" s="803"/>
      <c r="O172" s="710" t="s">
        <v>448</v>
      </c>
      <c r="P172" s="711"/>
      <c r="Q172" s="711"/>
      <c r="R172" s="711"/>
      <c r="S172" s="712"/>
    </row>
    <row r="173" spans="1:19" ht="30.75" customHeight="1">
      <c r="A173" s="8"/>
      <c r="B173" s="44" t="s">
        <v>411</v>
      </c>
      <c r="C173" s="44" t="s">
        <v>412</v>
      </c>
      <c r="D173" s="95">
        <v>0.6</v>
      </c>
      <c r="E173" s="95">
        <v>0.7</v>
      </c>
      <c r="F173" s="95">
        <v>0.8</v>
      </c>
      <c r="G173" s="95">
        <v>0.9</v>
      </c>
      <c r="H173" s="95">
        <v>1</v>
      </c>
      <c r="K173" s="8"/>
      <c r="L173" s="532" t="s">
        <v>612</v>
      </c>
      <c r="M173" s="44" t="s">
        <v>411</v>
      </c>
      <c r="N173" s="44" t="s">
        <v>412</v>
      </c>
      <c r="O173" s="95">
        <v>0.6</v>
      </c>
      <c r="P173" s="95">
        <v>0.7</v>
      </c>
      <c r="Q173" s="95">
        <v>0.8</v>
      </c>
      <c r="R173" s="95">
        <v>0.9</v>
      </c>
      <c r="S173" s="95">
        <v>1</v>
      </c>
    </row>
    <row r="174" spans="1:19" ht="45">
      <c r="A174" s="342" t="s">
        <v>599</v>
      </c>
      <c r="B174" s="498">
        <f>'RICON-S-VS'!C77</f>
        <v>60</v>
      </c>
      <c r="C174" s="498">
        <f>'RICON-S-VS'!F77</f>
        <v>37.149991394525706</v>
      </c>
      <c r="D174" s="498">
        <f>MIN($B174/1,$C174*D$173/1.3)</f>
        <v>17.146149874396478</v>
      </c>
      <c r="E174" s="498">
        <f t="shared" ref="E174:H183" si="17">MIN($B174/1,$C174*E$173/1.3)</f>
        <v>20.003841520129225</v>
      </c>
      <c r="F174" s="498">
        <f t="shared" si="17"/>
        <v>22.861533165861974</v>
      </c>
      <c r="G174" s="498">
        <f t="shared" si="17"/>
        <v>25.719224811594717</v>
      </c>
      <c r="H174" s="498">
        <f t="shared" si="17"/>
        <v>28.576916457327464</v>
      </c>
      <c r="K174" s="342" t="s">
        <v>641</v>
      </c>
      <c r="L174" s="528" t="s">
        <v>488</v>
      </c>
      <c r="M174" s="498">
        <f>'RICON-S-VS'!C77</f>
        <v>60</v>
      </c>
      <c r="N174" s="498">
        <f>'RICON-S-VS'!F77</f>
        <v>37.149991394525706</v>
      </c>
      <c r="O174" s="498">
        <f t="shared" ref="O174:S183" si="18">MIN($B174/1,$C174*O$173/1.3)</f>
        <v>17.146149874396478</v>
      </c>
      <c r="P174" s="498">
        <f t="shared" si="18"/>
        <v>20.003841520129225</v>
      </c>
      <c r="Q174" s="498">
        <f t="shared" si="18"/>
        <v>22.861533165861974</v>
      </c>
      <c r="R174" s="498">
        <f t="shared" si="18"/>
        <v>25.719224811594717</v>
      </c>
      <c r="S174" s="498">
        <f t="shared" si="18"/>
        <v>28.576916457327464</v>
      </c>
    </row>
    <row r="175" spans="1:19" ht="45">
      <c r="A175" s="342" t="s">
        <v>600</v>
      </c>
      <c r="B175" s="498">
        <f>'RICON-S-VS'!C78</f>
        <v>60</v>
      </c>
      <c r="C175" s="498">
        <f>'RICON-S-VS'!F78</f>
        <v>40.18125965399701</v>
      </c>
      <c r="D175" s="498">
        <f t="shared" ref="D175:D183" si="19">MIN($B175/1,$C175*D$173/1.3)</f>
        <v>18.545196763383235</v>
      </c>
      <c r="E175" s="498">
        <f t="shared" si="17"/>
        <v>21.636062890613772</v>
      </c>
      <c r="F175" s="498">
        <f t="shared" si="17"/>
        <v>24.726929017844313</v>
      </c>
      <c r="G175" s="498">
        <f t="shared" si="17"/>
        <v>27.817795145074854</v>
      </c>
      <c r="H175" s="498">
        <f t="shared" si="17"/>
        <v>30.908661272305391</v>
      </c>
      <c r="K175" s="342" t="s">
        <v>640</v>
      </c>
      <c r="L175" s="528" t="s">
        <v>490</v>
      </c>
      <c r="M175" s="498">
        <f>'RICON-S-VS'!C78</f>
        <v>60</v>
      </c>
      <c r="N175" s="498">
        <f>'RICON-S-VS'!F78</f>
        <v>40.18125965399701</v>
      </c>
      <c r="O175" s="498">
        <f t="shared" si="18"/>
        <v>18.545196763383235</v>
      </c>
      <c r="P175" s="498">
        <f t="shared" si="18"/>
        <v>21.636062890613772</v>
      </c>
      <c r="Q175" s="498">
        <f t="shared" si="18"/>
        <v>24.726929017844313</v>
      </c>
      <c r="R175" s="498">
        <f t="shared" si="18"/>
        <v>27.817795145074854</v>
      </c>
      <c r="S175" s="498">
        <f t="shared" si="18"/>
        <v>30.908661272305391</v>
      </c>
    </row>
    <row r="176" spans="1:19" ht="45">
      <c r="A176" s="342" t="s">
        <v>601</v>
      </c>
      <c r="B176" s="498">
        <f>'RICON-S-VS'!C80</f>
        <v>60</v>
      </c>
      <c r="C176" s="498">
        <f>'RICON-S-VS'!F80</f>
        <v>56.710921194381697</v>
      </c>
      <c r="D176" s="498">
        <f t="shared" si="19"/>
        <v>26.174271320483861</v>
      </c>
      <c r="E176" s="498">
        <f t="shared" si="17"/>
        <v>30.536649873897833</v>
      </c>
      <c r="F176" s="498">
        <f t="shared" si="17"/>
        <v>34.899028427311819</v>
      </c>
      <c r="G176" s="498">
        <f t="shared" si="17"/>
        <v>39.261406980725788</v>
      </c>
      <c r="H176" s="498">
        <f t="shared" si="17"/>
        <v>43.623785534139763</v>
      </c>
      <c r="K176" s="342" t="s">
        <v>639</v>
      </c>
      <c r="L176" s="528" t="s">
        <v>489</v>
      </c>
      <c r="M176" s="498">
        <f>'RICON-S-VS'!C80</f>
        <v>60</v>
      </c>
      <c r="N176" s="498">
        <f>'RICON-S-VS'!F80</f>
        <v>56.710921194381697</v>
      </c>
      <c r="O176" s="498">
        <f t="shared" si="18"/>
        <v>26.174271320483861</v>
      </c>
      <c r="P176" s="498">
        <f t="shared" si="18"/>
        <v>30.536649873897833</v>
      </c>
      <c r="Q176" s="498">
        <f t="shared" si="18"/>
        <v>34.899028427311819</v>
      </c>
      <c r="R176" s="498">
        <f t="shared" si="18"/>
        <v>39.261406980725788</v>
      </c>
      <c r="S176" s="498">
        <f t="shared" si="18"/>
        <v>43.623785534139763</v>
      </c>
    </row>
    <row r="177" spans="1:19" ht="45">
      <c r="A177" s="342" t="s">
        <v>602</v>
      </c>
      <c r="B177" s="498">
        <f>'RICON-S-VS'!C81</f>
        <v>60</v>
      </c>
      <c r="C177" s="498">
        <f>'RICON-S-VS'!F81</f>
        <v>66.480609906200655</v>
      </c>
      <c r="D177" s="498">
        <f t="shared" si="19"/>
        <v>30.683358418246456</v>
      </c>
      <c r="E177" s="498">
        <f t="shared" si="17"/>
        <v>35.797251487954192</v>
      </c>
      <c r="F177" s="498">
        <f t="shared" si="17"/>
        <v>40.911144557661942</v>
      </c>
      <c r="G177" s="498">
        <f t="shared" si="17"/>
        <v>46.025037627369684</v>
      </c>
      <c r="H177" s="498">
        <f t="shared" si="17"/>
        <v>51.138930697077427</v>
      </c>
      <c r="K177" s="342" t="s">
        <v>638</v>
      </c>
      <c r="L177" s="528" t="s">
        <v>500</v>
      </c>
      <c r="M177" s="498">
        <f>'RICON-S-VS'!C81</f>
        <v>60</v>
      </c>
      <c r="N177" s="498">
        <f>'RICON-S-VS'!F81</f>
        <v>66.480609906200655</v>
      </c>
      <c r="O177" s="498">
        <f t="shared" si="18"/>
        <v>30.683358418246456</v>
      </c>
      <c r="P177" s="498">
        <f t="shared" si="18"/>
        <v>35.797251487954192</v>
      </c>
      <c r="Q177" s="498">
        <f t="shared" si="18"/>
        <v>40.911144557661942</v>
      </c>
      <c r="R177" s="498">
        <f t="shared" si="18"/>
        <v>46.025037627369684</v>
      </c>
      <c r="S177" s="498">
        <f t="shared" si="18"/>
        <v>51.138930697077427</v>
      </c>
    </row>
    <row r="178" spans="1:19" ht="45">
      <c r="A178" s="342" t="s">
        <v>603</v>
      </c>
      <c r="B178" s="498">
        <f>'RICON-S-VS'!C83</f>
        <v>99</v>
      </c>
      <c r="C178" s="498">
        <f>'RICON-S-VS'!F83</f>
        <v>79.124951595789881</v>
      </c>
      <c r="D178" s="498">
        <f t="shared" si="19"/>
        <v>36.519208428826097</v>
      </c>
      <c r="E178" s="498">
        <f t="shared" si="17"/>
        <v>42.605743166963784</v>
      </c>
      <c r="F178" s="498">
        <f t="shared" si="17"/>
        <v>48.692277905101463</v>
      </c>
      <c r="G178" s="498">
        <f t="shared" si="17"/>
        <v>54.778812643239149</v>
      </c>
      <c r="H178" s="498">
        <f t="shared" si="17"/>
        <v>60.865347381376829</v>
      </c>
      <c r="K178" s="342" t="s">
        <v>637</v>
      </c>
      <c r="L178" s="528" t="s">
        <v>498</v>
      </c>
      <c r="M178" s="498">
        <f>'RICON-S-VS'!C83</f>
        <v>99</v>
      </c>
      <c r="N178" s="498">
        <f>'RICON-S-VS'!F83</f>
        <v>79.124951595789881</v>
      </c>
      <c r="O178" s="498">
        <f t="shared" si="18"/>
        <v>36.519208428826097</v>
      </c>
      <c r="P178" s="498">
        <f t="shared" si="18"/>
        <v>42.605743166963784</v>
      </c>
      <c r="Q178" s="498">
        <f t="shared" si="18"/>
        <v>48.692277905101463</v>
      </c>
      <c r="R178" s="498">
        <f t="shared" si="18"/>
        <v>54.778812643239149</v>
      </c>
      <c r="S178" s="498">
        <f t="shared" si="18"/>
        <v>60.865347381376829</v>
      </c>
    </row>
    <row r="179" spans="1:19" ht="45">
      <c r="A179" s="342" t="s">
        <v>604</v>
      </c>
      <c r="B179" s="498">
        <f>'RICON-S-VS'!C84</f>
        <v>99</v>
      </c>
      <c r="C179" s="498">
        <f>'RICON-S-VS'!F84</f>
        <v>92.415567140008505</v>
      </c>
      <c r="D179" s="498">
        <f t="shared" si="19"/>
        <v>42.653338680003927</v>
      </c>
      <c r="E179" s="498">
        <f t="shared" si="17"/>
        <v>49.762228460004579</v>
      </c>
      <c r="F179" s="498">
        <f t="shared" si="17"/>
        <v>56.871118240005231</v>
      </c>
      <c r="G179" s="498">
        <f t="shared" si="17"/>
        <v>63.980008020005883</v>
      </c>
      <c r="H179" s="498">
        <f t="shared" si="17"/>
        <v>71.088897800006535</v>
      </c>
      <c r="K179" s="342" t="s">
        <v>636</v>
      </c>
      <c r="L179" s="528" t="s">
        <v>501</v>
      </c>
      <c r="M179" s="498">
        <f>'RICON-S-VS'!C84</f>
        <v>99</v>
      </c>
      <c r="N179" s="498">
        <f>'RICON-S-VS'!F84</f>
        <v>92.415567140008505</v>
      </c>
      <c r="O179" s="498">
        <f t="shared" si="18"/>
        <v>42.653338680003927</v>
      </c>
      <c r="P179" s="498">
        <f t="shared" si="18"/>
        <v>49.762228460004579</v>
      </c>
      <c r="Q179" s="498">
        <f t="shared" si="18"/>
        <v>56.871118240005231</v>
      </c>
      <c r="R179" s="498">
        <f t="shared" si="18"/>
        <v>63.980008020005883</v>
      </c>
      <c r="S179" s="498">
        <f t="shared" si="18"/>
        <v>71.088897800006535</v>
      </c>
    </row>
    <row r="180" spans="1:19" ht="45">
      <c r="A180" s="342" t="s">
        <v>605</v>
      </c>
      <c r="B180" s="498">
        <f>'RICON-S-VS'!C86</f>
        <v>99</v>
      </c>
      <c r="C180" s="498">
        <f>'RICON-S-VS'!F86</f>
        <v>118.23647695999895</v>
      </c>
      <c r="D180" s="498">
        <f t="shared" si="19"/>
        <v>54.570681673845669</v>
      </c>
      <c r="E180" s="498">
        <f t="shared" si="17"/>
        <v>63.665795286153283</v>
      </c>
      <c r="F180" s="498">
        <f t="shared" si="17"/>
        <v>72.760908898460897</v>
      </c>
      <c r="G180" s="498">
        <f t="shared" si="17"/>
        <v>81.856022510768497</v>
      </c>
      <c r="H180" s="498">
        <f t="shared" si="17"/>
        <v>90.951136123076111</v>
      </c>
      <c r="K180" s="342" t="s">
        <v>635</v>
      </c>
      <c r="L180" s="528" t="s">
        <v>499</v>
      </c>
      <c r="M180" s="498">
        <f>'RICON-S-VS'!C86</f>
        <v>99</v>
      </c>
      <c r="N180" s="498">
        <f>'RICON-S-VS'!F86</f>
        <v>118.23647695999895</v>
      </c>
      <c r="O180" s="498">
        <f t="shared" si="18"/>
        <v>54.570681673845669</v>
      </c>
      <c r="P180" s="498">
        <f t="shared" si="18"/>
        <v>63.665795286153283</v>
      </c>
      <c r="Q180" s="498">
        <f t="shared" si="18"/>
        <v>72.760908898460897</v>
      </c>
      <c r="R180" s="498">
        <f t="shared" si="18"/>
        <v>81.856022510768497</v>
      </c>
      <c r="S180" s="498">
        <f t="shared" si="18"/>
        <v>90.951136123076111</v>
      </c>
    </row>
    <row r="181" spans="1:19" ht="45">
      <c r="A181" s="342" t="s">
        <v>606</v>
      </c>
      <c r="B181" s="498">
        <f>'RICON-S-VS'!C87</f>
        <v>99</v>
      </c>
      <c r="C181" s="498">
        <f>'RICON-S-VS'!F87</f>
        <v>142.69127424794846</v>
      </c>
      <c r="D181" s="498">
        <f t="shared" si="19"/>
        <v>65.857511191360828</v>
      </c>
      <c r="E181" s="498">
        <f t="shared" si="17"/>
        <v>76.833763056587628</v>
      </c>
      <c r="F181" s="498">
        <f t="shared" si="17"/>
        <v>87.810014921814428</v>
      </c>
      <c r="G181" s="498">
        <f t="shared" si="17"/>
        <v>98.786266787041242</v>
      </c>
      <c r="H181" s="498">
        <f t="shared" si="17"/>
        <v>99</v>
      </c>
      <c r="K181" s="342" t="s">
        <v>634</v>
      </c>
      <c r="L181" s="528" t="s">
        <v>502</v>
      </c>
      <c r="M181" s="498">
        <f>'RICON-S-VS'!C87</f>
        <v>99</v>
      </c>
      <c r="N181" s="498">
        <f>'RICON-S-VS'!F87</f>
        <v>142.69127424794846</v>
      </c>
      <c r="O181" s="498">
        <f t="shared" si="18"/>
        <v>65.857511191360828</v>
      </c>
      <c r="P181" s="498">
        <f t="shared" si="18"/>
        <v>76.833763056587628</v>
      </c>
      <c r="Q181" s="498">
        <f t="shared" si="18"/>
        <v>87.810014921814428</v>
      </c>
      <c r="R181" s="498">
        <f t="shared" si="18"/>
        <v>98.786266787041242</v>
      </c>
      <c r="S181" s="498">
        <f t="shared" si="18"/>
        <v>99</v>
      </c>
    </row>
    <row r="182" spans="1:19" ht="75">
      <c r="A182" s="342" t="s">
        <v>607</v>
      </c>
      <c r="B182" s="498">
        <f>'RICON-S-VS'!C89</f>
        <v>180</v>
      </c>
      <c r="C182" s="498">
        <f>'RICON-S-VS'!F89</f>
        <v>170.93257261945729</v>
      </c>
      <c r="D182" s="498">
        <f t="shared" si="19"/>
        <v>78.891956593595665</v>
      </c>
      <c r="E182" s="498">
        <f t="shared" si="17"/>
        <v>92.04061602586161</v>
      </c>
      <c r="F182" s="498">
        <f t="shared" si="17"/>
        <v>105.18927545812757</v>
      </c>
      <c r="G182" s="498">
        <f t="shared" si="17"/>
        <v>118.33793489039351</v>
      </c>
      <c r="H182" s="498">
        <f t="shared" si="17"/>
        <v>131.48659432265944</v>
      </c>
      <c r="K182" s="342" t="s">
        <v>608</v>
      </c>
      <c r="L182" s="528" t="s">
        <v>624</v>
      </c>
      <c r="M182" s="498">
        <f>'RICON-S-VS'!C89</f>
        <v>180</v>
      </c>
      <c r="N182" s="498">
        <f>'RICON-S-VS'!F89</f>
        <v>170.93257261945729</v>
      </c>
      <c r="O182" s="498">
        <f t="shared" si="18"/>
        <v>78.891956593595665</v>
      </c>
      <c r="P182" s="498">
        <f t="shared" si="18"/>
        <v>92.04061602586161</v>
      </c>
      <c r="Q182" s="498">
        <f t="shared" si="18"/>
        <v>105.18927545812757</v>
      </c>
      <c r="R182" s="498">
        <f t="shared" si="18"/>
        <v>118.33793489039351</v>
      </c>
      <c r="S182" s="498">
        <f t="shared" si="18"/>
        <v>131.48659432265944</v>
      </c>
    </row>
    <row r="183" spans="1:19" ht="75">
      <c r="A183" s="342" t="s">
        <v>609</v>
      </c>
      <c r="B183" s="498">
        <f>'RICON-S-VS'!C90</f>
        <v>180</v>
      </c>
      <c r="C183" s="498">
        <f>'RICON-S-VS'!F90</f>
        <v>195.85472248368981</v>
      </c>
      <c r="D183" s="498">
        <f t="shared" si="19"/>
        <v>90.394487300164513</v>
      </c>
      <c r="E183" s="498">
        <f t="shared" si="17"/>
        <v>105.46023518352528</v>
      </c>
      <c r="F183" s="498">
        <f t="shared" si="17"/>
        <v>120.52598306688604</v>
      </c>
      <c r="G183" s="498">
        <f t="shared" si="17"/>
        <v>135.59173095024678</v>
      </c>
      <c r="H183" s="498">
        <f t="shared" si="17"/>
        <v>150.65747883360754</v>
      </c>
      <c r="K183" s="342" t="s">
        <v>610</v>
      </c>
      <c r="L183" s="528" t="s">
        <v>623</v>
      </c>
      <c r="M183" s="498">
        <f>'RICON-S-VS'!C90</f>
        <v>180</v>
      </c>
      <c r="N183" s="498">
        <f>'RICON-S-VS'!F90</f>
        <v>195.85472248368981</v>
      </c>
      <c r="O183" s="498">
        <f t="shared" si="18"/>
        <v>90.394487300164513</v>
      </c>
      <c r="P183" s="498">
        <f t="shared" si="18"/>
        <v>105.46023518352528</v>
      </c>
      <c r="Q183" s="498">
        <f t="shared" si="18"/>
        <v>120.52598306688604</v>
      </c>
      <c r="R183" s="498">
        <f t="shared" si="18"/>
        <v>135.59173095024678</v>
      </c>
      <c r="S183" s="498">
        <f t="shared" si="18"/>
        <v>150.65747883360754</v>
      </c>
    </row>
    <row r="196" spans="1:19" ht="21">
      <c r="A196" s="506" t="s">
        <v>437</v>
      </c>
      <c r="K196" s="506" t="s">
        <v>459</v>
      </c>
      <c r="L196" s="506"/>
    </row>
    <row r="198" spans="1:19" ht="18.75">
      <c r="A198" s="802" t="s">
        <v>475</v>
      </c>
      <c r="B198" s="802"/>
      <c r="C198" s="802"/>
      <c r="D198" s="802"/>
      <c r="E198" s="802"/>
      <c r="F198" s="802"/>
      <c r="G198" s="802"/>
      <c r="H198" s="802"/>
      <c r="K198" s="802" t="s">
        <v>474</v>
      </c>
      <c r="L198" s="802"/>
      <c r="M198" s="802"/>
      <c r="N198" s="802"/>
      <c r="O198" s="802"/>
      <c r="P198" s="802"/>
      <c r="Q198" s="802"/>
      <c r="R198" s="802"/>
      <c r="S198" s="802"/>
    </row>
    <row r="199" spans="1:19" ht="18.75">
      <c r="A199" s="509" t="s">
        <v>611</v>
      </c>
      <c r="K199" s="509" t="s">
        <v>452</v>
      </c>
      <c r="L199" s="509"/>
    </row>
    <row r="200" spans="1:19" ht="18.75">
      <c r="A200" s="509"/>
      <c r="K200" s="509"/>
      <c r="L200" s="509"/>
    </row>
    <row r="201" spans="1:19" ht="18.75">
      <c r="A201" s="509"/>
      <c r="K201" s="509"/>
      <c r="L201" s="509"/>
    </row>
    <row r="202" spans="1:19" ht="18.75">
      <c r="A202" s="509"/>
      <c r="K202" s="509"/>
      <c r="L202" s="509"/>
    </row>
    <row r="203" spans="1:19" ht="18.75">
      <c r="A203" s="509"/>
      <c r="K203" s="509"/>
      <c r="L203" s="509"/>
    </row>
    <row r="204" spans="1:19" ht="18.75">
      <c r="A204" s="509"/>
      <c r="K204" s="509"/>
      <c r="L204" s="509"/>
    </row>
    <row r="205" spans="1:19" ht="18.75">
      <c r="A205" s="509"/>
      <c r="K205" s="509"/>
      <c r="L205" s="509"/>
    </row>
    <row r="206" spans="1:19" ht="18.75">
      <c r="A206" s="509"/>
      <c r="K206" s="509"/>
      <c r="L206" s="509"/>
    </row>
    <row r="207" spans="1:19" ht="18.75">
      <c r="A207" s="509"/>
      <c r="K207" s="509"/>
      <c r="L207" s="509"/>
    </row>
    <row r="208" spans="1:19" ht="18.75">
      <c r="A208" s="509"/>
      <c r="K208" s="509"/>
      <c r="L208" s="509"/>
    </row>
    <row r="209" spans="1:20" ht="18.75">
      <c r="A209" s="509"/>
      <c r="K209" s="509"/>
      <c r="L209" s="509"/>
    </row>
    <row r="210" spans="1:20" ht="18.75">
      <c r="A210" s="509"/>
      <c r="K210" s="509"/>
      <c r="L210" s="509"/>
    </row>
    <row r="211" spans="1:20" ht="21">
      <c r="A211" s="506" t="s">
        <v>410</v>
      </c>
      <c r="K211" s="506" t="s">
        <v>478</v>
      </c>
      <c r="L211" s="506"/>
    </row>
    <row r="212" spans="1:20" ht="30" customHeight="1">
      <c r="A212" s="4" t="s">
        <v>413</v>
      </c>
      <c r="B212" s="710" t="s">
        <v>414</v>
      </c>
      <c r="C212" s="712"/>
      <c r="D212" s="710" t="s">
        <v>421</v>
      </c>
      <c r="E212" s="711"/>
      <c r="F212" s="711"/>
      <c r="G212" s="201"/>
      <c r="H212" s="710" t="s">
        <v>443</v>
      </c>
      <c r="I212" s="712"/>
      <c r="J212" s="62"/>
      <c r="K212" s="4" t="s">
        <v>2</v>
      </c>
      <c r="L212" s="799" t="s">
        <v>614</v>
      </c>
      <c r="M212" s="803" t="s">
        <v>450</v>
      </c>
      <c r="N212" s="803"/>
      <c r="O212" s="710" t="s">
        <v>448</v>
      </c>
      <c r="P212" s="711"/>
      <c r="Q212" s="711"/>
      <c r="R212" s="201"/>
      <c r="S212" s="752" t="s">
        <v>453</v>
      </c>
      <c r="T212" s="753"/>
    </row>
    <row r="213" spans="1:20" ht="15" customHeight="1">
      <c r="A213" s="511"/>
      <c r="B213" s="516" t="s">
        <v>439</v>
      </c>
      <c r="C213" s="516" t="s">
        <v>440</v>
      </c>
      <c r="D213" s="710" t="s">
        <v>439</v>
      </c>
      <c r="E213" s="712"/>
      <c r="F213" s="710" t="s">
        <v>440</v>
      </c>
      <c r="G213" s="712"/>
      <c r="H213" s="797" t="s">
        <v>441</v>
      </c>
      <c r="I213" s="797" t="s">
        <v>442</v>
      </c>
      <c r="J213" s="513"/>
      <c r="K213" s="511"/>
      <c r="L213" s="800"/>
      <c r="M213" s="516" t="s">
        <v>456</v>
      </c>
      <c r="N213" s="516" t="s">
        <v>457</v>
      </c>
      <c r="O213" s="766" t="s">
        <v>456</v>
      </c>
      <c r="P213" s="766"/>
      <c r="Q213" s="711" t="s">
        <v>457</v>
      </c>
      <c r="R213" s="712"/>
      <c r="S213" s="796" t="s">
        <v>454</v>
      </c>
      <c r="T213" s="796" t="s">
        <v>455</v>
      </c>
    </row>
    <row r="214" spans="1:20">
      <c r="A214" s="8"/>
      <c r="B214" s="44" t="s">
        <v>438</v>
      </c>
      <c r="C214" s="44" t="s">
        <v>438</v>
      </c>
      <c r="D214" s="95">
        <v>0.6</v>
      </c>
      <c r="E214" s="95">
        <v>0.9</v>
      </c>
      <c r="F214" s="95">
        <v>0.6</v>
      </c>
      <c r="G214" s="95">
        <v>0.9</v>
      </c>
      <c r="H214" s="798"/>
      <c r="I214" s="798"/>
      <c r="J214" s="513"/>
      <c r="K214" s="8"/>
      <c r="L214" s="801"/>
      <c r="M214" s="44" t="s">
        <v>458</v>
      </c>
      <c r="N214" s="44" t="s">
        <v>458</v>
      </c>
      <c r="O214" s="95">
        <v>0.6</v>
      </c>
      <c r="P214" s="95">
        <v>0.9</v>
      </c>
      <c r="Q214" s="95">
        <v>0.6</v>
      </c>
      <c r="R214" s="95">
        <v>0.9</v>
      </c>
      <c r="S214" s="796"/>
      <c r="T214" s="796"/>
    </row>
    <row r="215" spans="1:20" ht="45">
      <c r="A215" s="396" t="s">
        <v>508</v>
      </c>
      <c r="B215" s="498">
        <f>'RICON_RICON-S-EK_GIGANT_WALCO '!H717</f>
        <v>0.68556196386955359</v>
      </c>
      <c r="C215" s="498">
        <f>'RICON_RICON-S-EK_GIGANT_WALCO '!I717</f>
        <v>4.6855619638695538</v>
      </c>
      <c r="D215" s="498">
        <f>$B215*D$214/1.3</f>
        <v>0.31641321409364009</v>
      </c>
      <c r="E215" s="498">
        <f>$B215*E$214/1.3</f>
        <v>0.4746198211404602</v>
      </c>
      <c r="F215" s="498">
        <f>$C215*F$214/1.3</f>
        <v>2.1625670602474862</v>
      </c>
      <c r="G215" s="498">
        <f>$C215*G$214/1.3</f>
        <v>3.2438505903712298</v>
      </c>
      <c r="H215" s="512">
        <f>D215*200/1.35</f>
        <v>46.876031717576311</v>
      </c>
      <c r="I215" s="512">
        <f t="shared" ref="I215:I227" si="20">F215*200/1.35</f>
        <v>320.38030522184977</v>
      </c>
      <c r="J215" s="514"/>
      <c r="K215" s="396" t="s">
        <v>509</v>
      </c>
      <c r="L215" s="523" t="s">
        <v>492</v>
      </c>
      <c r="M215" s="498">
        <f>'RICON_RICON-S-EK_GIGANT_WALCO '!H717</f>
        <v>0.68556196386955359</v>
      </c>
      <c r="N215" s="498">
        <f>'RICON_RICON-S-EK_GIGANT_WALCO '!I717</f>
        <v>4.6855619638695538</v>
      </c>
      <c r="O215" s="498">
        <f t="shared" ref="O215:P227" si="21">$B215*O$214/1.3</f>
        <v>0.31641321409364009</v>
      </c>
      <c r="P215" s="498">
        <f t="shared" si="21"/>
        <v>0.4746198211404602</v>
      </c>
      <c r="Q215" s="498">
        <f t="shared" ref="Q215:R227" si="22">$C215*Q$214/1.3</f>
        <v>2.1625670602474862</v>
      </c>
      <c r="R215" s="498">
        <f t="shared" si="22"/>
        <v>3.2438505903712298</v>
      </c>
      <c r="S215" s="512">
        <f>O215*200/1.35</f>
        <v>46.876031717576311</v>
      </c>
      <c r="T215" s="512">
        <f>Q215*200/1.35</f>
        <v>320.38030522184977</v>
      </c>
    </row>
    <row r="216" spans="1:20" ht="45">
      <c r="A216" s="396" t="s">
        <v>510</v>
      </c>
      <c r="B216" s="498">
        <f>'RICON_RICON-S-EK_GIGANT_WALCO '!H718</f>
        <v>0.93004458531057144</v>
      </c>
      <c r="C216" s="498">
        <f>'RICON_RICON-S-EK_GIGANT_WALCO '!I718</f>
        <v>4.9300445853105712</v>
      </c>
      <c r="D216" s="498">
        <f t="shared" ref="D216:E227" si="23">$B216*D$214/1.3</f>
        <v>0.42925134706641754</v>
      </c>
      <c r="E216" s="498">
        <f t="shared" si="23"/>
        <v>0.64387702059962637</v>
      </c>
      <c r="F216" s="498">
        <f t="shared" ref="F216:G227" si="24">$C216*F$214/1.3</f>
        <v>2.2754051932202635</v>
      </c>
      <c r="G216" s="498">
        <f t="shared" si="24"/>
        <v>3.4131077898303959</v>
      </c>
      <c r="H216" s="512">
        <f t="shared" ref="H216:H227" si="25">D216*200/1.35</f>
        <v>63.59279215798778</v>
      </c>
      <c r="I216" s="512">
        <f t="shared" si="20"/>
        <v>337.09706566226123</v>
      </c>
      <c r="J216" s="514"/>
      <c r="K216" s="396" t="s">
        <v>511</v>
      </c>
      <c r="L216" s="523" t="s">
        <v>493</v>
      </c>
      <c r="M216" s="498">
        <f>'RICON_RICON-S-EK_GIGANT_WALCO '!H718</f>
        <v>0.93004458531057144</v>
      </c>
      <c r="N216" s="498">
        <f>'RICON_RICON-S-EK_GIGANT_WALCO '!I718</f>
        <v>4.9300445853105712</v>
      </c>
      <c r="O216" s="498">
        <f t="shared" si="21"/>
        <v>0.42925134706641754</v>
      </c>
      <c r="P216" s="498">
        <f t="shared" si="21"/>
        <v>0.64387702059962637</v>
      </c>
      <c r="Q216" s="498">
        <f t="shared" si="22"/>
        <v>2.2754051932202635</v>
      </c>
      <c r="R216" s="498">
        <f t="shared" si="22"/>
        <v>3.4131077898303959</v>
      </c>
      <c r="S216" s="512">
        <f t="shared" ref="S216:S227" si="26">O216*200/1.35</f>
        <v>63.59279215798778</v>
      </c>
      <c r="T216" s="512">
        <f t="shared" ref="T216:T227" si="27">Q216*200/1.35</f>
        <v>337.09706566226123</v>
      </c>
    </row>
    <row r="217" spans="1:20" ht="45">
      <c r="A217" s="396" t="s">
        <v>512</v>
      </c>
      <c r="B217" s="498">
        <f>'RICON_RICON-S-EK_GIGANT_WALCO '!H719</f>
        <v>1.4937800644343464</v>
      </c>
      <c r="C217" s="498">
        <f>'RICON_RICON-S-EK_GIGANT_WALCO '!I719</f>
        <v>5.4937800644343469</v>
      </c>
      <c r="D217" s="498">
        <f t="shared" si="23"/>
        <v>0.68943695281585216</v>
      </c>
      <c r="E217" s="498">
        <f t="shared" si="23"/>
        <v>1.0341554292237782</v>
      </c>
      <c r="F217" s="498">
        <f t="shared" si="24"/>
        <v>2.5355907989696984</v>
      </c>
      <c r="G217" s="498">
        <f t="shared" si="24"/>
        <v>3.8033861984545481</v>
      </c>
      <c r="H217" s="512">
        <f t="shared" si="25"/>
        <v>102.13880782457069</v>
      </c>
      <c r="I217" s="512">
        <f t="shared" si="20"/>
        <v>375.64308132884418</v>
      </c>
      <c r="J217" s="514"/>
      <c r="K217" s="396" t="s">
        <v>513</v>
      </c>
      <c r="L217" s="523" t="s">
        <v>503</v>
      </c>
      <c r="M217" s="498">
        <f>'RICON_RICON-S-EK_GIGANT_WALCO '!H719</f>
        <v>1.4937800644343464</v>
      </c>
      <c r="N217" s="498">
        <f>'RICON_RICON-S-EK_GIGANT_WALCO '!I719</f>
        <v>5.4937800644343469</v>
      </c>
      <c r="O217" s="498">
        <f t="shared" si="21"/>
        <v>0.68943695281585216</v>
      </c>
      <c r="P217" s="498">
        <f t="shared" si="21"/>
        <v>1.0341554292237782</v>
      </c>
      <c r="Q217" s="498">
        <f t="shared" si="22"/>
        <v>2.5355907989696984</v>
      </c>
      <c r="R217" s="498">
        <f t="shared" si="22"/>
        <v>3.8033861984545481</v>
      </c>
      <c r="S217" s="512">
        <f t="shared" si="26"/>
        <v>102.13880782457069</v>
      </c>
      <c r="T217" s="512">
        <f t="shared" si="27"/>
        <v>375.64308132884418</v>
      </c>
    </row>
    <row r="218" spans="1:20" ht="45">
      <c r="A218" s="396" t="s">
        <v>514</v>
      </c>
      <c r="B218" s="498">
        <f>'RICON_RICON-S-EK_GIGANT_WALCO '!H720</f>
        <v>2.0699476121956257</v>
      </c>
      <c r="C218" s="498">
        <f>'RICON_RICON-S-EK_GIGANT_WALCO '!I720</f>
        <v>6.0699476121956257</v>
      </c>
      <c r="D218" s="498">
        <f t="shared" si="23"/>
        <v>0.95536043639798107</v>
      </c>
      <c r="E218" s="498">
        <f t="shared" si="23"/>
        <v>1.4330406545969716</v>
      </c>
      <c r="F218" s="498">
        <f t="shared" si="24"/>
        <v>2.8015142825518269</v>
      </c>
      <c r="G218" s="498">
        <f t="shared" si="24"/>
        <v>4.2022714238277405</v>
      </c>
      <c r="H218" s="512">
        <f t="shared" si="25"/>
        <v>141.53487946636756</v>
      </c>
      <c r="I218" s="512">
        <f t="shared" si="20"/>
        <v>415.039152970641</v>
      </c>
      <c r="J218" s="514"/>
      <c r="K218" s="396" t="s">
        <v>515</v>
      </c>
      <c r="L218" s="523" t="s">
        <v>504</v>
      </c>
      <c r="M218" s="498">
        <f>'RICON_RICON-S-EK_GIGANT_WALCO '!H720</f>
        <v>2.0699476121956257</v>
      </c>
      <c r="N218" s="498">
        <f>'RICON_RICON-S-EK_GIGANT_WALCO '!I720</f>
        <v>6.0699476121956257</v>
      </c>
      <c r="O218" s="498">
        <f t="shared" si="21"/>
        <v>0.95536043639798107</v>
      </c>
      <c r="P218" s="498">
        <f t="shared" si="21"/>
        <v>1.4330406545969716</v>
      </c>
      <c r="Q218" s="498">
        <f t="shared" si="22"/>
        <v>2.8015142825518269</v>
      </c>
      <c r="R218" s="498">
        <f t="shared" si="22"/>
        <v>4.2022714238277405</v>
      </c>
      <c r="S218" s="512">
        <f t="shared" si="26"/>
        <v>141.53487946636756</v>
      </c>
      <c r="T218" s="512">
        <f t="shared" si="27"/>
        <v>415.039152970641</v>
      </c>
    </row>
    <row r="219" spans="1:20" ht="45">
      <c r="A219" s="396" t="s">
        <v>516</v>
      </c>
      <c r="B219" s="498">
        <f>'RICON_RICON-S-EK_GIGANT_WALCO '!H721</f>
        <v>2.6785451403230303</v>
      </c>
      <c r="C219" s="498">
        <f>'RICON_RICON-S-EK_GIGANT_WALCO '!I721</f>
        <v>6.6785451403230303</v>
      </c>
      <c r="D219" s="498">
        <f t="shared" si="23"/>
        <v>1.2362516032260138</v>
      </c>
      <c r="E219" s="498">
        <f t="shared" si="23"/>
        <v>1.8543774048390211</v>
      </c>
      <c r="F219" s="498">
        <f t="shared" si="24"/>
        <v>3.0824054493798596</v>
      </c>
      <c r="G219" s="498">
        <f t="shared" si="24"/>
        <v>4.6236081740697896</v>
      </c>
      <c r="H219" s="512">
        <f t="shared" si="25"/>
        <v>183.14838566311315</v>
      </c>
      <c r="I219" s="512">
        <f t="shared" si="20"/>
        <v>456.65265916738662</v>
      </c>
      <c r="J219" s="514"/>
      <c r="K219" s="396" t="s">
        <v>517</v>
      </c>
      <c r="L219" s="523" t="s">
        <v>505</v>
      </c>
      <c r="M219" s="498">
        <f>'RICON_RICON-S-EK_GIGANT_WALCO '!H721</f>
        <v>2.6785451403230303</v>
      </c>
      <c r="N219" s="498">
        <f>'RICON_RICON-S-EK_GIGANT_WALCO '!I721</f>
        <v>6.6785451403230303</v>
      </c>
      <c r="O219" s="498">
        <f t="shared" si="21"/>
        <v>1.2362516032260138</v>
      </c>
      <c r="P219" s="498">
        <f t="shared" si="21"/>
        <v>1.8543774048390211</v>
      </c>
      <c r="Q219" s="498">
        <f t="shared" si="22"/>
        <v>3.0824054493798596</v>
      </c>
      <c r="R219" s="498">
        <f t="shared" si="22"/>
        <v>4.6236081740697896</v>
      </c>
      <c r="S219" s="512">
        <f t="shared" si="26"/>
        <v>183.14838566311315</v>
      </c>
      <c r="T219" s="512">
        <f t="shared" si="27"/>
        <v>456.65265916738662</v>
      </c>
    </row>
    <row r="220" spans="1:20" ht="45">
      <c r="A220" s="396" t="s">
        <v>518</v>
      </c>
      <c r="B220" s="498">
        <f>'RICON_RICON-S-EK_GIGANT_WALCO '!H722</f>
        <v>3.3245358298367984</v>
      </c>
      <c r="C220" s="498">
        <f>'RICON_RICON-S-EK_GIGANT_WALCO '!I722</f>
        <v>7.3245358298367984</v>
      </c>
      <c r="D220" s="498">
        <f t="shared" si="23"/>
        <v>1.5344011522323684</v>
      </c>
      <c r="E220" s="498">
        <f t="shared" si="23"/>
        <v>2.3016017283485528</v>
      </c>
      <c r="F220" s="498">
        <f t="shared" si="24"/>
        <v>3.3805549983862146</v>
      </c>
      <c r="G220" s="498">
        <f t="shared" si="24"/>
        <v>5.070832497579322</v>
      </c>
      <c r="H220" s="512">
        <f t="shared" si="25"/>
        <v>227.31868921961009</v>
      </c>
      <c r="I220" s="512">
        <f t="shared" si="20"/>
        <v>500.82296272388362</v>
      </c>
      <c r="J220" s="514"/>
      <c r="K220" s="396" t="s">
        <v>519</v>
      </c>
      <c r="L220" s="523" t="s">
        <v>506</v>
      </c>
      <c r="M220" s="498">
        <f>'RICON_RICON-S-EK_GIGANT_WALCO '!H722</f>
        <v>3.3245358298367984</v>
      </c>
      <c r="N220" s="498">
        <f>'RICON_RICON-S-EK_GIGANT_WALCO '!I722</f>
        <v>7.3245358298367984</v>
      </c>
      <c r="O220" s="498">
        <f t="shared" si="21"/>
        <v>1.5344011522323684</v>
      </c>
      <c r="P220" s="498">
        <f t="shared" si="21"/>
        <v>2.3016017283485528</v>
      </c>
      <c r="Q220" s="498">
        <f t="shared" si="22"/>
        <v>3.3805549983862146</v>
      </c>
      <c r="R220" s="498">
        <f t="shared" si="22"/>
        <v>5.070832497579322</v>
      </c>
      <c r="S220" s="512">
        <f t="shared" si="26"/>
        <v>227.31868921961009</v>
      </c>
      <c r="T220" s="512">
        <f t="shared" si="27"/>
        <v>500.82296272388362</v>
      </c>
    </row>
    <row r="221" spans="1:20" ht="45">
      <c r="A221" s="408" t="s">
        <v>520</v>
      </c>
      <c r="B221" s="498">
        <f>'RICON_RICON-S-EK_GIGANT_WALCO '!H725</f>
        <v>4.1135329443476287</v>
      </c>
      <c r="C221" s="498">
        <f>'RICON_RICON-S-EK_GIGANT_WALCO '!I725</f>
        <v>8.1135329443476287</v>
      </c>
      <c r="D221" s="498">
        <f t="shared" si="23"/>
        <v>1.8985536666219824</v>
      </c>
      <c r="E221" s="498">
        <f t="shared" si="23"/>
        <v>2.8478304999329738</v>
      </c>
      <c r="F221" s="498">
        <f t="shared" si="24"/>
        <v>3.744707512775828</v>
      </c>
      <c r="G221" s="498">
        <f t="shared" si="24"/>
        <v>5.6170612691637434</v>
      </c>
      <c r="H221" s="512">
        <f t="shared" si="25"/>
        <v>281.26720986992331</v>
      </c>
      <c r="I221" s="512">
        <f t="shared" si="20"/>
        <v>554.77148337419669</v>
      </c>
      <c r="J221" s="514"/>
      <c r="K221" s="408" t="s">
        <v>521</v>
      </c>
      <c r="L221" s="529" t="s">
        <v>505</v>
      </c>
      <c r="M221" s="498">
        <f>'RICON_RICON-S-EK_GIGANT_WALCO '!H725</f>
        <v>4.1135329443476287</v>
      </c>
      <c r="N221" s="498">
        <f>'RICON_RICON-S-EK_GIGANT_WALCO '!I725</f>
        <v>8.1135329443476287</v>
      </c>
      <c r="O221" s="498">
        <f t="shared" si="21"/>
        <v>1.8985536666219824</v>
      </c>
      <c r="P221" s="498">
        <f t="shared" si="21"/>
        <v>2.8478304999329738</v>
      </c>
      <c r="Q221" s="498">
        <f t="shared" si="22"/>
        <v>3.744707512775828</v>
      </c>
      <c r="R221" s="498">
        <f t="shared" si="22"/>
        <v>5.6170612691637434</v>
      </c>
      <c r="S221" s="512">
        <f t="shared" si="26"/>
        <v>281.26720986992331</v>
      </c>
      <c r="T221" s="512">
        <f t="shared" si="27"/>
        <v>554.77148337419669</v>
      </c>
    </row>
    <row r="222" spans="1:20" ht="45">
      <c r="A222" s="408" t="s">
        <v>522</v>
      </c>
      <c r="B222" s="498">
        <f>'RICON_RICON-S-EK_GIGANT_WALCO '!H726</f>
        <v>5.1055236549138909</v>
      </c>
      <c r="C222" s="498">
        <f>'RICON_RICON-S-EK_GIGANT_WALCO '!I726</f>
        <v>9.1055236549138918</v>
      </c>
      <c r="D222" s="498">
        <f t="shared" si="23"/>
        <v>2.3563955330371802</v>
      </c>
      <c r="E222" s="498">
        <f t="shared" si="23"/>
        <v>3.5345932995557705</v>
      </c>
      <c r="F222" s="498">
        <f t="shared" si="24"/>
        <v>4.2025493791910264</v>
      </c>
      <c r="G222" s="498">
        <f t="shared" si="24"/>
        <v>6.3038240687865406</v>
      </c>
      <c r="H222" s="512">
        <f t="shared" si="25"/>
        <v>349.09563452402671</v>
      </c>
      <c r="I222" s="512">
        <f t="shared" si="20"/>
        <v>622.59990802830021</v>
      </c>
      <c r="J222" s="514"/>
      <c r="K222" s="408" t="s">
        <v>523</v>
      </c>
      <c r="L222" s="529" t="s">
        <v>506</v>
      </c>
      <c r="M222" s="498">
        <f>'RICON_RICON-S-EK_GIGANT_WALCO '!H726</f>
        <v>5.1055236549138909</v>
      </c>
      <c r="N222" s="498">
        <f>'RICON_RICON-S-EK_GIGANT_WALCO '!I726</f>
        <v>9.1055236549138918</v>
      </c>
      <c r="O222" s="498">
        <f t="shared" si="21"/>
        <v>2.3563955330371802</v>
      </c>
      <c r="P222" s="498">
        <f t="shared" si="21"/>
        <v>3.5345932995557705</v>
      </c>
      <c r="Q222" s="498">
        <f t="shared" si="22"/>
        <v>4.2025493791910264</v>
      </c>
      <c r="R222" s="498">
        <f t="shared" si="22"/>
        <v>6.3038240687865406</v>
      </c>
      <c r="S222" s="512">
        <f t="shared" si="26"/>
        <v>349.09563452402671</v>
      </c>
      <c r="T222" s="512">
        <f t="shared" si="27"/>
        <v>622.59990802830021</v>
      </c>
    </row>
    <row r="223" spans="1:20" ht="45">
      <c r="A223" s="396" t="s">
        <v>524</v>
      </c>
      <c r="B223" s="498">
        <f>'RICON_RICON-S-EK_GIGANT_WALCO '!H727</f>
        <v>2.8454065427374902</v>
      </c>
      <c r="C223" s="498">
        <f>'RICON_RICON-S-EK_GIGANT_WALCO '!I727</f>
        <v>6.8454065427374902</v>
      </c>
      <c r="D223" s="498">
        <f t="shared" si="23"/>
        <v>1.3132645581865339</v>
      </c>
      <c r="E223" s="498">
        <f t="shared" si="23"/>
        <v>1.9698968372798009</v>
      </c>
      <c r="F223" s="498">
        <f t="shared" si="24"/>
        <v>3.1594184043403799</v>
      </c>
      <c r="G223" s="498">
        <f t="shared" si="24"/>
        <v>4.7391276065105696</v>
      </c>
      <c r="H223" s="512">
        <f t="shared" si="25"/>
        <v>194.55771232393093</v>
      </c>
      <c r="I223" s="512">
        <f t="shared" si="20"/>
        <v>468.0619858282044</v>
      </c>
      <c r="J223" s="514"/>
      <c r="K223" s="396" t="s">
        <v>525</v>
      </c>
      <c r="L223" s="523" t="s">
        <v>625</v>
      </c>
      <c r="M223" s="498">
        <f>'RICON_RICON-S-EK_GIGANT_WALCO '!H727</f>
        <v>2.8454065427374902</v>
      </c>
      <c r="N223" s="498">
        <f>'RICON_RICON-S-EK_GIGANT_WALCO '!I727</f>
        <v>6.8454065427374902</v>
      </c>
      <c r="O223" s="498">
        <f t="shared" si="21"/>
        <v>1.3132645581865339</v>
      </c>
      <c r="P223" s="498">
        <f t="shared" si="21"/>
        <v>1.9698968372798009</v>
      </c>
      <c r="Q223" s="498">
        <f t="shared" si="22"/>
        <v>3.1594184043403799</v>
      </c>
      <c r="R223" s="498">
        <f t="shared" si="22"/>
        <v>4.7391276065105696</v>
      </c>
      <c r="S223" s="512">
        <f t="shared" si="26"/>
        <v>194.55771232393093</v>
      </c>
      <c r="T223" s="512">
        <f t="shared" si="27"/>
        <v>468.0619858282044</v>
      </c>
    </row>
    <row r="224" spans="1:20" ht="45">
      <c r="A224" s="396" t="s">
        <v>526</v>
      </c>
      <c r="B224" s="498">
        <f>'RICON_RICON-S-EK_GIGANT_WALCO '!H728</f>
        <v>4.2725432285353833</v>
      </c>
      <c r="C224" s="498">
        <f>'RICON_RICON-S-EK_GIGANT_WALCO '!I728</f>
        <v>8.2725432285353833</v>
      </c>
      <c r="D224" s="498">
        <f t="shared" si="23"/>
        <v>1.9719430285547921</v>
      </c>
      <c r="E224" s="498">
        <f t="shared" si="23"/>
        <v>2.9579145428321882</v>
      </c>
      <c r="F224" s="498">
        <f t="shared" si="24"/>
        <v>3.8180968747086386</v>
      </c>
      <c r="G224" s="498">
        <f t="shared" si="24"/>
        <v>5.727145312062957</v>
      </c>
      <c r="H224" s="512">
        <f t="shared" si="25"/>
        <v>292.13970793404326</v>
      </c>
      <c r="I224" s="512">
        <f t="shared" si="20"/>
        <v>565.64398143831681</v>
      </c>
      <c r="J224" s="514"/>
      <c r="K224" s="396" t="s">
        <v>527</v>
      </c>
      <c r="L224" s="523" t="s">
        <v>626</v>
      </c>
      <c r="M224" s="498">
        <f>'RICON_RICON-S-EK_GIGANT_WALCO '!H728</f>
        <v>4.2725432285353833</v>
      </c>
      <c r="N224" s="498">
        <f>'RICON_RICON-S-EK_GIGANT_WALCO '!I728</f>
        <v>8.2725432285353833</v>
      </c>
      <c r="O224" s="498">
        <f t="shared" si="21"/>
        <v>1.9719430285547921</v>
      </c>
      <c r="P224" s="498">
        <f t="shared" si="21"/>
        <v>2.9579145428321882</v>
      </c>
      <c r="Q224" s="498">
        <f t="shared" si="22"/>
        <v>3.8180968747086386</v>
      </c>
      <c r="R224" s="498">
        <f t="shared" si="22"/>
        <v>5.727145312062957</v>
      </c>
      <c r="S224" s="512">
        <f t="shared" si="26"/>
        <v>292.13970793404326</v>
      </c>
      <c r="T224" s="512">
        <f t="shared" si="27"/>
        <v>565.64398143831681</v>
      </c>
    </row>
    <row r="225" spans="1:20" ht="45">
      <c r="A225" s="396" t="s">
        <v>528</v>
      </c>
      <c r="B225" s="498">
        <f>'RICON_RICON-S-EK_GIGANT_WALCO '!H729</f>
        <v>5.6346405643713657</v>
      </c>
      <c r="C225" s="498">
        <f>'RICON_RICON-S-EK_GIGANT_WALCO '!I729</f>
        <v>9.6346405643713666</v>
      </c>
      <c r="D225" s="498">
        <f t="shared" si="23"/>
        <v>2.6006033374021684</v>
      </c>
      <c r="E225" s="498">
        <f t="shared" si="23"/>
        <v>3.9009050061032533</v>
      </c>
      <c r="F225" s="498">
        <f t="shared" si="24"/>
        <v>4.4467571835560156</v>
      </c>
      <c r="G225" s="498">
        <f t="shared" si="24"/>
        <v>6.6701357753340238</v>
      </c>
      <c r="H225" s="512">
        <f t="shared" si="25"/>
        <v>385.2745685040249</v>
      </c>
      <c r="I225" s="512">
        <f t="shared" si="20"/>
        <v>658.77884200829851</v>
      </c>
      <c r="J225" s="514"/>
      <c r="K225" s="396" t="s">
        <v>529</v>
      </c>
      <c r="L225" s="523" t="s">
        <v>627</v>
      </c>
      <c r="M225" s="498">
        <f>'RICON_RICON-S-EK_GIGANT_WALCO '!H729</f>
        <v>5.6346405643713657</v>
      </c>
      <c r="N225" s="498">
        <f>'RICON_RICON-S-EK_GIGANT_WALCO '!I729</f>
        <v>9.6346405643713666</v>
      </c>
      <c r="O225" s="498">
        <f t="shared" si="21"/>
        <v>2.6006033374021684</v>
      </c>
      <c r="P225" s="498">
        <f t="shared" si="21"/>
        <v>3.9009050061032533</v>
      </c>
      <c r="Q225" s="498">
        <f t="shared" si="22"/>
        <v>4.4467571835560156</v>
      </c>
      <c r="R225" s="498">
        <f t="shared" si="22"/>
        <v>6.6701357753340238</v>
      </c>
      <c r="S225" s="512">
        <f t="shared" si="26"/>
        <v>385.2745685040249</v>
      </c>
      <c r="T225" s="512">
        <f t="shared" si="27"/>
        <v>658.77884200829851</v>
      </c>
    </row>
    <row r="226" spans="1:20" ht="45">
      <c r="A226" s="396" t="s">
        <v>530</v>
      </c>
      <c r="B226" s="498">
        <f>'RICON_RICON-S-EK_GIGANT_WALCO '!H730</f>
        <v>5.1169638723882258</v>
      </c>
      <c r="C226" s="498">
        <f>'RICON_RICON-S-EK_GIGANT_WALCO '!I730</f>
        <v>9.1169638723882258</v>
      </c>
      <c r="D226" s="498">
        <f t="shared" si="23"/>
        <v>2.3616756334099502</v>
      </c>
      <c r="E226" s="498">
        <f t="shared" si="23"/>
        <v>3.5425134501149258</v>
      </c>
      <c r="F226" s="498">
        <f t="shared" si="24"/>
        <v>4.207829479563796</v>
      </c>
      <c r="G226" s="498">
        <f t="shared" si="24"/>
        <v>6.3117442193456954</v>
      </c>
      <c r="H226" s="512">
        <f t="shared" si="25"/>
        <v>349.87787161628893</v>
      </c>
      <c r="I226" s="512">
        <f t="shared" si="20"/>
        <v>623.38214512056231</v>
      </c>
      <c r="J226" s="514"/>
      <c r="K226" s="396" t="s">
        <v>531</v>
      </c>
      <c r="L226" s="523" t="s">
        <v>628</v>
      </c>
      <c r="M226" s="498">
        <f>'RICON_RICON-S-EK_GIGANT_WALCO '!H730</f>
        <v>5.1169638723882258</v>
      </c>
      <c r="N226" s="498">
        <f>'RICON_RICON-S-EK_GIGANT_WALCO '!I730</f>
        <v>9.1169638723882258</v>
      </c>
      <c r="O226" s="498">
        <f t="shared" si="21"/>
        <v>2.3616756334099502</v>
      </c>
      <c r="P226" s="498">
        <f t="shared" si="21"/>
        <v>3.5425134501149258</v>
      </c>
      <c r="Q226" s="498">
        <f t="shared" si="22"/>
        <v>4.207829479563796</v>
      </c>
      <c r="R226" s="498">
        <f t="shared" si="22"/>
        <v>6.3117442193456954</v>
      </c>
      <c r="S226" s="512">
        <f t="shared" si="26"/>
        <v>349.87787161628893</v>
      </c>
      <c r="T226" s="512">
        <f t="shared" si="27"/>
        <v>623.38214512056231</v>
      </c>
    </row>
    <row r="227" spans="1:20" ht="45">
      <c r="A227" s="396" t="s">
        <v>532</v>
      </c>
      <c r="B227" s="498">
        <f>'RICON_RICON-S-EK_GIGANT_WALCO '!H731</f>
        <v>4.6863960027681477</v>
      </c>
      <c r="C227" s="498">
        <f>'RICON_RICON-S-EK_GIGANT_WALCO '!I731</f>
        <v>8.6863960027681486</v>
      </c>
      <c r="D227" s="498">
        <f t="shared" si="23"/>
        <v>2.1629520012776062</v>
      </c>
      <c r="E227" s="498">
        <f t="shared" si="23"/>
        <v>3.2444280019164102</v>
      </c>
      <c r="F227" s="498">
        <f t="shared" si="24"/>
        <v>4.0091058474314529</v>
      </c>
      <c r="G227" s="498">
        <f t="shared" si="24"/>
        <v>6.0136587711471794</v>
      </c>
      <c r="H227" s="512">
        <f t="shared" si="25"/>
        <v>320.4373335226083</v>
      </c>
      <c r="I227" s="512">
        <f t="shared" si="20"/>
        <v>593.94160702688191</v>
      </c>
      <c r="J227" s="514"/>
      <c r="K227" s="396" t="s">
        <v>533</v>
      </c>
      <c r="L227" s="523" t="s">
        <v>629</v>
      </c>
      <c r="M227" s="498">
        <f>'RICON_RICON-S-EK_GIGANT_WALCO '!H731</f>
        <v>4.6863960027681477</v>
      </c>
      <c r="N227" s="498">
        <f>'RICON_RICON-S-EK_GIGANT_WALCO '!I731</f>
        <v>8.6863960027681486</v>
      </c>
      <c r="O227" s="498">
        <f t="shared" si="21"/>
        <v>2.1629520012776062</v>
      </c>
      <c r="P227" s="498">
        <f t="shared" si="21"/>
        <v>3.2444280019164102</v>
      </c>
      <c r="Q227" s="498">
        <f t="shared" si="22"/>
        <v>4.0091058474314529</v>
      </c>
      <c r="R227" s="498">
        <f t="shared" si="22"/>
        <v>6.0136587711471794</v>
      </c>
      <c r="S227" s="512">
        <f t="shared" si="26"/>
        <v>320.4373335226083</v>
      </c>
      <c r="T227" s="512">
        <f t="shared" si="27"/>
        <v>593.94160702688191</v>
      </c>
    </row>
  </sheetData>
  <sheetProtection password="D9CA" sheet="1" objects="1" scenarios="1" selectLockedCells="1"/>
  <customSheetViews>
    <customSheetView guid="{88029C9E-0AAA-4AEA-8FBA-3530118F01BF}" hiddenColumns="1" topLeftCell="K1">
      <selection activeCell="O18" sqref="O18"/>
      <rowBreaks count="4" manualBreakCount="4">
        <brk id="37" max="16383" man="1"/>
        <brk id="68" max="16383" man="1"/>
        <brk id="99" max="16383" man="1"/>
        <brk id="146" max="16383" man="1"/>
      </rowBreaks>
      <colBreaks count="1" manualBreakCount="1">
        <brk id="10" max="1048575" man="1"/>
      </col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</customSheetView>
  </customSheetViews>
  <mergeCells count="52">
    <mergeCell ref="A1:H2"/>
    <mergeCell ref="K1:S2"/>
    <mergeCell ref="B16:C16"/>
    <mergeCell ref="D16:H16"/>
    <mergeCell ref="M16:N16"/>
    <mergeCell ref="O16:S16"/>
    <mergeCell ref="A4:H4"/>
    <mergeCell ref="A38:H38"/>
    <mergeCell ref="K38:S38"/>
    <mergeCell ref="B41:C41"/>
    <mergeCell ref="D41:H41"/>
    <mergeCell ref="M41:N41"/>
    <mergeCell ref="O41:S41"/>
    <mergeCell ref="A69:H69"/>
    <mergeCell ref="K69:S69"/>
    <mergeCell ref="B72:C72"/>
    <mergeCell ref="D72:H72"/>
    <mergeCell ref="M72:N72"/>
    <mergeCell ref="O72:S72"/>
    <mergeCell ref="A100:H100"/>
    <mergeCell ref="K100:S100"/>
    <mergeCell ref="B110:C110"/>
    <mergeCell ref="D110:H110"/>
    <mergeCell ref="M110:N110"/>
    <mergeCell ref="O110:S110"/>
    <mergeCell ref="A122:H122"/>
    <mergeCell ref="B134:C134"/>
    <mergeCell ref="D134:H134"/>
    <mergeCell ref="M134:N134"/>
    <mergeCell ref="O134:S134"/>
    <mergeCell ref="A147:H147"/>
    <mergeCell ref="B172:C172"/>
    <mergeCell ref="D172:H172"/>
    <mergeCell ref="M172:N172"/>
    <mergeCell ref="O172:S172"/>
    <mergeCell ref="A198:H198"/>
    <mergeCell ref="K198:S198"/>
    <mergeCell ref="B212:C212"/>
    <mergeCell ref="D212:F212"/>
    <mergeCell ref="H212:I212"/>
    <mergeCell ref="M212:N212"/>
    <mergeCell ref="O212:Q212"/>
    <mergeCell ref="S212:T212"/>
    <mergeCell ref="S213:S214"/>
    <mergeCell ref="T213:T214"/>
    <mergeCell ref="D213:E213"/>
    <mergeCell ref="F213:G213"/>
    <mergeCell ref="H213:H214"/>
    <mergeCell ref="I213:I214"/>
    <mergeCell ref="O213:P213"/>
    <mergeCell ref="Q213:R213"/>
    <mergeCell ref="L212:L214"/>
  </mergeCells>
  <pageMargins left="0.23622047244094491" right="0.23622047244094491" top="0.74803149606299213" bottom="0.74803149606299213" header="0.31496062992125984" footer="0.31496062992125984"/>
  <pageSetup paperSize="9" scale="62" orientation="portrait" r:id="rId2"/>
  <rowBreaks count="4" manualBreakCount="4">
    <brk id="37" max="16383" man="1"/>
    <brk id="68" max="16383" man="1"/>
    <brk id="99" max="16383" man="1"/>
    <brk id="146" max="16383" man="1"/>
  </rowBreaks>
  <colBreaks count="1" manualBreakCount="1">
    <brk id="10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00"/>
  <sheetViews>
    <sheetView showGridLines="0" showRowColHeaders="0" showRuler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bestFit="1" customWidth="1"/>
    <col min="4" max="4" width="25" bestFit="1" customWidth="1"/>
    <col min="6" max="6" width="12.42578125" customWidth="1"/>
    <col min="10" max="10" width="10.1406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20" ht="21" customHeight="1">
      <c r="A1" s="806" t="s">
        <v>649</v>
      </c>
      <c r="B1" s="806"/>
      <c r="C1" s="806"/>
      <c r="D1" s="806"/>
      <c r="E1" s="806"/>
      <c r="F1" s="806"/>
      <c r="G1" s="806"/>
      <c r="H1" s="806"/>
      <c r="I1" s="806"/>
      <c r="J1" s="806"/>
      <c r="K1" s="804" t="s">
        <v>444</v>
      </c>
      <c r="L1" s="804"/>
      <c r="M1" s="804"/>
      <c r="N1" s="804"/>
      <c r="O1" s="804"/>
      <c r="P1" s="804"/>
      <c r="Q1" s="804"/>
      <c r="R1" s="804"/>
    </row>
    <row r="2" spans="1:20" ht="21.6" customHeight="1" thickBot="1">
      <c r="A2" s="807"/>
      <c r="B2" s="807"/>
      <c r="C2" s="807"/>
      <c r="D2" s="807"/>
      <c r="E2" s="807"/>
      <c r="F2" s="807"/>
      <c r="G2" s="807"/>
      <c r="H2" s="807"/>
      <c r="I2" s="807"/>
      <c r="J2" s="807"/>
      <c r="K2" s="804"/>
      <c r="L2" s="804"/>
      <c r="M2" s="804"/>
      <c r="N2" s="804"/>
      <c r="O2" s="804"/>
      <c r="P2" s="804"/>
      <c r="Q2" s="804"/>
      <c r="R2" s="804"/>
    </row>
    <row r="3" spans="1:20" ht="21">
      <c r="A3" s="517"/>
      <c r="B3" s="517"/>
      <c r="C3" s="517"/>
      <c r="D3" s="517"/>
      <c r="E3" s="517"/>
      <c r="F3" s="517"/>
      <c r="G3" s="517"/>
      <c r="H3" s="517"/>
      <c r="I3" s="517"/>
      <c r="K3" s="517"/>
      <c r="L3" s="517"/>
      <c r="M3" s="517"/>
      <c r="N3" s="517"/>
      <c r="O3" s="517"/>
      <c r="P3" s="517"/>
      <c r="Q3" s="517"/>
      <c r="R3" s="517"/>
    </row>
    <row r="4" spans="1:20" ht="33.75">
      <c r="A4" s="554" t="s">
        <v>478</v>
      </c>
      <c r="B4" s="555"/>
      <c r="C4" s="555"/>
      <c r="D4" s="555"/>
      <c r="E4" s="555"/>
      <c r="F4" s="555"/>
      <c r="G4" s="555"/>
      <c r="H4" s="555"/>
      <c r="I4" s="555"/>
      <c r="J4" s="553"/>
      <c r="K4" s="551"/>
      <c r="L4" s="551"/>
      <c r="M4" s="551"/>
      <c r="N4" s="551"/>
      <c r="O4" s="551"/>
      <c r="P4" s="551"/>
      <c r="Q4" s="551"/>
      <c r="R4" s="551"/>
    </row>
    <row r="5" spans="1:20" ht="21">
      <c r="A5" s="556" t="s">
        <v>677</v>
      </c>
      <c r="B5" s="541"/>
      <c r="C5" s="541"/>
      <c r="D5" s="541" t="s">
        <v>650</v>
      </c>
      <c r="E5" s="599" t="s">
        <v>25</v>
      </c>
      <c r="G5" s="580" t="str">
        <f>VLOOKUP(E5,'RICON_RICON-S-EK_GIGANT_WALCO '!V7:X16,3,FALSE)</f>
        <v>Brettschichtholz homogen</v>
      </c>
      <c r="H5" s="541"/>
      <c r="K5" s="802" t="s">
        <v>473</v>
      </c>
      <c r="L5" s="802"/>
      <c r="M5" s="802"/>
      <c r="N5" s="802"/>
      <c r="O5" s="802"/>
      <c r="P5" s="802"/>
      <c r="Q5" s="802"/>
      <c r="R5" s="802"/>
    </row>
    <row r="6" spans="1:20" ht="18.75">
      <c r="D6" s="578" t="s">
        <v>657</v>
      </c>
      <c r="E6" s="599">
        <v>1</v>
      </c>
      <c r="G6" s="579" t="str">
        <f>VLOOKUP(Belastungsblatt_RICON_DE!E6,'RICON_RICON-S-EK_GIGANT_WALCO '!V21:W22,2,FALSE)</f>
        <v>Innenbereich</v>
      </c>
      <c r="K6" s="509" t="s">
        <v>445</v>
      </c>
    </row>
    <row r="7" spans="1:20" ht="21.6" customHeight="1">
      <c r="A7" s="515"/>
      <c r="B7" s="517"/>
      <c r="C7" s="515"/>
      <c r="D7" s="515"/>
      <c r="E7" s="515"/>
      <c r="F7" s="515"/>
      <c r="G7" s="515"/>
      <c r="H7" s="515"/>
      <c r="I7" s="515"/>
      <c r="K7" s="515"/>
      <c r="L7" s="515"/>
      <c r="M7" s="515"/>
      <c r="N7" s="515"/>
      <c r="O7" s="515"/>
      <c r="P7" s="515"/>
      <c r="Q7" s="515"/>
      <c r="R7" s="515"/>
    </row>
    <row r="8" spans="1:20" ht="21.6" customHeight="1">
      <c r="A8" s="515"/>
      <c r="B8" s="517"/>
      <c r="C8" s="515"/>
      <c r="D8" s="515"/>
      <c r="E8" s="515"/>
      <c r="F8" s="515"/>
      <c r="G8" s="515"/>
      <c r="H8" s="515"/>
      <c r="I8" s="515"/>
      <c r="K8" s="515"/>
      <c r="L8" s="515"/>
      <c r="M8" s="515"/>
      <c r="N8" s="515"/>
      <c r="O8" s="515"/>
      <c r="P8" s="515"/>
      <c r="Q8" s="515"/>
      <c r="R8" s="515"/>
    </row>
    <row r="9" spans="1:20" ht="21.6" customHeight="1">
      <c r="A9" s="515"/>
      <c r="B9" s="517"/>
      <c r="C9" s="515"/>
      <c r="D9" s="515"/>
      <c r="E9" s="515"/>
      <c r="F9" s="515"/>
      <c r="G9" s="515"/>
      <c r="H9" s="515"/>
      <c r="K9" s="515"/>
      <c r="L9" s="515"/>
      <c r="M9" s="515"/>
      <c r="N9" s="515"/>
      <c r="O9" s="515"/>
      <c r="P9" s="515"/>
      <c r="Q9" s="515"/>
      <c r="R9" s="515"/>
      <c r="T9" s="540"/>
    </row>
    <row r="10" spans="1:20" ht="21.6" customHeight="1">
      <c r="A10" s="515"/>
      <c r="B10" s="517"/>
      <c r="C10" s="515"/>
      <c r="D10" s="515"/>
      <c r="E10" s="515"/>
      <c r="F10" s="515"/>
      <c r="G10" s="515"/>
      <c r="H10" s="515"/>
      <c r="I10" s="515"/>
      <c r="K10" s="515"/>
      <c r="L10" s="515"/>
      <c r="M10" s="515"/>
      <c r="N10" s="515"/>
      <c r="O10" s="515"/>
      <c r="P10" s="515"/>
      <c r="Q10" s="515"/>
      <c r="R10" s="515"/>
    </row>
    <row r="11" spans="1:20" ht="21.6" customHeight="1">
      <c r="A11" s="515"/>
      <c r="B11" s="517"/>
      <c r="C11" s="515"/>
      <c r="D11" s="515"/>
      <c r="E11" s="515"/>
      <c r="F11" s="515"/>
      <c r="G11" s="515"/>
      <c r="H11" s="515"/>
      <c r="I11" s="515"/>
      <c r="K11" s="515"/>
      <c r="L11" s="515"/>
      <c r="M11" s="515"/>
      <c r="N11" s="515"/>
      <c r="O11" s="515"/>
      <c r="P11" s="515"/>
      <c r="Q11" s="515"/>
      <c r="R11" s="515"/>
    </row>
    <row r="12" spans="1:20" ht="21.6" customHeight="1">
      <c r="A12" s="515"/>
      <c r="B12" s="517"/>
      <c r="C12" s="515"/>
      <c r="D12" s="515"/>
      <c r="E12" s="515"/>
      <c r="F12" s="515"/>
      <c r="G12" s="515"/>
      <c r="H12" s="515"/>
      <c r="I12" s="515"/>
      <c r="K12" s="515"/>
      <c r="L12" s="515"/>
      <c r="M12" s="515"/>
      <c r="N12" s="515"/>
      <c r="O12" s="515"/>
      <c r="P12" s="515"/>
      <c r="Q12" s="515"/>
      <c r="R12" s="515"/>
    </row>
    <row r="13" spans="1:20" ht="21.6" customHeight="1">
      <c r="A13" s="507"/>
      <c r="B13" s="517"/>
      <c r="C13" s="507"/>
      <c r="D13" s="507"/>
      <c r="E13" s="507"/>
      <c r="F13" s="507"/>
      <c r="G13" s="507"/>
      <c r="H13" s="507"/>
      <c r="I13" s="507"/>
      <c r="K13" s="507"/>
      <c r="L13" s="507"/>
      <c r="M13" s="507"/>
      <c r="N13" s="507"/>
      <c r="O13" s="507"/>
      <c r="P13" s="507"/>
      <c r="Q13" s="507"/>
      <c r="R13" s="507"/>
    </row>
    <row r="16" spans="1:20" ht="21">
      <c r="B16" s="506"/>
      <c r="K16" s="506" t="s">
        <v>410</v>
      </c>
    </row>
    <row r="17" spans="1:18" ht="15" customHeight="1">
      <c r="A17" s="594" t="s">
        <v>413</v>
      </c>
      <c r="B17" s="799" t="s">
        <v>487</v>
      </c>
      <c r="C17" s="812" t="s">
        <v>414</v>
      </c>
      <c r="D17" s="812"/>
      <c r="E17" s="749" t="str">
        <f>"Belastungswerte F2,Rd für "&amp;E5&amp;" [kN]"</f>
        <v>Belastungswerte F2,Rd für GL24h [kN]</v>
      </c>
      <c r="F17" s="750"/>
      <c r="G17" s="750"/>
      <c r="H17" s="750"/>
      <c r="I17" s="602" t="s">
        <v>689</v>
      </c>
      <c r="K17" s="4" t="s">
        <v>479</v>
      </c>
      <c r="L17" s="803" t="s">
        <v>450</v>
      </c>
      <c r="M17" s="803"/>
      <c r="N17" s="710" t="s">
        <v>448</v>
      </c>
      <c r="O17" s="711"/>
      <c r="P17" s="711"/>
      <c r="Q17" s="711"/>
      <c r="R17" s="712"/>
    </row>
    <row r="18" spans="1:18" ht="33.75" customHeight="1">
      <c r="A18" s="596" t="s">
        <v>418</v>
      </c>
      <c r="B18" s="801"/>
      <c r="C18" s="595" t="s">
        <v>411</v>
      </c>
      <c r="D18" s="595" t="s">
        <v>412</v>
      </c>
      <c r="E18" s="601">
        <v>0.6</v>
      </c>
      <c r="F18" s="601">
        <v>0.7</v>
      </c>
      <c r="G18" s="601">
        <v>0.8</v>
      </c>
      <c r="H18" s="601">
        <v>0.9</v>
      </c>
      <c r="I18" s="601">
        <v>1</v>
      </c>
      <c r="K18" s="8" t="s">
        <v>447</v>
      </c>
      <c r="L18" s="44" t="s">
        <v>411</v>
      </c>
      <c r="M18" s="44" t="s">
        <v>412</v>
      </c>
      <c r="N18" s="95">
        <v>0.6</v>
      </c>
      <c r="O18" s="95">
        <v>0.7</v>
      </c>
      <c r="P18" s="95">
        <v>0.8</v>
      </c>
      <c r="Q18" s="95">
        <v>0.9</v>
      </c>
      <c r="R18" s="95">
        <v>1</v>
      </c>
    </row>
    <row r="19" spans="1:18" ht="45">
      <c r="A19" s="396" t="s">
        <v>693</v>
      </c>
      <c r="B19" s="523" t="s">
        <v>491</v>
      </c>
      <c r="C19" s="549">
        <f>'RICON_RICON-S-EK_GIGANT_WALCO '!C165</f>
        <v>6</v>
      </c>
      <c r="D19" s="549">
        <f>'RICON_RICON-S-EK_GIGANT_WALCO '!F165</f>
        <v>5.0131385975895597</v>
      </c>
      <c r="E19" s="498">
        <f t="shared" ref="E19:I31" si="0">MIN($C19/1,$D19*E$18/1.3)</f>
        <v>2.3137562758105656</v>
      </c>
      <c r="F19" s="498">
        <f t="shared" si="0"/>
        <v>2.6993823217789936</v>
      </c>
      <c r="G19" s="498">
        <f t="shared" si="0"/>
        <v>3.0850083677474216</v>
      </c>
      <c r="H19" s="498">
        <f t="shared" si="0"/>
        <v>3.4706344137158487</v>
      </c>
      <c r="I19" s="498">
        <f t="shared" si="0"/>
        <v>3.8562604596842767</v>
      </c>
      <c r="K19" s="396" t="s">
        <v>424</v>
      </c>
      <c r="L19" s="498">
        <f>'RICON_RICON-S-EK_GIGANT_WALCO '!C165</f>
        <v>6</v>
      </c>
      <c r="M19" s="498">
        <f>'RICON_RICON-S-EK_GIGANT_WALCO '!F165</f>
        <v>5.0131385975895597</v>
      </c>
      <c r="N19" s="498">
        <f t="shared" ref="N19:R31" si="1">MIN($C19/1,$D19*N$18/1.3)</f>
        <v>2.3137562758105656</v>
      </c>
      <c r="O19" s="498">
        <f t="shared" si="1"/>
        <v>2.6993823217789936</v>
      </c>
      <c r="P19" s="498">
        <f t="shared" si="1"/>
        <v>3.0850083677474216</v>
      </c>
      <c r="Q19" s="498">
        <f t="shared" si="1"/>
        <v>3.4706344137158487</v>
      </c>
      <c r="R19" s="498">
        <f t="shared" si="1"/>
        <v>3.8562604596842767</v>
      </c>
    </row>
    <row r="20" spans="1:18" ht="45">
      <c r="A20" s="396" t="s">
        <v>692</v>
      </c>
      <c r="B20" s="523" t="s">
        <v>648</v>
      </c>
      <c r="C20" s="549">
        <f>'RICON_RICON-S-EK_GIGANT_WALCO '!C166</f>
        <v>11</v>
      </c>
      <c r="D20" s="549">
        <f>'RICON_RICON-S-EK_GIGANT_WALCO '!F166</f>
        <v>7.2988007866232749</v>
      </c>
      <c r="E20" s="498">
        <f t="shared" si="0"/>
        <v>3.3686772861338188</v>
      </c>
      <c r="F20" s="498">
        <f t="shared" si="0"/>
        <v>3.9301235004894552</v>
      </c>
      <c r="G20" s="498">
        <f t="shared" si="0"/>
        <v>4.4915697148450926</v>
      </c>
      <c r="H20" s="498">
        <f t="shared" si="0"/>
        <v>5.0530159292007291</v>
      </c>
      <c r="I20" s="498">
        <f t="shared" si="0"/>
        <v>5.6144621435563655</v>
      </c>
      <c r="K20" s="396" t="s">
        <v>425</v>
      </c>
      <c r="L20" s="498">
        <f>'RICON_RICON-S-EK_GIGANT_WALCO '!C166</f>
        <v>11</v>
      </c>
      <c r="M20" s="498">
        <f>'RICON_RICON-S-EK_GIGANT_WALCO '!F166</f>
        <v>7.2988007866232749</v>
      </c>
      <c r="N20" s="498">
        <f t="shared" si="1"/>
        <v>3.3686772861338188</v>
      </c>
      <c r="O20" s="498">
        <f t="shared" si="1"/>
        <v>3.9301235004894552</v>
      </c>
      <c r="P20" s="498">
        <f t="shared" si="1"/>
        <v>4.4915697148450926</v>
      </c>
      <c r="Q20" s="498">
        <f t="shared" si="1"/>
        <v>5.0530159292007291</v>
      </c>
      <c r="R20" s="498">
        <f t="shared" si="1"/>
        <v>5.6144621435563655</v>
      </c>
    </row>
    <row r="21" spans="1:18" ht="45">
      <c r="A21" s="396" t="s">
        <v>695</v>
      </c>
      <c r="B21" s="523" t="s">
        <v>495</v>
      </c>
      <c r="C21" s="549">
        <f>'RICON_RICON-S-EK_GIGANT_WALCO '!C167</f>
        <v>14</v>
      </c>
      <c r="D21" s="549">
        <f>'RICON_RICON-S-EK_GIGANT_WALCO '!F167</f>
        <v>10.026277195179119</v>
      </c>
      <c r="E21" s="498">
        <f t="shared" si="0"/>
        <v>4.6275125516211313</v>
      </c>
      <c r="F21" s="498">
        <f t="shared" si="0"/>
        <v>5.3987646435579872</v>
      </c>
      <c r="G21" s="498">
        <f t="shared" si="0"/>
        <v>6.1700167354948432</v>
      </c>
      <c r="H21" s="498">
        <f t="shared" si="0"/>
        <v>6.9412688274316974</v>
      </c>
      <c r="I21" s="498">
        <f t="shared" si="0"/>
        <v>7.7125209193685533</v>
      </c>
      <c r="K21" s="396" t="s">
        <v>426</v>
      </c>
      <c r="L21" s="498">
        <f>'RICON_RICON-S-EK_GIGANT_WALCO '!C167</f>
        <v>14</v>
      </c>
      <c r="M21" s="498">
        <f>'RICON_RICON-S-EK_GIGANT_WALCO '!F167</f>
        <v>10.026277195179119</v>
      </c>
      <c r="N21" s="498">
        <f t="shared" si="1"/>
        <v>4.6275125516211313</v>
      </c>
      <c r="O21" s="498">
        <f t="shared" si="1"/>
        <v>5.3987646435579872</v>
      </c>
      <c r="P21" s="498">
        <f t="shared" si="1"/>
        <v>6.1700167354948432</v>
      </c>
      <c r="Q21" s="498">
        <f t="shared" si="1"/>
        <v>6.9412688274316974</v>
      </c>
      <c r="R21" s="498">
        <f t="shared" si="1"/>
        <v>7.7125209193685533</v>
      </c>
    </row>
    <row r="22" spans="1:18" ht="45">
      <c r="A22" s="396" t="s">
        <v>694</v>
      </c>
      <c r="B22" s="523" t="s">
        <v>496</v>
      </c>
      <c r="C22" s="549">
        <f>'RICON_RICON-S-EK_GIGANT_WALCO '!C168</f>
        <v>18</v>
      </c>
      <c r="D22" s="549">
        <f>'RICON_RICON-S-EK_GIGANT_WALCO '!F168</f>
        <v>12.753753603734964</v>
      </c>
      <c r="E22" s="498">
        <f t="shared" si="0"/>
        <v>5.8863478171084447</v>
      </c>
      <c r="F22" s="498">
        <f t="shared" si="0"/>
        <v>6.8674057866265183</v>
      </c>
      <c r="G22" s="498">
        <f t="shared" si="0"/>
        <v>7.8484637561445938</v>
      </c>
      <c r="H22" s="498">
        <f t="shared" si="0"/>
        <v>8.8295217256626675</v>
      </c>
      <c r="I22" s="498">
        <f t="shared" si="0"/>
        <v>9.810579695180742</v>
      </c>
      <c r="K22" s="396" t="s">
        <v>427</v>
      </c>
      <c r="L22" s="498">
        <f>'RICON_RICON-S-EK_GIGANT_WALCO '!C168</f>
        <v>18</v>
      </c>
      <c r="M22" s="498">
        <f>'RICON_RICON-S-EK_GIGANT_WALCO '!F168</f>
        <v>12.753753603734964</v>
      </c>
      <c r="N22" s="498">
        <f t="shared" si="1"/>
        <v>5.8863478171084447</v>
      </c>
      <c r="O22" s="498">
        <f t="shared" si="1"/>
        <v>6.8674057866265183</v>
      </c>
      <c r="P22" s="498">
        <f t="shared" si="1"/>
        <v>7.8484637561445938</v>
      </c>
      <c r="Q22" s="498">
        <f t="shared" si="1"/>
        <v>8.8295217256626675</v>
      </c>
      <c r="R22" s="498">
        <f t="shared" si="1"/>
        <v>9.810579695180742</v>
      </c>
    </row>
    <row r="23" spans="1:18" ht="45">
      <c r="A23" s="396" t="s">
        <v>696</v>
      </c>
      <c r="B23" s="523" t="s">
        <v>497</v>
      </c>
      <c r="C23" s="549">
        <f>'RICON_RICON-S-EK_GIGANT_WALCO '!C169</f>
        <v>18</v>
      </c>
      <c r="D23" s="549">
        <f>'RICON_RICON-S-EK_GIGANT_WALCO '!F169</f>
        <v>15.481230012290808</v>
      </c>
      <c r="E23" s="498">
        <f t="shared" si="0"/>
        <v>7.1451830825957581</v>
      </c>
      <c r="F23" s="498">
        <f t="shared" si="0"/>
        <v>8.3360469296950495</v>
      </c>
      <c r="G23" s="498">
        <f t="shared" si="0"/>
        <v>9.5269107767943435</v>
      </c>
      <c r="H23" s="498">
        <f t="shared" si="0"/>
        <v>10.717774623893636</v>
      </c>
      <c r="I23" s="498">
        <f t="shared" si="0"/>
        <v>11.90863847099293</v>
      </c>
      <c r="K23" s="396" t="s">
        <v>428</v>
      </c>
      <c r="L23" s="498">
        <f>'RICON_RICON-S-EK_GIGANT_WALCO '!C169</f>
        <v>18</v>
      </c>
      <c r="M23" s="498">
        <f>'RICON_RICON-S-EK_GIGANT_WALCO '!F169</f>
        <v>15.481230012290808</v>
      </c>
      <c r="N23" s="498">
        <f t="shared" si="1"/>
        <v>7.1451830825957581</v>
      </c>
      <c r="O23" s="498">
        <f t="shared" si="1"/>
        <v>8.3360469296950495</v>
      </c>
      <c r="P23" s="498">
        <f t="shared" si="1"/>
        <v>9.5269107767943435</v>
      </c>
      <c r="Q23" s="498">
        <f t="shared" si="1"/>
        <v>10.717774623893636</v>
      </c>
      <c r="R23" s="498">
        <f t="shared" si="1"/>
        <v>11.90863847099293</v>
      </c>
    </row>
    <row r="24" spans="1:18" ht="45">
      <c r="A24" s="396" t="s">
        <v>697</v>
      </c>
      <c r="B24" s="523" t="s">
        <v>482</v>
      </c>
      <c r="C24" s="549">
        <f>'RICON_RICON-S-EK_GIGANT_WALCO '!C170</f>
        <v>18</v>
      </c>
      <c r="D24" s="549">
        <f>'RICON_RICON-S-EK_GIGANT_WALCO '!F170</f>
        <v>18.208706420846653</v>
      </c>
      <c r="E24" s="498">
        <f t="shared" si="0"/>
        <v>8.4040183480830706</v>
      </c>
      <c r="F24" s="498">
        <f t="shared" si="0"/>
        <v>9.8046880727635806</v>
      </c>
      <c r="G24" s="498">
        <f t="shared" si="0"/>
        <v>11.205357797444094</v>
      </c>
      <c r="H24" s="498">
        <f t="shared" si="0"/>
        <v>12.606027522124606</v>
      </c>
      <c r="I24" s="498">
        <f t="shared" si="0"/>
        <v>14.006697246805118</v>
      </c>
      <c r="K24" s="396" t="s">
        <v>429</v>
      </c>
      <c r="L24" s="498">
        <f>'RICON_RICON-S-EK_GIGANT_WALCO '!C170</f>
        <v>18</v>
      </c>
      <c r="M24" s="498">
        <f>'RICON_RICON-S-EK_GIGANT_WALCO '!F170</f>
        <v>18.208706420846653</v>
      </c>
      <c r="N24" s="498">
        <f t="shared" si="1"/>
        <v>8.4040183480830706</v>
      </c>
      <c r="O24" s="498">
        <f t="shared" si="1"/>
        <v>9.8046880727635806</v>
      </c>
      <c r="P24" s="498">
        <f t="shared" si="1"/>
        <v>11.205357797444094</v>
      </c>
      <c r="Q24" s="498">
        <f t="shared" si="1"/>
        <v>12.606027522124606</v>
      </c>
      <c r="R24" s="498">
        <f t="shared" si="1"/>
        <v>14.006697246805118</v>
      </c>
    </row>
    <row r="25" spans="1:18" ht="45">
      <c r="A25" s="408" t="s">
        <v>698</v>
      </c>
      <c r="B25" s="523" t="s">
        <v>497</v>
      </c>
      <c r="C25" s="549">
        <f>'RICON_RICON-S-EK_GIGANT_WALCO '!C173</f>
        <v>18</v>
      </c>
      <c r="D25" s="549">
        <f>'RICON_RICON-S-EK_GIGANT_WALCO '!F173</f>
        <v>19.321640441339383</v>
      </c>
      <c r="E25" s="498">
        <f t="shared" si="0"/>
        <v>8.9176802036950988</v>
      </c>
      <c r="F25" s="498">
        <f t="shared" si="0"/>
        <v>10.403960237644283</v>
      </c>
      <c r="G25" s="498">
        <f t="shared" si="0"/>
        <v>11.890240271593468</v>
      </c>
      <c r="H25" s="498">
        <f t="shared" si="0"/>
        <v>13.37652030554265</v>
      </c>
      <c r="I25" s="498">
        <f t="shared" si="0"/>
        <v>14.862800339491832</v>
      </c>
      <c r="K25" s="408" t="s">
        <v>430</v>
      </c>
      <c r="L25" s="498">
        <f>'RICON_RICON-S-EK_GIGANT_WALCO '!C173</f>
        <v>18</v>
      </c>
      <c r="M25" s="498">
        <f>'RICON_RICON-S-EK_GIGANT_WALCO '!F173</f>
        <v>19.321640441339383</v>
      </c>
      <c r="N25" s="498">
        <f t="shared" si="1"/>
        <v>8.9176802036950988</v>
      </c>
      <c r="O25" s="498">
        <f t="shared" si="1"/>
        <v>10.403960237644283</v>
      </c>
      <c r="P25" s="498">
        <f t="shared" si="1"/>
        <v>11.890240271593468</v>
      </c>
      <c r="Q25" s="498">
        <f t="shared" si="1"/>
        <v>13.37652030554265</v>
      </c>
      <c r="R25" s="498">
        <f t="shared" si="1"/>
        <v>14.862800339491832</v>
      </c>
    </row>
    <row r="26" spans="1:18" ht="45">
      <c r="A26" s="408" t="s">
        <v>699</v>
      </c>
      <c r="B26" s="523" t="s">
        <v>482</v>
      </c>
      <c r="C26" s="549">
        <f>'RICON_RICON-S-EK_GIGANT_WALCO '!C174</f>
        <v>18</v>
      </c>
      <c r="D26" s="549">
        <f>'RICON_RICON-S-EK_GIGANT_WALCO '!F174</f>
        <v>22.049116849895228</v>
      </c>
      <c r="E26" s="498">
        <f t="shared" si="0"/>
        <v>10.176515469182412</v>
      </c>
      <c r="F26" s="498">
        <f t="shared" si="0"/>
        <v>11.872601380712814</v>
      </c>
      <c r="G26" s="498">
        <f t="shared" si="0"/>
        <v>13.568687292243217</v>
      </c>
      <c r="H26" s="498">
        <f t="shared" si="0"/>
        <v>15.264773203773618</v>
      </c>
      <c r="I26" s="498">
        <f t="shared" si="0"/>
        <v>16.960859115304022</v>
      </c>
      <c r="K26" s="408" t="s">
        <v>431</v>
      </c>
      <c r="L26" s="498">
        <f>'RICON_RICON-S-EK_GIGANT_WALCO '!C174</f>
        <v>18</v>
      </c>
      <c r="M26" s="498">
        <f>'RICON_RICON-S-EK_GIGANT_WALCO '!F174</f>
        <v>22.049116849895228</v>
      </c>
      <c r="N26" s="498">
        <f t="shared" si="1"/>
        <v>10.176515469182412</v>
      </c>
      <c r="O26" s="498">
        <f t="shared" si="1"/>
        <v>11.872601380712814</v>
      </c>
      <c r="P26" s="498">
        <f t="shared" si="1"/>
        <v>13.568687292243217</v>
      </c>
      <c r="Q26" s="498">
        <f t="shared" si="1"/>
        <v>15.264773203773618</v>
      </c>
      <c r="R26" s="498">
        <f t="shared" si="1"/>
        <v>16.960859115304022</v>
      </c>
    </row>
    <row r="27" spans="1:18" ht="45">
      <c r="A27" s="396" t="s">
        <v>700</v>
      </c>
      <c r="B27" s="523" t="s">
        <v>482</v>
      </c>
      <c r="C27" s="549">
        <f>'RICON_RICON-S-EK_GIGANT_WALCO '!C175</f>
        <v>11</v>
      </c>
      <c r="D27" s="549">
        <f>'RICON_RICON-S-EK_GIGANT_WALCO '!F175</f>
        <v>12.311939384212835</v>
      </c>
      <c r="E27" s="498">
        <f t="shared" si="0"/>
        <v>5.6824335619443849</v>
      </c>
      <c r="F27" s="498">
        <f t="shared" si="0"/>
        <v>6.6295058222684489</v>
      </c>
      <c r="G27" s="498">
        <f t="shared" si="0"/>
        <v>7.5765780825925138</v>
      </c>
      <c r="H27" s="498">
        <f t="shared" si="0"/>
        <v>8.5236503429165786</v>
      </c>
      <c r="I27" s="498">
        <f t="shared" si="0"/>
        <v>9.4707226032406417</v>
      </c>
      <c r="K27" s="396" t="s">
        <v>432</v>
      </c>
      <c r="L27" s="498">
        <f>'RICON_RICON-S-EK_GIGANT_WALCO '!C175</f>
        <v>11</v>
      </c>
      <c r="M27" s="498">
        <f>'RICON_RICON-S-EK_GIGANT_WALCO '!F175</f>
        <v>12.311939384212835</v>
      </c>
      <c r="N27" s="498">
        <f t="shared" si="1"/>
        <v>5.6824335619443849</v>
      </c>
      <c r="O27" s="498">
        <f t="shared" si="1"/>
        <v>6.6295058222684489</v>
      </c>
      <c r="P27" s="498">
        <f t="shared" si="1"/>
        <v>7.5765780825925138</v>
      </c>
      <c r="Q27" s="498">
        <f t="shared" si="1"/>
        <v>8.5236503429165786</v>
      </c>
      <c r="R27" s="498">
        <f t="shared" si="1"/>
        <v>9.4707226032406417</v>
      </c>
    </row>
    <row r="28" spans="1:18" ht="45">
      <c r="A28" s="396" t="s">
        <v>701</v>
      </c>
      <c r="B28" s="523" t="s">
        <v>483</v>
      </c>
      <c r="C28" s="549">
        <f>'RICON_RICON-S-EK_GIGANT_WALCO '!C176</f>
        <v>14</v>
      </c>
      <c r="D28" s="549">
        <f>'RICON_RICON-S-EK_GIGANT_WALCO '!F176</f>
        <v>17.766892201324524</v>
      </c>
      <c r="E28" s="498">
        <f t="shared" si="0"/>
        <v>8.2001040929190108</v>
      </c>
      <c r="F28" s="498">
        <f t="shared" si="0"/>
        <v>9.5667881084055111</v>
      </c>
      <c r="G28" s="498">
        <f t="shared" si="0"/>
        <v>10.933472123892015</v>
      </c>
      <c r="H28" s="498">
        <f t="shared" si="0"/>
        <v>12.300156139378517</v>
      </c>
      <c r="I28" s="498">
        <f t="shared" si="0"/>
        <v>13.666840154865017</v>
      </c>
      <c r="K28" s="396" t="s">
        <v>433</v>
      </c>
      <c r="L28" s="498">
        <f>'RICON_RICON-S-EK_GIGANT_WALCO '!C176</f>
        <v>14</v>
      </c>
      <c r="M28" s="498">
        <f>'RICON_RICON-S-EK_GIGANT_WALCO '!F176</f>
        <v>17.766892201324524</v>
      </c>
      <c r="N28" s="498">
        <f t="shared" si="1"/>
        <v>8.2001040929190108</v>
      </c>
      <c r="O28" s="498">
        <f t="shared" si="1"/>
        <v>9.5667881084055111</v>
      </c>
      <c r="P28" s="498">
        <f t="shared" si="1"/>
        <v>10.933472123892015</v>
      </c>
      <c r="Q28" s="498">
        <f t="shared" si="1"/>
        <v>12.300156139378517</v>
      </c>
      <c r="R28" s="498">
        <f t="shared" si="1"/>
        <v>13.666840154865017</v>
      </c>
    </row>
    <row r="29" spans="1:18" ht="45">
      <c r="A29" s="396" t="s">
        <v>702</v>
      </c>
      <c r="B29" s="523" t="s">
        <v>484</v>
      </c>
      <c r="C29" s="549">
        <f>'RICON_RICON-S-EK_GIGANT_WALCO '!C177</f>
        <v>18</v>
      </c>
      <c r="D29" s="549">
        <f>'RICON_RICON-S-EK_GIGANT_WALCO '!F177</f>
        <v>23.221845018436213</v>
      </c>
      <c r="E29" s="498">
        <f t="shared" si="0"/>
        <v>10.717774623893636</v>
      </c>
      <c r="F29" s="498">
        <f t="shared" si="0"/>
        <v>12.504070394542575</v>
      </c>
      <c r="G29" s="498">
        <f t="shared" si="0"/>
        <v>14.290366165191516</v>
      </c>
      <c r="H29" s="498">
        <f t="shared" si="0"/>
        <v>16.076661935840455</v>
      </c>
      <c r="I29" s="498">
        <f t="shared" si="0"/>
        <v>17.862957706489393</v>
      </c>
      <c r="K29" s="396" t="s">
        <v>434</v>
      </c>
      <c r="L29" s="498">
        <f>'RICON_RICON-S-EK_GIGANT_WALCO '!C177</f>
        <v>18</v>
      </c>
      <c r="M29" s="498">
        <f>'RICON_RICON-S-EK_GIGANT_WALCO '!F177</f>
        <v>23.221845018436213</v>
      </c>
      <c r="N29" s="498">
        <f t="shared" si="1"/>
        <v>10.717774623893636</v>
      </c>
      <c r="O29" s="498">
        <f t="shared" si="1"/>
        <v>12.504070394542575</v>
      </c>
      <c r="P29" s="498">
        <f t="shared" si="1"/>
        <v>14.290366165191516</v>
      </c>
      <c r="Q29" s="498">
        <f t="shared" si="1"/>
        <v>16.076661935840455</v>
      </c>
      <c r="R29" s="498">
        <f t="shared" si="1"/>
        <v>17.862957706489393</v>
      </c>
    </row>
    <row r="30" spans="1:18" ht="45">
      <c r="A30" s="396" t="s">
        <v>703</v>
      </c>
      <c r="B30" s="523" t="s">
        <v>485</v>
      </c>
      <c r="C30" s="549">
        <f>'RICON_RICON-S-EK_GIGANT_WALCO '!C178</f>
        <v>18</v>
      </c>
      <c r="D30" s="549">
        <f>'RICON_RICON-S-EK_GIGANT_WALCO '!F178</f>
        <v>28.676797835547902</v>
      </c>
      <c r="E30" s="498">
        <f t="shared" si="0"/>
        <v>13.235445154868261</v>
      </c>
      <c r="F30" s="498">
        <f t="shared" si="0"/>
        <v>15.441352680679639</v>
      </c>
      <c r="G30" s="498">
        <f t="shared" si="0"/>
        <v>17.647260206491016</v>
      </c>
      <c r="H30" s="498">
        <f t="shared" si="0"/>
        <v>18</v>
      </c>
      <c r="I30" s="498">
        <f t="shared" si="0"/>
        <v>18</v>
      </c>
      <c r="K30" s="396" t="s">
        <v>435</v>
      </c>
      <c r="L30" s="498">
        <f>'RICON_RICON-S-EK_GIGANT_WALCO '!C178</f>
        <v>18</v>
      </c>
      <c r="M30" s="498">
        <f>'RICON_RICON-S-EK_GIGANT_WALCO '!F178</f>
        <v>28.676797835547902</v>
      </c>
      <c r="N30" s="498">
        <f t="shared" si="1"/>
        <v>13.235445154868261</v>
      </c>
      <c r="O30" s="498">
        <f t="shared" si="1"/>
        <v>15.441352680679639</v>
      </c>
      <c r="P30" s="498">
        <f t="shared" si="1"/>
        <v>17.647260206491016</v>
      </c>
      <c r="Q30" s="498">
        <f t="shared" si="1"/>
        <v>18</v>
      </c>
      <c r="R30" s="498">
        <f t="shared" si="1"/>
        <v>18</v>
      </c>
    </row>
    <row r="31" spans="1:18" ht="45">
      <c r="A31" s="396" t="s">
        <v>704</v>
      </c>
      <c r="B31" s="523" t="s">
        <v>486</v>
      </c>
      <c r="C31" s="549">
        <f>'RICON_RICON-S-EK_GIGANT_WALCO '!C179</f>
        <v>18</v>
      </c>
      <c r="D31" s="549">
        <f>'RICON_RICON-S-EK_GIGANT_WALCO '!F179</f>
        <v>34.131750652659591</v>
      </c>
      <c r="E31" s="498">
        <f t="shared" si="0"/>
        <v>15.753115685842886</v>
      </c>
      <c r="F31" s="498">
        <f t="shared" si="0"/>
        <v>18</v>
      </c>
      <c r="G31" s="498">
        <f t="shared" si="0"/>
        <v>18</v>
      </c>
      <c r="H31" s="498">
        <f t="shared" si="0"/>
        <v>18</v>
      </c>
      <c r="I31" s="498">
        <f t="shared" si="0"/>
        <v>18</v>
      </c>
      <c r="K31" s="396" t="s">
        <v>436</v>
      </c>
      <c r="L31" s="498">
        <f>'RICON_RICON-S-EK_GIGANT_WALCO '!C179</f>
        <v>18</v>
      </c>
      <c r="M31" s="498">
        <f>'RICON_RICON-S-EK_GIGANT_WALCO '!F179</f>
        <v>34.131750652659591</v>
      </c>
      <c r="N31" s="498">
        <f t="shared" si="1"/>
        <v>15.753115685842886</v>
      </c>
      <c r="O31" s="498">
        <f t="shared" si="1"/>
        <v>18</v>
      </c>
      <c r="P31" s="498">
        <f t="shared" si="1"/>
        <v>18</v>
      </c>
      <c r="Q31" s="498">
        <f t="shared" si="1"/>
        <v>18</v>
      </c>
      <c r="R31" s="498">
        <f t="shared" si="1"/>
        <v>18</v>
      </c>
    </row>
    <row r="32" spans="1:18">
      <c r="A32" s="418"/>
      <c r="B32" s="524"/>
      <c r="C32" s="508"/>
      <c r="D32" s="508"/>
      <c r="E32" s="508"/>
      <c r="F32" s="508"/>
      <c r="G32" s="508"/>
      <c r="H32" s="508"/>
      <c r="I32" s="508"/>
      <c r="K32" s="418"/>
      <c r="L32" s="508"/>
      <c r="M32" s="508"/>
      <c r="N32" s="508"/>
      <c r="O32" s="508"/>
      <c r="P32" s="508"/>
      <c r="Q32" s="508"/>
      <c r="R32" s="508"/>
    </row>
    <row r="33" spans="1:18">
      <c r="A33" s="418"/>
      <c r="B33" s="524"/>
      <c r="C33" s="508"/>
      <c r="D33" s="508"/>
      <c r="E33" s="508"/>
      <c r="F33" s="508"/>
      <c r="G33" s="508"/>
      <c r="H33" s="508"/>
      <c r="I33" s="508"/>
      <c r="K33" s="418"/>
      <c r="L33" s="508"/>
      <c r="M33" s="508"/>
      <c r="N33" s="508"/>
      <c r="O33" s="508"/>
      <c r="P33" s="508"/>
      <c r="Q33" s="508"/>
      <c r="R33" s="508"/>
    </row>
    <row r="34" spans="1:18">
      <c r="A34" s="418"/>
      <c r="B34" s="524"/>
      <c r="C34" s="508"/>
      <c r="D34" s="508"/>
      <c r="E34" s="508"/>
      <c r="F34" s="508"/>
      <c r="G34" s="508"/>
      <c r="H34" s="508"/>
      <c r="I34" s="508"/>
      <c r="K34" s="418"/>
      <c r="L34" s="508"/>
      <c r="M34" s="508"/>
      <c r="N34" s="508"/>
      <c r="O34" s="508"/>
      <c r="P34" s="508"/>
      <c r="Q34" s="508"/>
      <c r="R34" s="508"/>
    </row>
    <row r="35" spans="1:18">
      <c r="A35" s="418"/>
      <c r="B35" s="418"/>
      <c r="C35" s="508"/>
      <c r="D35" s="508"/>
      <c r="E35" s="508"/>
      <c r="F35" s="508"/>
      <c r="G35" s="508"/>
      <c r="H35" s="508"/>
      <c r="I35" s="508"/>
      <c r="K35" s="418"/>
      <c r="L35" s="508"/>
      <c r="M35" s="508"/>
      <c r="N35" s="508"/>
      <c r="O35" s="508"/>
      <c r="P35" s="508"/>
      <c r="Q35" s="508"/>
      <c r="R35" s="508"/>
    </row>
    <row r="36" spans="1:18">
      <c r="A36" s="418"/>
      <c r="B36" s="418"/>
      <c r="C36" s="508"/>
      <c r="D36" s="508"/>
      <c r="E36" s="508"/>
      <c r="F36" s="508"/>
      <c r="G36" s="508"/>
      <c r="H36" s="508"/>
      <c r="I36" s="508"/>
      <c r="K36" s="418"/>
      <c r="L36" s="508"/>
      <c r="M36" s="508"/>
      <c r="N36" s="508"/>
      <c r="O36" s="508"/>
      <c r="P36" s="508"/>
      <c r="Q36" s="508"/>
      <c r="R36" s="508"/>
    </row>
    <row r="37" spans="1:18">
      <c r="A37" s="418"/>
      <c r="B37" s="418"/>
      <c r="C37" s="508"/>
      <c r="D37" s="508"/>
      <c r="E37" s="508"/>
      <c r="F37" s="508"/>
      <c r="G37" s="508"/>
      <c r="H37" s="508"/>
      <c r="I37" s="508"/>
      <c r="K37" s="418"/>
      <c r="L37" s="508"/>
      <c r="M37" s="508"/>
      <c r="N37" s="508"/>
      <c r="O37" s="508"/>
      <c r="P37" s="508"/>
      <c r="Q37" s="508"/>
      <c r="R37" s="508"/>
    </row>
    <row r="38" spans="1:18">
      <c r="A38" s="418"/>
      <c r="B38" s="418"/>
      <c r="C38" s="508"/>
      <c r="D38" s="508"/>
      <c r="E38" s="508"/>
      <c r="F38" s="508"/>
      <c r="G38" s="508"/>
      <c r="H38" s="508"/>
      <c r="I38" s="508"/>
      <c r="K38" s="418"/>
      <c r="L38" s="508"/>
      <c r="M38" s="508"/>
      <c r="N38" s="508"/>
      <c r="O38" s="508"/>
      <c r="P38" s="508"/>
      <c r="Q38" s="508"/>
      <c r="R38" s="508"/>
    </row>
    <row r="39" spans="1:18" ht="33.75">
      <c r="A39" s="811" t="s">
        <v>416</v>
      </c>
      <c r="B39" s="811"/>
      <c r="C39" s="553"/>
      <c r="D39" s="553"/>
      <c r="E39" s="553"/>
      <c r="F39" s="553"/>
      <c r="G39" s="553"/>
      <c r="H39" s="553"/>
      <c r="I39" s="553"/>
      <c r="J39" s="577"/>
      <c r="K39" s="802" t="s">
        <v>473</v>
      </c>
      <c r="L39" s="802"/>
      <c r="M39" s="802"/>
      <c r="N39" s="802"/>
      <c r="O39" s="802"/>
      <c r="P39" s="802"/>
      <c r="Q39" s="802"/>
      <c r="R39" s="802"/>
    </row>
    <row r="40" spans="1:18" s="557" customFormat="1" ht="23.25">
      <c r="A40" s="609" t="s">
        <v>729</v>
      </c>
      <c r="B40" s="556"/>
      <c r="C40" s="556"/>
      <c r="D40" s="541" t="s">
        <v>650</v>
      </c>
      <c r="E40" s="599" t="s">
        <v>25</v>
      </c>
      <c r="F40" s="509"/>
      <c r="G40" s="580" t="str">
        <f>VLOOKUP(E40,'RICON_RICON-S-EK_GIGANT_WALCO '!V7:X16,3,FALSE)</f>
        <v>Brettschichtholz homogen</v>
      </c>
      <c r="H40" s="541"/>
      <c r="I40" s="509"/>
      <c r="K40" s="558"/>
      <c r="L40" s="558"/>
      <c r="M40" s="558"/>
      <c r="N40" s="558"/>
      <c r="O40" s="558"/>
      <c r="P40" s="558"/>
      <c r="Q40" s="558"/>
      <c r="R40" s="558"/>
    </row>
    <row r="41" spans="1:18" s="557" customFormat="1" ht="21">
      <c r="D41" s="578" t="s">
        <v>657</v>
      </c>
      <c r="E41" s="599">
        <v>1</v>
      </c>
      <c r="F41" s="509"/>
      <c r="G41" s="579" t="str">
        <f>VLOOKUP(Belastungsblatt_RICON_DE!E41,'RICON_RICON-S-EK_GIGANT_WALCO '!V21:W23,2,FALSE)</f>
        <v>Innenbereich</v>
      </c>
      <c r="H41" s="509"/>
      <c r="I41" s="509"/>
      <c r="J41" s="509"/>
      <c r="K41" s="557" t="s">
        <v>666</v>
      </c>
    </row>
    <row r="42" spans="1:18" ht="21" customHeight="1">
      <c r="A42" s="505"/>
      <c r="B42" s="505"/>
      <c r="K42" s="505" t="s">
        <v>449</v>
      </c>
    </row>
    <row r="43" spans="1:18" s="560" customFormat="1" ht="18">
      <c r="A43" s="590" t="s">
        <v>413</v>
      </c>
      <c r="B43" s="820" t="s">
        <v>487</v>
      </c>
      <c r="C43" s="819" t="s">
        <v>414</v>
      </c>
      <c r="D43" s="819"/>
      <c r="E43" s="813" t="str">
        <f>"Belastungswerte F2,Rd für "&amp;E40&amp;" [kN]"</f>
        <v>Belastungswerte F2,Rd für GL24h [kN]</v>
      </c>
      <c r="F43" s="814"/>
      <c r="G43" s="814"/>
      <c r="H43" s="814"/>
      <c r="I43" s="602" t="s">
        <v>690</v>
      </c>
      <c r="K43" s="559" t="s">
        <v>413</v>
      </c>
      <c r="L43" s="803" t="s">
        <v>450</v>
      </c>
      <c r="M43" s="803"/>
      <c r="N43" s="808" t="s">
        <v>448</v>
      </c>
      <c r="O43" s="810"/>
      <c r="P43" s="810"/>
      <c r="Q43" s="810"/>
      <c r="R43" s="809"/>
    </row>
    <row r="44" spans="1:18" s="560" customFormat="1" ht="33.75" customHeight="1">
      <c r="A44" s="592" t="s">
        <v>417</v>
      </c>
      <c r="B44" s="821"/>
      <c r="C44" s="598" t="s">
        <v>411</v>
      </c>
      <c r="D44" s="598" t="s">
        <v>412</v>
      </c>
      <c r="E44" s="597">
        <f>IF(OR($E$41=1,$E$41=2),0.6,0.5)</f>
        <v>0.6</v>
      </c>
      <c r="F44" s="597">
        <f>IF(OR($E$41=1,$E$41=2),0.7,0.55)</f>
        <v>0.7</v>
      </c>
      <c r="G44" s="597">
        <f>IF(OR($E$41=1,$E$41=2),0.8,0.65)</f>
        <v>0.8</v>
      </c>
      <c r="H44" s="597">
        <f>IF(OR($E$41=1,$E$41=2),0.9,0.7)</f>
        <v>0.9</v>
      </c>
      <c r="I44" s="597">
        <f>IF(OR($E$41=1,$E$41=2),1,0.8)</f>
        <v>1</v>
      </c>
      <c r="K44" s="561" t="s">
        <v>337</v>
      </c>
      <c r="L44" s="563" t="s">
        <v>411</v>
      </c>
      <c r="M44" s="563" t="s">
        <v>412</v>
      </c>
      <c r="N44" s="562">
        <v>0.6</v>
      </c>
      <c r="O44" s="562">
        <v>0.7</v>
      </c>
      <c r="P44" s="562">
        <v>0.8</v>
      </c>
      <c r="Q44" s="562">
        <v>0.9</v>
      </c>
      <c r="R44" s="562">
        <v>1</v>
      </c>
    </row>
    <row r="45" spans="1:18" s="560" customFormat="1" ht="38.25" hidden="1">
      <c r="A45" s="564" t="s">
        <v>460</v>
      </c>
      <c r="B45" s="565" t="s">
        <v>491</v>
      </c>
      <c r="C45" s="566">
        <f>RICON_Edelstahl!C123</f>
        <v>4.5</v>
      </c>
      <c r="D45" s="566">
        <f>RICON_Edelstahl!F123</f>
        <v>5.1804296195027444</v>
      </c>
      <c r="E45" s="567">
        <f t="shared" ref="E45:E68" si="2">MIN($C45/1,$D45*E$44/1.3)</f>
        <v>2.3909675166935744</v>
      </c>
      <c r="F45" s="567">
        <f t="shared" ref="F45:I60" si="3">MIN($C45/1,$D45*F$44/1.3)</f>
        <v>2.7894621028091695</v>
      </c>
      <c r="G45" s="567">
        <f t="shared" si="3"/>
        <v>3.1879566889247655</v>
      </c>
      <c r="H45" s="567">
        <f t="shared" si="3"/>
        <v>3.5864512750403614</v>
      </c>
      <c r="I45" s="567">
        <f t="shared" si="3"/>
        <v>3.9849458611559569</v>
      </c>
      <c r="K45" s="564" t="s">
        <v>385</v>
      </c>
      <c r="L45" s="567">
        <f>RICON_Edelstahl!C123</f>
        <v>4.5</v>
      </c>
      <c r="M45" s="567">
        <f>RICON_Edelstahl!F123</f>
        <v>5.1804296195027444</v>
      </c>
      <c r="N45" s="567">
        <f t="shared" ref="N45:N68" si="4">MIN($C45/1,$D45*N$44/1.3)</f>
        <v>2.3909675166935744</v>
      </c>
      <c r="O45" s="567">
        <f t="shared" ref="O45:R60" si="5">MIN($C45/1,$D45*O$44/1.3)</f>
        <v>2.7894621028091695</v>
      </c>
      <c r="P45" s="567">
        <f t="shared" si="5"/>
        <v>3.1879566889247655</v>
      </c>
      <c r="Q45" s="567">
        <f t="shared" si="5"/>
        <v>3.5864512750403614</v>
      </c>
      <c r="R45" s="567">
        <f t="shared" si="5"/>
        <v>3.9849458611559569</v>
      </c>
    </row>
    <row r="46" spans="1:18" s="560" customFormat="1" ht="38.25">
      <c r="A46" s="564" t="s">
        <v>726</v>
      </c>
      <c r="B46" s="565" t="s">
        <v>494</v>
      </c>
      <c r="C46" s="566">
        <f>RICON_Edelstahl!C124</f>
        <v>8.1999999999999993</v>
      </c>
      <c r="D46" s="566">
        <f>RICON_Edelstahl!F124</f>
        <v>7.5161100233272613</v>
      </c>
      <c r="E46" s="567">
        <f t="shared" si="2"/>
        <v>3.4689738569202739</v>
      </c>
      <c r="F46" s="567">
        <f t="shared" si="3"/>
        <v>4.0471361664069869</v>
      </c>
      <c r="G46" s="567">
        <f t="shared" si="3"/>
        <v>4.6252984758936995</v>
      </c>
      <c r="H46" s="567">
        <f t="shared" si="3"/>
        <v>5.203460785380412</v>
      </c>
      <c r="I46" s="567">
        <f t="shared" si="3"/>
        <v>5.7816230948671237</v>
      </c>
      <c r="K46" s="564" t="s">
        <v>386</v>
      </c>
      <c r="L46" s="567">
        <f>RICON_Edelstahl!C124</f>
        <v>8.1999999999999993</v>
      </c>
      <c r="M46" s="567">
        <f>RICON_Edelstahl!F124</f>
        <v>7.5161100233272613</v>
      </c>
      <c r="N46" s="567">
        <f t="shared" si="4"/>
        <v>3.4689738569202739</v>
      </c>
      <c r="O46" s="567">
        <f t="shared" si="5"/>
        <v>4.0471361664069869</v>
      </c>
      <c r="P46" s="567">
        <f t="shared" si="5"/>
        <v>4.6252984758936995</v>
      </c>
      <c r="Q46" s="567">
        <f t="shared" si="5"/>
        <v>5.203460785380412</v>
      </c>
      <c r="R46" s="567">
        <f t="shared" si="5"/>
        <v>5.7816230948671237</v>
      </c>
    </row>
    <row r="47" spans="1:18" s="560" customFormat="1" ht="38.25" hidden="1">
      <c r="A47" s="564" t="s">
        <v>461</v>
      </c>
      <c r="B47" s="565" t="s">
        <v>495</v>
      </c>
      <c r="C47" s="566">
        <f>RICON_Edelstahl!C125</f>
        <v>10.4</v>
      </c>
      <c r="D47" s="566">
        <f>RICON_Edelstahl!F125</f>
        <v>10.360859239005489</v>
      </c>
      <c r="E47" s="567">
        <f t="shared" si="2"/>
        <v>4.7819350333871489</v>
      </c>
      <c r="F47" s="567">
        <f t="shared" si="3"/>
        <v>5.578924205618339</v>
      </c>
      <c r="G47" s="567">
        <f t="shared" si="3"/>
        <v>6.3759133778495309</v>
      </c>
      <c r="H47" s="567">
        <f t="shared" si="3"/>
        <v>7.1729025500807229</v>
      </c>
      <c r="I47" s="567">
        <f t="shared" si="3"/>
        <v>7.9698917223119139</v>
      </c>
      <c r="K47" s="564" t="s">
        <v>387</v>
      </c>
      <c r="L47" s="567">
        <f>RICON_Edelstahl!C125</f>
        <v>10.4</v>
      </c>
      <c r="M47" s="567">
        <f>RICON_Edelstahl!F125</f>
        <v>10.360859239005489</v>
      </c>
      <c r="N47" s="567">
        <f t="shared" si="4"/>
        <v>4.7819350333871489</v>
      </c>
      <c r="O47" s="567">
        <f t="shared" si="5"/>
        <v>5.578924205618339</v>
      </c>
      <c r="P47" s="567">
        <f t="shared" si="5"/>
        <v>6.3759133778495309</v>
      </c>
      <c r="Q47" s="567">
        <f t="shared" si="5"/>
        <v>7.1729025500807229</v>
      </c>
      <c r="R47" s="567">
        <f t="shared" si="5"/>
        <v>7.9698917223119139</v>
      </c>
    </row>
    <row r="48" spans="1:18" s="560" customFormat="1" ht="38.25" hidden="1">
      <c r="A48" s="564" t="s">
        <v>462</v>
      </c>
      <c r="B48" s="565" t="s">
        <v>496</v>
      </c>
      <c r="C48" s="566">
        <f>RICON_Edelstahl!C126</f>
        <v>13.4</v>
      </c>
      <c r="D48" s="566">
        <f>RICON_Edelstahl!F126</f>
        <v>13.205608454683714</v>
      </c>
      <c r="E48" s="567">
        <f t="shared" si="2"/>
        <v>6.0948962098540216</v>
      </c>
      <c r="F48" s="567">
        <f t="shared" si="3"/>
        <v>7.1107122448296911</v>
      </c>
      <c r="G48" s="567">
        <f t="shared" si="3"/>
        <v>8.1265282798053633</v>
      </c>
      <c r="H48" s="567">
        <f t="shared" si="3"/>
        <v>9.1423443147810328</v>
      </c>
      <c r="I48" s="567">
        <f t="shared" si="3"/>
        <v>10.158160349756702</v>
      </c>
      <c r="K48" s="564" t="s">
        <v>388</v>
      </c>
      <c r="L48" s="567">
        <f>RICON_Edelstahl!C126</f>
        <v>13.4</v>
      </c>
      <c r="M48" s="567">
        <f>RICON_Edelstahl!F126</f>
        <v>13.205608454683714</v>
      </c>
      <c r="N48" s="567">
        <f t="shared" si="4"/>
        <v>6.0948962098540216</v>
      </c>
      <c r="O48" s="567">
        <f t="shared" si="5"/>
        <v>7.1107122448296911</v>
      </c>
      <c r="P48" s="567">
        <f t="shared" si="5"/>
        <v>8.1265282798053633</v>
      </c>
      <c r="Q48" s="567">
        <f t="shared" si="5"/>
        <v>9.1423443147810328</v>
      </c>
      <c r="R48" s="567">
        <f t="shared" si="5"/>
        <v>10.158160349756702</v>
      </c>
    </row>
    <row r="49" spans="1:18" s="560" customFormat="1" ht="38.25" hidden="1">
      <c r="A49" s="564" t="s">
        <v>463</v>
      </c>
      <c r="B49" s="565" t="s">
        <v>497</v>
      </c>
      <c r="C49" s="566">
        <f>RICON_Edelstahl!C127</f>
        <v>13.4</v>
      </c>
      <c r="D49" s="566">
        <f>RICON_Edelstahl!F127</f>
        <v>16.05035767036194</v>
      </c>
      <c r="E49" s="567">
        <f t="shared" si="2"/>
        <v>7.4078573863208952</v>
      </c>
      <c r="F49" s="567">
        <f t="shared" si="3"/>
        <v>8.6425002840410432</v>
      </c>
      <c r="G49" s="567">
        <f t="shared" si="3"/>
        <v>9.8771431817611948</v>
      </c>
      <c r="H49" s="567">
        <f t="shared" si="3"/>
        <v>11.111786079481343</v>
      </c>
      <c r="I49" s="567">
        <f t="shared" si="3"/>
        <v>12.346428977201493</v>
      </c>
      <c r="K49" s="564" t="s">
        <v>389</v>
      </c>
      <c r="L49" s="567">
        <f>RICON_Edelstahl!C127</f>
        <v>13.4</v>
      </c>
      <c r="M49" s="567">
        <f>RICON_Edelstahl!F127</f>
        <v>16.05035767036194</v>
      </c>
      <c r="N49" s="567">
        <f t="shared" si="4"/>
        <v>7.4078573863208952</v>
      </c>
      <c r="O49" s="567">
        <f t="shared" si="5"/>
        <v>8.6425002840410432</v>
      </c>
      <c r="P49" s="567">
        <f t="shared" si="5"/>
        <v>9.8771431817611948</v>
      </c>
      <c r="Q49" s="567">
        <f t="shared" si="5"/>
        <v>11.111786079481343</v>
      </c>
      <c r="R49" s="567">
        <f t="shared" si="5"/>
        <v>12.346428977201493</v>
      </c>
    </row>
    <row r="50" spans="1:18" s="560" customFormat="1" ht="38.25">
      <c r="A50" s="564" t="s">
        <v>727</v>
      </c>
      <c r="B50" s="565" t="s">
        <v>482</v>
      </c>
      <c r="C50" s="566">
        <f>RICON_Edelstahl!C128</f>
        <v>13.4</v>
      </c>
      <c r="D50" s="566">
        <f>RICON_Edelstahl!F128</f>
        <v>18.895106886040168</v>
      </c>
      <c r="E50" s="567">
        <f t="shared" si="2"/>
        <v>8.7208185627877697</v>
      </c>
      <c r="F50" s="567">
        <f t="shared" si="3"/>
        <v>10.174288323252396</v>
      </c>
      <c r="G50" s="567">
        <f t="shared" si="3"/>
        <v>11.627758083717026</v>
      </c>
      <c r="H50" s="567">
        <f t="shared" si="3"/>
        <v>13.081227844181655</v>
      </c>
      <c r="I50" s="567">
        <f t="shared" si="3"/>
        <v>13.4</v>
      </c>
      <c r="K50" s="564" t="s">
        <v>390</v>
      </c>
      <c r="L50" s="567">
        <f>RICON_Edelstahl!C128</f>
        <v>13.4</v>
      </c>
      <c r="M50" s="567">
        <f>RICON_Edelstahl!F128</f>
        <v>18.895106886040168</v>
      </c>
      <c r="N50" s="567">
        <f t="shared" si="4"/>
        <v>8.7208185627877697</v>
      </c>
      <c r="O50" s="567">
        <f t="shared" si="5"/>
        <v>10.174288323252396</v>
      </c>
      <c r="P50" s="567">
        <f t="shared" si="5"/>
        <v>11.627758083717026</v>
      </c>
      <c r="Q50" s="567">
        <f t="shared" si="5"/>
        <v>13.081227844181655</v>
      </c>
      <c r="R50" s="567">
        <f t="shared" si="5"/>
        <v>13.4</v>
      </c>
    </row>
    <row r="51" spans="1:18" s="560" customFormat="1" ht="38.25">
      <c r="A51" s="564" t="s">
        <v>725</v>
      </c>
      <c r="B51" s="565" t="s">
        <v>482</v>
      </c>
      <c r="C51" s="566">
        <f>RICON_Edelstahl!C129</f>
        <v>8.1999999999999993</v>
      </c>
      <c r="D51" s="566">
        <f>RICON_Edelstahl!F129</f>
        <v>12.696539642830006</v>
      </c>
      <c r="E51" s="567">
        <f t="shared" si="2"/>
        <v>5.8599413736138484</v>
      </c>
      <c r="F51" s="567">
        <f t="shared" si="3"/>
        <v>6.8365982692161564</v>
      </c>
      <c r="G51" s="567">
        <f t="shared" si="3"/>
        <v>7.8132551648184654</v>
      </c>
      <c r="H51" s="567">
        <f t="shared" si="3"/>
        <v>8.1999999999999993</v>
      </c>
      <c r="I51" s="567">
        <f t="shared" si="3"/>
        <v>8.1999999999999993</v>
      </c>
      <c r="K51" s="564" t="s">
        <v>391</v>
      </c>
      <c r="L51" s="567">
        <f>RICON_Edelstahl!C129</f>
        <v>8.1999999999999993</v>
      </c>
      <c r="M51" s="567">
        <f>RICON_Edelstahl!F129</f>
        <v>12.696539642830006</v>
      </c>
      <c r="N51" s="567">
        <f t="shared" si="4"/>
        <v>5.8599413736138484</v>
      </c>
      <c r="O51" s="567">
        <f t="shared" si="5"/>
        <v>6.8365982692161564</v>
      </c>
      <c r="P51" s="567">
        <f t="shared" si="5"/>
        <v>7.8132551648184654</v>
      </c>
      <c r="Q51" s="567">
        <f t="shared" si="5"/>
        <v>8.1999999999999993</v>
      </c>
      <c r="R51" s="567">
        <f t="shared" si="5"/>
        <v>8.1999999999999993</v>
      </c>
    </row>
    <row r="52" spans="1:18" s="560" customFormat="1" ht="38.25" hidden="1">
      <c r="A52" s="564" t="s">
        <v>464</v>
      </c>
      <c r="B52" s="565" t="s">
        <v>483</v>
      </c>
      <c r="C52" s="566">
        <f>RICON_Edelstahl!C130</f>
        <v>10.4</v>
      </c>
      <c r="D52" s="566">
        <f>RICON_Edelstahl!F130</f>
        <v>18.386038074186459</v>
      </c>
      <c r="E52" s="567">
        <f t="shared" si="2"/>
        <v>8.4858637265475956</v>
      </c>
      <c r="F52" s="567">
        <f t="shared" si="3"/>
        <v>9.9001743476388615</v>
      </c>
      <c r="G52" s="567">
        <f t="shared" si="3"/>
        <v>10.4</v>
      </c>
      <c r="H52" s="567">
        <f t="shared" si="3"/>
        <v>10.4</v>
      </c>
      <c r="I52" s="567">
        <f t="shared" si="3"/>
        <v>10.4</v>
      </c>
      <c r="K52" s="564" t="s">
        <v>392</v>
      </c>
      <c r="L52" s="567">
        <f>RICON_Edelstahl!C130</f>
        <v>10.4</v>
      </c>
      <c r="M52" s="567">
        <f>RICON_Edelstahl!F130</f>
        <v>18.386038074186459</v>
      </c>
      <c r="N52" s="567">
        <f t="shared" si="4"/>
        <v>8.4858637265475956</v>
      </c>
      <c r="O52" s="567">
        <f t="shared" si="5"/>
        <v>9.9001743476388615</v>
      </c>
      <c r="P52" s="567">
        <f t="shared" si="5"/>
        <v>10.4</v>
      </c>
      <c r="Q52" s="567">
        <f t="shared" si="5"/>
        <v>10.4</v>
      </c>
      <c r="R52" s="567">
        <f t="shared" si="5"/>
        <v>10.4</v>
      </c>
    </row>
    <row r="53" spans="1:18" s="560" customFormat="1" ht="38.25" hidden="1">
      <c r="A53" s="564" t="s">
        <v>465</v>
      </c>
      <c r="B53" s="565" t="s">
        <v>484</v>
      </c>
      <c r="C53" s="566">
        <f>RICON_Edelstahl!C131</f>
        <v>13.4</v>
      </c>
      <c r="D53" s="566">
        <f>RICON_Edelstahl!F131</f>
        <v>24.07553650554291</v>
      </c>
      <c r="E53" s="567">
        <f t="shared" si="2"/>
        <v>11.111786079481341</v>
      </c>
      <c r="F53" s="567">
        <f t="shared" si="3"/>
        <v>12.963750426061566</v>
      </c>
      <c r="G53" s="567">
        <f t="shared" si="3"/>
        <v>13.4</v>
      </c>
      <c r="H53" s="567">
        <f t="shared" si="3"/>
        <v>13.4</v>
      </c>
      <c r="I53" s="567">
        <f t="shared" si="3"/>
        <v>13.4</v>
      </c>
      <c r="K53" s="564" t="s">
        <v>393</v>
      </c>
      <c r="L53" s="567">
        <f>RICON_Edelstahl!C131</f>
        <v>13.4</v>
      </c>
      <c r="M53" s="567">
        <f>RICON_Edelstahl!F131</f>
        <v>24.07553650554291</v>
      </c>
      <c r="N53" s="567">
        <f t="shared" si="4"/>
        <v>11.111786079481341</v>
      </c>
      <c r="O53" s="567">
        <f t="shared" si="5"/>
        <v>12.963750426061566</v>
      </c>
      <c r="P53" s="567">
        <f t="shared" si="5"/>
        <v>13.4</v>
      </c>
      <c r="Q53" s="567">
        <f t="shared" si="5"/>
        <v>13.4</v>
      </c>
      <c r="R53" s="567">
        <f t="shared" si="5"/>
        <v>13.4</v>
      </c>
    </row>
    <row r="54" spans="1:18" s="560" customFormat="1" ht="38.25" hidden="1">
      <c r="A54" s="564" t="s">
        <v>466</v>
      </c>
      <c r="B54" s="565" t="s">
        <v>485</v>
      </c>
      <c r="C54" s="566">
        <f>RICON_Edelstahl!C132</f>
        <v>13.4</v>
      </c>
      <c r="D54" s="566">
        <f>RICON_Edelstahl!F132</f>
        <v>29.765034936899362</v>
      </c>
      <c r="E54" s="567">
        <f t="shared" si="2"/>
        <v>13.4</v>
      </c>
      <c r="F54" s="567">
        <f t="shared" si="3"/>
        <v>13.4</v>
      </c>
      <c r="G54" s="567">
        <f t="shared" si="3"/>
        <v>13.4</v>
      </c>
      <c r="H54" s="567">
        <f t="shared" si="3"/>
        <v>13.4</v>
      </c>
      <c r="I54" s="567">
        <f t="shared" si="3"/>
        <v>13.4</v>
      </c>
      <c r="K54" s="564" t="s">
        <v>394</v>
      </c>
      <c r="L54" s="567">
        <f>RICON_Edelstahl!C132</f>
        <v>13.4</v>
      </c>
      <c r="M54" s="567">
        <f>RICON_Edelstahl!F132</f>
        <v>29.765034936899362</v>
      </c>
      <c r="N54" s="567">
        <f t="shared" si="4"/>
        <v>13.4</v>
      </c>
      <c r="O54" s="567">
        <f t="shared" si="5"/>
        <v>13.4</v>
      </c>
      <c r="P54" s="567">
        <f t="shared" si="5"/>
        <v>13.4</v>
      </c>
      <c r="Q54" s="567">
        <f t="shared" si="5"/>
        <v>13.4</v>
      </c>
      <c r="R54" s="567">
        <f t="shared" si="5"/>
        <v>13.4</v>
      </c>
    </row>
    <row r="55" spans="1:18" s="560" customFormat="1" ht="39" thickBot="1">
      <c r="A55" s="568" t="s">
        <v>724</v>
      </c>
      <c r="B55" s="569" t="s">
        <v>486</v>
      </c>
      <c r="C55" s="570">
        <f>RICON_Edelstahl!C133</f>
        <v>13.4</v>
      </c>
      <c r="D55" s="570">
        <f>RICON_Edelstahl!F133</f>
        <v>35.454533368255817</v>
      </c>
      <c r="E55" s="571">
        <f t="shared" si="2"/>
        <v>13.4</v>
      </c>
      <c r="F55" s="571">
        <f t="shared" si="3"/>
        <v>13.4</v>
      </c>
      <c r="G55" s="571">
        <f t="shared" si="3"/>
        <v>13.4</v>
      </c>
      <c r="H55" s="571">
        <f t="shared" si="3"/>
        <v>13.4</v>
      </c>
      <c r="I55" s="571">
        <f t="shared" si="3"/>
        <v>13.4</v>
      </c>
      <c r="K55" s="568" t="s">
        <v>395</v>
      </c>
      <c r="L55" s="571">
        <f>RICON_Edelstahl!C133</f>
        <v>13.4</v>
      </c>
      <c r="M55" s="571">
        <f>RICON_Edelstahl!F133</f>
        <v>35.454533368255817</v>
      </c>
      <c r="N55" s="571">
        <f t="shared" si="4"/>
        <v>13.4</v>
      </c>
      <c r="O55" s="571">
        <f t="shared" si="5"/>
        <v>13.4</v>
      </c>
      <c r="P55" s="571">
        <f t="shared" si="5"/>
        <v>13.4</v>
      </c>
      <c r="Q55" s="571">
        <f t="shared" si="5"/>
        <v>13.4</v>
      </c>
      <c r="R55" s="571">
        <f t="shared" si="5"/>
        <v>13.4</v>
      </c>
    </row>
    <row r="56" spans="1:18" s="560" customFormat="1" ht="39" thickTop="1">
      <c r="A56" s="572" t="s">
        <v>723</v>
      </c>
      <c r="B56" s="565" t="s">
        <v>491</v>
      </c>
      <c r="C56" s="573">
        <f>RICON_Edelstahl!C134</f>
        <v>4.5</v>
      </c>
      <c r="D56" s="573">
        <f>RICON_Edelstahl!F134</f>
        <v>5.1804296195027444</v>
      </c>
      <c r="E56" s="574">
        <f t="shared" si="2"/>
        <v>2.3909675166935744</v>
      </c>
      <c r="F56" s="574">
        <f t="shared" si="3"/>
        <v>2.7894621028091695</v>
      </c>
      <c r="G56" s="574">
        <f t="shared" si="3"/>
        <v>3.1879566889247655</v>
      </c>
      <c r="H56" s="574">
        <f t="shared" si="3"/>
        <v>3.5864512750403614</v>
      </c>
      <c r="I56" s="574">
        <f t="shared" si="3"/>
        <v>3.9849458611559569</v>
      </c>
      <c r="K56" s="572" t="s">
        <v>396</v>
      </c>
      <c r="L56" s="574">
        <f>RICON_Edelstahl!C134</f>
        <v>4.5</v>
      </c>
      <c r="M56" s="574">
        <f>RICON_Edelstahl!F134</f>
        <v>5.1804296195027444</v>
      </c>
      <c r="N56" s="574">
        <f t="shared" si="4"/>
        <v>2.3909675166935744</v>
      </c>
      <c r="O56" s="574">
        <f t="shared" si="5"/>
        <v>2.7894621028091695</v>
      </c>
      <c r="P56" s="574">
        <f t="shared" si="5"/>
        <v>3.1879566889247655</v>
      </c>
      <c r="Q56" s="574">
        <f t="shared" si="5"/>
        <v>3.5864512750403614</v>
      </c>
      <c r="R56" s="574">
        <f t="shared" si="5"/>
        <v>3.9849458611559569</v>
      </c>
    </row>
    <row r="57" spans="1:18" s="560" customFormat="1" ht="38.25">
      <c r="A57" s="564" t="s">
        <v>722</v>
      </c>
      <c r="B57" s="565" t="s">
        <v>494</v>
      </c>
      <c r="C57" s="566">
        <f>RICON_Edelstahl!C135</f>
        <v>8.1999999999999993</v>
      </c>
      <c r="D57" s="566">
        <f>RICON_Edelstahl!F135</f>
        <v>7.5161100233272613</v>
      </c>
      <c r="E57" s="567">
        <f t="shared" si="2"/>
        <v>3.4689738569202739</v>
      </c>
      <c r="F57" s="567">
        <f t="shared" si="3"/>
        <v>4.0471361664069869</v>
      </c>
      <c r="G57" s="567">
        <f t="shared" si="3"/>
        <v>4.6252984758936995</v>
      </c>
      <c r="H57" s="567">
        <f t="shared" si="3"/>
        <v>5.203460785380412</v>
      </c>
      <c r="I57" s="567">
        <f t="shared" si="3"/>
        <v>5.7816230948671237</v>
      </c>
      <c r="K57" s="564" t="s">
        <v>397</v>
      </c>
      <c r="L57" s="567">
        <f>RICON_Edelstahl!C135</f>
        <v>8.1999999999999993</v>
      </c>
      <c r="M57" s="567">
        <f>RICON_Edelstahl!F135</f>
        <v>7.5161100233272613</v>
      </c>
      <c r="N57" s="567">
        <f t="shared" si="4"/>
        <v>3.4689738569202739</v>
      </c>
      <c r="O57" s="567">
        <f t="shared" si="5"/>
        <v>4.0471361664069869</v>
      </c>
      <c r="P57" s="567">
        <f t="shared" si="5"/>
        <v>4.6252984758936995</v>
      </c>
      <c r="Q57" s="567">
        <f t="shared" si="5"/>
        <v>5.203460785380412</v>
      </c>
      <c r="R57" s="567">
        <f t="shared" si="5"/>
        <v>5.7816230948671237</v>
      </c>
    </row>
    <row r="58" spans="1:18" s="560" customFormat="1" ht="38.25">
      <c r="A58" s="564" t="s">
        <v>721</v>
      </c>
      <c r="B58" s="565" t="s">
        <v>495</v>
      </c>
      <c r="C58" s="566">
        <f>RICON_Edelstahl!C136</f>
        <v>10.4</v>
      </c>
      <c r="D58" s="566">
        <f>RICON_Edelstahl!F136</f>
        <v>10.360859239005489</v>
      </c>
      <c r="E58" s="567">
        <f t="shared" si="2"/>
        <v>4.7819350333871489</v>
      </c>
      <c r="F58" s="567">
        <f t="shared" si="3"/>
        <v>5.578924205618339</v>
      </c>
      <c r="G58" s="567">
        <f t="shared" si="3"/>
        <v>6.3759133778495309</v>
      </c>
      <c r="H58" s="567">
        <f t="shared" si="3"/>
        <v>7.1729025500807229</v>
      </c>
      <c r="I58" s="567">
        <f t="shared" si="3"/>
        <v>7.9698917223119139</v>
      </c>
      <c r="K58" s="564" t="s">
        <v>398</v>
      </c>
      <c r="L58" s="567">
        <f>RICON_Edelstahl!C136</f>
        <v>10.4</v>
      </c>
      <c r="M58" s="567">
        <f>RICON_Edelstahl!F136</f>
        <v>10.360859239005489</v>
      </c>
      <c r="N58" s="567">
        <f t="shared" si="4"/>
        <v>4.7819350333871489</v>
      </c>
      <c r="O58" s="567">
        <f t="shared" si="5"/>
        <v>5.578924205618339</v>
      </c>
      <c r="P58" s="567">
        <f t="shared" si="5"/>
        <v>6.3759133778495309</v>
      </c>
      <c r="Q58" s="567">
        <f t="shared" si="5"/>
        <v>7.1729025500807229</v>
      </c>
      <c r="R58" s="567">
        <f t="shared" si="5"/>
        <v>7.9698917223119139</v>
      </c>
    </row>
    <row r="59" spans="1:18" s="560" customFormat="1" ht="38.25">
      <c r="A59" s="564" t="s">
        <v>720</v>
      </c>
      <c r="B59" s="565" t="s">
        <v>496</v>
      </c>
      <c r="C59" s="566">
        <f>RICON_Edelstahl!C137</f>
        <v>13.4</v>
      </c>
      <c r="D59" s="566">
        <f>RICON_Edelstahl!F137</f>
        <v>13.205608454683714</v>
      </c>
      <c r="E59" s="567">
        <f t="shared" si="2"/>
        <v>6.0948962098540216</v>
      </c>
      <c r="F59" s="567">
        <f t="shared" si="3"/>
        <v>7.1107122448296911</v>
      </c>
      <c r="G59" s="567">
        <f t="shared" si="3"/>
        <v>8.1265282798053633</v>
      </c>
      <c r="H59" s="567">
        <f t="shared" si="3"/>
        <v>9.1423443147810328</v>
      </c>
      <c r="I59" s="567">
        <f t="shared" si="3"/>
        <v>10.158160349756702</v>
      </c>
      <c r="K59" s="564" t="s">
        <v>399</v>
      </c>
      <c r="L59" s="567">
        <f>RICON_Edelstahl!C137</f>
        <v>13.4</v>
      </c>
      <c r="M59" s="567">
        <f>RICON_Edelstahl!F137</f>
        <v>13.205608454683714</v>
      </c>
      <c r="N59" s="567">
        <f t="shared" si="4"/>
        <v>6.0948962098540216</v>
      </c>
      <c r="O59" s="567">
        <f t="shared" si="5"/>
        <v>7.1107122448296911</v>
      </c>
      <c r="P59" s="567">
        <f t="shared" si="5"/>
        <v>8.1265282798053633</v>
      </c>
      <c r="Q59" s="567">
        <f t="shared" si="5"/>
        <v>9.1423443147810328</v>
      </c>
      <c r="R59" s="567">
        <f t="shared" si="5"/>
        <v>10.158160349756702</v>
      </c>
    </row>
    <row r="60" spans="1:18" s="560" customFormat="1" ht="38.25">
      <c r="A60" s="564" t="s">
        <v>719</v>
      </c>
      <c r="B60" s="565" t="s">
        <v>497</v>
      </c>
      <c r="C60" s="566">
        <f>RICON_Edelstahl!C138</f>
        <v>13.4</v>
      </c>
      <c r="D60" s="566">
        <f>RICON_Edelstahl!F138</f>
        <v>16.05035767036194</v>
      </c>
      <c r="E60" s="567">
        <f t="shared" si="2"/>
        <v>7.4078573863208952</v>
      </c>
      <c r="F60" s="567">
        <f t="shared" si="3"/>
        <v>8.6425002840410432</v>
      </c>
      <c r="G60" s="567">
        <f t="shared" si="3"/>
        <v>9.8771431817611948</v>
      </c>
      <c r="H60" s="567">
        <f t="shared" si="3"/>
        <v>11.111786079481343</v>
      </c>
      <c r="I60" s="567">
        <f t="shared" si="3"/>
        <v>12.346428977201493</v>
      </c>
      <c r="K60" s="564" t="s">
        <v>400</v>
      </c>
      <c r="L60" s="567">
        <f>RICON_Edelstahl!C138</f>
        <v>13.4</v>
      </c>
      <c r="M60" s="567">
        <f>RICON_Edelstahl!F138</f>
        <v>16.05035767036194</v>
      </c>
      <c r="N60" s="567">
        <f t="shared" si="4"/>
        <v>7.4078573863208952</v>
      </c>
      <c r="O60" s="567">
        <f t="shared" si="5"/>
        <v>8.6425002840410432</v>
      </c>
      <c r="P60" s="567">
        <f t="shared" si="5"/>
        <v>9.8771431817611948</v>
      </c>
      <c r="Q60" s="567">
        <f t="shared" si="5"/>
        <v>11.111786079481343</v>
      </c>
      <c r="R60" s="567">
        <f t="shared" si="5"/>
        <v>12.346428977201493</v>
      </c>
    </row>
    <row r="61" spans="1:18" s="560" customFormat="1" ht="38.25">
      <c r="A61" s="564" t="s">
        <v>718</v>
      </c>
      <c r="B61" s="565" t="s">
        <v>482</v>
      </c>
      <c r="C61" s="566">
        <f>RICON_Edelstahl!C139</f>
        <v>13.4</v>
      </c>
      <c r="D61" s="566">
        <f>RICON_Edelstahl!F139</f>
        <v>18.895106886040168</v>
      </c>
      <c r="E61" s="567">
        <f t="shared" si="2"/>
        <v>8.7208185627877697</v>
      </c>
      <c r="F61" s="567">
        <f t="shared" ref="F61:I68" si="6">MIN($C61/1,$D61*F$44/1.3)</f>
        <v>10.174288323252396</v>
      </c>
      <c r="G61" s="567">
        <f t="shared" si="6"/>
        <v>11.627758083717026</v>
      </c>
      <c r="H61" s="567">
        <f t="shared" si="6"/>
        <v>13.081227844181655</v>
      </c>
      <c r="I61" s="567">
        <f t="shared" si="6"/>
        <v>13.4</v>
      </c>
      <c r="K61" s="564" t="s">
        <v>401</v>
      </c>
      <c r="L61" s="567">
        <f>RICON_Edelstahl!C139</f>
        <v>13.4</v>
      </c>
      <c r="M61" s="567">
        <f>RICON_Edelstahl!F139</f>
        <v>18.895106886040168</v>
      </c>
      <c r="N61" s="567">
        <f t="shared" si="4"/>
        <v>8.7208185627877697</v>
      </c>
      <c r="O61" s="567">
        <f t="shared" ref="O61:R68" si="7">MIN($C61/1,$D61*O$44/1.3)</f>
        <v>10.174288323252396</v>
      </c>
      <c r="P61" s="567">
        <f t="shared" si="7"/>
        <v>11.627758083717026</v>
      </c>
      <c r="Q61" s="567">
        <f t="shared" si="7"/>
        <v>13.081227844181655</v>
      </c>
      <c r="R61" s="567">
        <f t="shared" si="7"/>
        <v>13.4</v>
      </c>
    </row>
    <row r="62" spans="1:18" s="560" customFormat="1" ht="38.25">
      <c r="A62" s="564" t="s">
        <v>717</v>
      </c>
      <c r="B62" s="565" t="s">
        <v>482</v>
      </c>
      <c r="C62" s="566">
        <f>RICON_Edelstahl!C140</f>
        <v>8.1999999999999993</v>
      </c>
      <c r="D62" s="566">
        <f>RICON_Edelstahl!F140</f>
        <v>12.696539642830006</v>
      </c>
      <c r="E62" s="567">
        <f t="shared" si="2"/>
        <v>5.8599413736138484</v>
      </c>
      <c r="F62" s="567">
        <f t="shared" si="6"/>
        <v>6.8365982692161564</v>
      </c>
      <c r="G62" s="567">
        <f t="shared" si="6"/>
        <v>7.8132551648184654</v>
      </c>
      <c r="H62" s="567">
        <f t="shared" si="6"/>
        <v>8.1999999999999993</v>
      </c>
      <c r="I62" s="567">
        <f t="shared" si="6"/>
        <v>8.1999999999999993</v>
      </c>
      <c r="K62" s="564" t="s">
        <v>402</v>
      </c>
      <c r="L62" s="567">
        <f>RICON_Edelstahl!C140</f>
        <v>8.1999999999999993</v>
      </c>
      <c r="M62" s="567">
        <f>RICON_Edelstahl!F140</f>
        <v>12.696539642830006</v>
      </c>
      <c r="N62" s="567">
        <f t="shared" si="4"/>
        <v>5.8599413736138484</v>
      </c>
      <c r="O62" s="567">
        <f t="shared" si="7"/>
        <v>6.8365982692161564</v>
      </c>
      <c r="P62" s="567">
        <f t="shared" si="7"/>
        <v>7.8132551648184654</v>
      </c>
      <c r="Q62" s="567">
        <f t="shared" si="7"/>
        <v>8.1999999999999993</v>
      </c>
      <c r="R62" s="567">
        <f t="shared" si="7"/>
        <v>8.1999999999999993</v>
      </c>
    </row>
    <row r="63" spans="1:18" s="560" customFormat="1" ht="38.25">
      <c r="A63" s="564" t="s">
        <v>716</v>
      </c>
      <c r="B63" s="565" t="s">
        <v>483</v>
      </c>
      <c r="C63" s="566">
        <f>RICON_Edelstahl!C141</f>
        <v>10.4</v>
      </c>
      <c r="D63" s="566">
        <f>RICON_Edelstahl!F141</f>
        <v>18.386038074186459</v>
      </c>
      <c r="E63" s="567">
        <f t="shared" si="2"/>
        <v>8.4858637265475956</v>
      </c>
      <c r="F63" s="567">
        <f t="shared" si="6"/>
        <v>9.9001743476388615</v>
      </c>
      <c r="G63" s="567">
        <f t="shared" si="6"/>
        <v>10.4</v>
      </c>
      <c r="H63" s="567">
        <f t="shared" si="6"/>
        <v>10.4</v>
      </c>
      <c r="I63" s="567">
        <f t="shared" si="6"/>
        <v>10.4</v>
      </c>
      <c r="K63" s="564" t="s">
        <v>403</v>
      </c>
      <c r="L63" s="567">
        <f>RICON_Edelstahl!C141</f>
        <v>10.4</v>
      </c>
      <c r="M63" s="567">
        <f>RICON_Edelstahl!F141</f>
        <v>18.386038074186459</v>
      </c>
      <c r="N63" s="567">
        <f t="shared" si="4"/>
        <v>8.4858637265475956</v>
      </c>
      <c r="O63" s="567">
        <f t="shared" si="7"/>
        <v>9.9001743476388615</v>
      </c>
      <c r="P63" s="567">
        <f t="shared" si="7"/>
        <v>10.4</v>
      </c>
      <c r="Q63" s="567">
        <f t="shared" si="7"/>
        <v>10.4</v>
      </c>
      <c r="R63" s="567">
        <f t="shared" si="7"/>
        <v>10.4</v>
      </c>
    </row>
    <row r="64" spans="1:18" s="560" customFormat="1" ht="38.25">
      <c r="A64" s="564" t="s">
        <v>714</v>
      </c>
      <c r="B64" s="565" t="s">
        <v>484</v>
      </c>
      <c r="C64" s="566">
        <f>RICON_Edelstahl!C142</f>
        <v>13.4</v>
      </c>
      <c r="D64" s="566">
        <f>RICON_Edelstahl!F142</f>
        <v>24.07553650554291</v>
      </c>
      <c r="E64" s="567">
        <f t="shared" si="2"/>
        <v>11.111786079481341</v>
      </c>
      <c r="F64" s="567">
        <f t="shared" si="6"/>
        <v>12.963750426061566</v>
      </c>
      <c r="G64" s="567">
        <f t="shared" si="6"/>
        <v>13.4</v>
      </c>
      <c r="H64" s="567">
        <f t="shared" si="6"/>
        <v>13.4</v>
      </c>
      <c r="I64" s="567">
        <f t="shared" si="6"/>
        <v>13.4</v>
      </c>
      <c r="K64" s="564" t="s">
        <v>404</v>
      </c>
      <c r="L64" s="567">
        <f>RICON_Edelstahl!C142</f>
        <v>13.4</v>
      </c>
      <c r="M64" s="567">
        <f>RICON_Edelstahl!F142</f>
        <v>24.07553650554291</v>
      </c>
      <c r="N64" s="567">
        <f t="shared" si="4"/>
        <v>11.111786079481341</v>
      </c>
      <c r="O64" s="567">
        <f t="shared" si="7"/>
        <v>12.963750426061566</v>
      </c>
      <c r="P64" s="567">
        <f t="shared" si="7"/>
        <v>13.4</v>
      </c>
      <c r="Q64" s="567">
        <f t="shared" si="7"/>
        <v>13.4</v>
      </c>
      <c r="R64" s="567">
        <f t="shared" si="7"/>
        <v>13.4</v>
      </c>
    </row>
    <row r="65" spans="1:18" s="560" customFormat="1" ht="38.25">
      <c r="A65" s="564" t="s">
        <v>715</v>
      </c>
      <c r="B65" s="565" t="s">
        <v>485</v>
      </c>
      <c r="C65" s="566">
        <f>RICON_Edelstahl!C143</f>
        <v>13.4</v>
      </c>
      <c r="D65" s="566">
        <f>RICON_Edelstahl!F143</f>
        <v>29.765034936899362</v>
      </c>
      <c r="E65" s="567">
        <f t="shared" si="2"/>
        <v>13.4</v>
      </c>
      <c r="F65" s="567">
        <f t="shared" si="6"/>
        <v>13.4</v>
      </c>
      <c r="G65" s="567">
        <f t="shared" si="6"/>
        <v>13.4</v>
      </c>
      <c r="H65" s="567">
        <f t="shared" si="6"/>
        <v>13.4</v>
      </c>
      <c r="I65" s="567">
        <f t="shared" si="6"/>
        <v>13.4</v>
      </c>
      <c r="K65" s="564" t="s">
        <v>405</v>
      </c>
      <c r="L65" s="567">
        <f>RICON_Edelstahl!C143</f>
        <v>13.4</v>
      </c>
      <c r="M65" s="567">
        <f>RICON_Edelstahl!F143</f>
        <v>29.765034936899362</v>
      </c>
      <c r="N65" s="567">
        <f t="shared" si="4"/>
        <v>13.4</v>
      </c>
      <c r="O65" s="567">
        <f t="shared" si="7"/>
        <v>13.4</v>
      </c>
      <c r="P65" s="567">
        <f t="shared" si="7"/>
        <v>13.4</v>
      </c>
      <c r="Q65" s="567">
        <f t="shared" si="7"/>
        <v>13.4</v>
      </c>
      <c r="R65" s="567">
        <f t="shared" si="7"/>
        <v>13.4</v>
      </c>
    </row>
    <row r="66" spans="1:18" s="560" customFormat="1" ht="39" thickBot="1">
      <c r="A66" s="568" t="s">
        <v>713</v>
      </c>
      <c r="B66" s="569" t="s">
        <v>486</v>
      </c>
      <c r="C66" s="570">
        <f>RICON_Edelstahl!C144</f>
        <v>13.4</v>
      </c>
      <c r="D66" s="570">
        <f>RICON_Edelstahl!F144</f>
        <v>35.454533368255817</v>
      </c>
      <c r="E66" s="571">
        <f t="shared" si="2"/>
        <v>13.4</v>
      </c>
      <c r="F66" s="571">
        <f t="shared" si="6"/>
        <v>13.4</v>
      </c>
      <c r="G66" s="571">
        <f t="shared" si="6"/>
        <v>13.4</v>
      </c>
      <c r="H66" s="571">
        <f t="shared" si="6"/>
        <v>13.4</v>
      </c>
      <c r="I66" s="571">
        <f t="shared" si="6"/>
        <v>13.4</v>
      </c>
      <c r="K66" s="568" t="s">
        <v>406</v>
      </c>
      <c r="L66" s="571">
        <f>RICON_Edelstahl!C144</f>
        <v>13.4</v>
      </c>
      <c r="M66" s="571">
        <f>RICON_Edelstahl!F144</f>
        <v>35.454533368255817</v>
      </c>
      <c r="N66" s="571">
        <f t="shared" si="4"/>
        <v>13.4</v>
      </c>
      <c r="O66" s="571">
        <f t="shared" si="7"/>
        <v>13.4</v>
      </c>
      <c r="P66" s="571">
        <f t="shared" si="7"/>
        <v>13.4</v>
      </c>
      <c r="Q66" s="571">
        <f t="shared" si="7"/>
        <v>13.4</v>
      </c>
      <c r="R66" s="571">
        <f t="shared" si="7"/>
        <v>13.4</v>
      </c>
    </row>
    <row r="67" spans="1:18" s="560" customFormat="1" ht="39" thickTop="1">
      <c r="A67" s="572" t="s">
        <v>467</v>
      </c>
      <c r="B67" s="575" t="s">
        <v>616</v>
      </c>
      <c r="C67" s="573">
        <f>RICON_Edelstahl!C149</f>
        <v>3.7</v>
      </c>
      <c r="D67" s="573">
        <f>RICON_Edelstahl!F149</f>
        <v>5.0646478158177981</v>
      </c>
      <c r="E67" s="574">
        <f t="shared" si="2"/>
        <v>2.3375297611466759</v>
      </c>
      <c r="F67" s="574">
        <f t="shared" si="6"/>
        <v>2.7271180546711218</v>
      </c>
      <c r="G67" s="574">
        <f t="shared" si="6"/>
        <v>3.1167063481955686</v>
      </c>
      <c r="H67" s="574">
        <f t="shared" si="6"/>
        <v>3.5062946417200136</v>
      </c>
      <c r="I67" s="574">
        <f t="shared" si="6"/>
        <v>3.7</v>
      </c>
      <c r="K67" s="572" t="s">
        <v>407</v>
      </c>
      <c r="L67" s="574">
        <f>RICON_Edelstahl!C149</f>
        <v>3.7</v>
      </c>
      <c r="M67" s="574">
        <f>RICON_Edelstahl!F149</f>
        <v>5.0646478158177981</v>
      </c>
      <c r="N67" s="574">
        <f t="shared" si="4"/>
        <v>2.3375297611466759</v>
      </c>
      <c r="O67" s="574">
        <f t="shared" si="7"/>
        <v>2.7271180546711218</v>
      </c>
      <c r="P67" s="574">
        <f t="shared" si="7"/>
        <v>3.1167063481955686</v>
      </c>
      <c r="Q67" s="574">
        <f t="shared" si="7"/>
        <v>3.5062946417200136</v>
      </c>
      <c r="R67" s="574">
        <f t="shared" si="7"/>
        <v>3.7</v>
      </c>
    </row>
    <row r="68" spans="1:18" s="560" customFormat="1" ht="38.25">
      <c r="A68" s="564" t="s">
        <v>468</v>
      </c>
      <c r="B68" s="565" t="s">
        <v>615</v>
      </c>
      <c r="C68" s="566">
        <f>RICON_Edelstahl!C150</f>
        <v>3.7</v>
      </c>
      <c r="D68" s="566">
        <f>RICON_Edelstahl!F150</f>
        <v>5.0646478158177981</v>
      </c>
      <c r="E68" s="567">
        <f t="shared" si="2"/>
        <v>2.3375297611466759</v>
      </c>
      <c r="F68" s="567">
        <f t="shared" si="6"/>
        <v>2.7271180546711218</v>
      </c>
      <c r="G68" s="567">
        <f t="shared" si="6"/>
        <v>3.1167063481955686</v>
      </c>
      <c r="H68" s="567">
        <f t="shared" si="6"/>
        <v>3.5062946417200136</v>
      </c>
      <c r="I68" s="567">
        <f t="shared" si="6"/>
        <v>3.7</v>
      </c>
      <c r="K68" s="572" t="s">
        <v>408</v>
      </c>
      <c r="L68" s="567">
        <f>RICON_Edelstahl!C150</f>
        <v>3.7</v>
      </c>
      <c r="M68" s="567">
        <f>RICON_Edelstahl!F150</f>
        <v>5.0646478158177981</v>
      </c>
      <c r="N68" s="567">
        <f t="shared" si="4"/>
        <v>2.3375297611466759</v>
      </c>
      <c r="O68" s="567">
        <f t="shared" si="7"/>
        <v>2.7271180546711218</v>
      </c>
      <c r="P68" s="567">
        <f t="shared" si="7"/>
        <v>3.1167063481955686</v>
      </c>
      <c r="Q68" s="567">
        <f t="shared" si="7"/>
        <v>3.5062946417200136</v>
      </c>
      <c r="R68" s="567">
        <f t="shared" si="7"/>
        <v>3.7</v>
      </c>
    </row>
    <row r="69" spans="1:18" ht="33.75">
      <c r="A69" s="576" t="s">
        <v>478</v>
      </c>
      <c r="B69" s="805" t="s">
        <v>437</v>
      </c>
      <c r="C69" s="805"/>
      <c r="D69" s="805"/>
      <c r="E69" s="805"/>
      <c r="F69" s="805"/>
      <c r="G69" s="805"/>
      <c r="H69" s="805"/>
      <c r="I69" s="805"/>
      <c r="J69" s="805"/>
      <c r="K69" s="802" t="s">
        <v>473</v>
      </c>
      <c r="L69" s="802"/>
      <c r="M69" s="802"/>
      <c r="N69" s="802"/>
      <c r="O69" s="802"/>
      <c r="P69" s="802"/>
      <c r="Q69" s="802"/>
      <c r="R69" s="802"/>
    </row>
    <row r="70" spans="1:18" ht="21">
      <c r="A70" s="556" t="s">
        <v>667</v>
      </c>
      <c r="B70" s="541"/>
      <c r="C70" s="541"/>
      <c r="D70" s="541" t="s">
        <v>650</v>
      </c>
      <c r="E70" s="599" t="s">
        <v>25</v>
      </c>
      <c r="G70" s="580" t="str">
        <f>VLOOKUP(E70,'RICON_RICON-S-EK_GIGANT_WALCO '!P632:R639,3,FALSE)</f>
        <v>Brettschichtholz homogen</v>
      </c>
      <c r="H70" s="541"/>
      <c r="K70" s="802" t="s">
        <v>474</v>
      </c>
      <c r="L70" s="802"/>
      <c r="M70" s="802"/>
      <c r="N70" s="802"/>
      <c r="O70" s="802"/>
      <c r="P70" s="802"/>
      <c r="Q70" s="802"/>
      <c r="R70" s="802"/>
    </row>
    <row r="71" spans="1:18" ht="21">
      <c r="A71" s="556" t="s">
        <v>680</v>
      </c>
      <c r="D71" s="578" t="s">
        <v>657</v>
      </c>
      <c r="E71" s="599">
        <v>1</v>
      </c>
      <c r="G71" s="579" t="str">
        <f>'RICON_RICON-S-EK_GIGANT_WALCO '!W21</f>
        <v>Innenbereich</v>
      </c>
      <c r="K71" s="509" t="s">
        <v>452</v>
      </c>
    </row>
    <row r="72" spans="1:18" ht="18.75">
      <c r="A72" s="509"/>
      <c r="B72" s="509"/>
      <c r="K72" s="509"/>
    </row>
    <row r="73" spans="1:18" ht="18.75">
      <c r="A73" s="509"/>
      <c r="B73" s="509"/>
      <c r="K73" s="509"/>
    </row>
    <row r="74" spans="1:18" ht="18.75">
      <c r="A74" s="509"/>
      <c r="B74" s="509"/>
      <c r="K74" s="509"/>
    </row>
    <row r="75" spans="1:18" ht="18.75">
      <c r="A75" s="509"/>
      <c r="B75" s="509"/>
      <c r="K75" s="509"/>
    </row>
    <row r="76" spans="1:18" ht="18.75">
      <c r="A76" s="509"/>
      <c r="B76" s="509"/>
      <c r="K76" s="509"/>
    </row>
    <row r="77" spans="1:18" ht="18.75">
      <c r="A77" s="509"/>
      <c r="B77" s="509"/>
      <c r="K77" s="509"/>
    </row>
    <row r="78" spans="1:18" ht="18.75">
      <c r="A78" s="509"/>
      <c r="B78" s="509"/>
      <c r="K78" s="509"/>
    </row>
    <row r="79" spans="1:18" ht="18.75">
      <c r="A79" s="509"/>
      <c r="B79" s="509"/>
      <c r="K79" s="509"/>
    </row>
    <row r="80" spans="1:18" ht="18.75">
      <c r="A80" s="509"/>
      <c r="B80" s="509"/>
      <c r="K80" s="509"/>
    </row>
    <row r="81" spans="1:20" ht="18.75">
      <c r="A81" s="509"/>
      <c r="B81" s="509"/>
      <c r="K81" s="509"/>
    </row>
    <row r="82" spans="1:20" ht="18.75">
      <c r="A82" s="509"/>
      <c r="B82" s="509"/>
      <c r="K82" s="509"/>
    </row>
    <row r="83" spans="1:20" ht="18.75">
      <c r="A83" s="509"/>
      <c r="B83" s="509"/>
      <c r="K83" s="509"/>
    </row>
    <row r="84" spans="1:20" ht="21">
      <c r="A84" s="506"/>
      <c r="B84" s="506"/>
      <c r="K84" s="506" t="s">
        <v>410</v>
      </c>
    </row>
    <row r="85" spans="1:20" ht="18">
      <c r="A85" s="594" t="s">
        <v>413</v>
      </c>
      <c r="B85" s="799" t="s">
        <v>487</v>
      </c>
      <c r="C85" s="826" t="s">
        <v>414</v>
      </c>
      <c r="D85" s="823"/>
      <c r="E85" s="749" t="str">
        <f>"Belastungswerte F2,Rd für "&amp;E70&amp;" [kN]"</f>
        <v>Belastungswerte F2,Rd für GL24h [kN]</v>
      </c>
      <c r="F85" s="750"/>
      <c r="G85" s="750"/>
      <c r="H85" s="604" t="s">
        <v>690</v>
      </c>
      <c r="I85" s="822" t="s">
        <v>443</v>
      </c>
      <c r="J85" s="823"/>
      <c r="K85" s="519" t="s">
        <v>413</v>
      </c>
      <c r="L85" s="808" t="s">
        <v>450</v>
      </c>
      <c r="M85" s="809"/>
      <c r="N85" s="710" t="s">
        <v>448</v>
      </c>
      <c r="O85" s="711"/>
      <c r="P85" s="711"/>
      <c r="Q85" s="201"/>
      <c r="R85" s="752" t="s">
        <v>453</v>
      </c>
      <c r="S85" s="761"/>
      <c r="T85" s="3"/>
    </row>
    <row r="86" spans="1:20" ht="15" customHeight="1">
      <c r="A86" s="81"/>
      <c r="B86" s="800"/>
      <c r="C86" s="595" t="s">
        <v>439</v>
      </c>
      <c r="D86" s="595" t="s">
        <v>440</v>
      </c>
      <c r="E86" s="749" t="s">
        <v>439</v>
      </c>
      <c r="F86" s="751"/>
      <c r="G86" s="749" t="s">
        <v>440</v>
      </c>
      <c r="H86" s="750"/>
      <c r="I86" s="824" t="s">
        <v>441</v>
      </c>
      <c r="J86" s="817" t="s">
        <v>442</v>
      </c>
      <c r="K86" s="360"/>
      <c r="L86" s="516" t="s">
        <v>456</v>
      </c>
      <c r="M86" s="516" t="s">
        <v>457</v>
      </c>
      <c r="N86" s="710" t="s">
        <v>456</v>
      </c>
      <c r="O86" s="712"/>
      <c r="P86" s="710" t="s">
        <v>457</v>
      </c>
      <c r="Q86" s="712"/>
      <c r="R86" s="797" t="s">
        <v>454</v>
      </c>
      <c r="S86" s="815" t="s">
        <v>455</v>
      </c>
      <c r="T86" s="3"/>
    </row>
    <row r="87" spans="1:20">
      <c r="A87" s="82"/>
      <c r="B87" s="801"/>
      <c r="C87" s="595" t="s">
        <v>438</v>
      </c>
      <c r="D87" s="595" t="s">
        <v>438</v>
      </c>
      <c r="E87" s="588">
        <v>0.6</v>
      </c>
      <c r="F87" s="588">
        <v>0.9</v>
      </c>
      <c r="G87" s="588">
        <v>0.6</v>
      </c>
      <c r="H87" s="605">
        <v>0.9</v>
      </c>
      <c r="I87" s="825"/>
      <c r="J87" s="818"/>
      <c r="K87" s="520"/>
      <c r="L87" s="44" t="s">
        <v>458</v>
      </c>
      <c r="M87" s="44" t="s">
        <v>458</v>
      </c>
      <c r="N87" s="95">
        <v>0.6</v>
      </c>
      <c r="O87" s="95">
        <v>0.9</v>
      </c>
      <c r="P87" s="95">
        <v>0.6</v>
      </c>
      <c r="Q87" s="95">
        <v>0.9</v>
      </c>
      <c r="R87" s="798"/>
      <c r="S87" s="816"/>
      <c r="T87" s="3"/>
    </row>
    <row r="88" spans="1:20" ht="45">
      <c r="A88" s="396" t="s">
        <v>693</v>
      </c>
      <c r="B88" s="523" t="s">
        <v>492</v>
      </c>
      <c r="C88" s="549">
        <f>'RICON_RICON-S-EK_GIGANT_WALCO '!H717</f>
        <v>0.68556196386955359</v>
      </c>
      <c r="D88" s="549">
        <f>'RICON_RICON-S-EK_GIGANT_WALCO '!I717</f>
        <v>4.6855619638695538</v>
      </c>
      <c r="E88" s="498">
        <f>$C88*E$87/1.3</f>
        <v>0.31641321409364009</v>
      </c>
      <c r="F88" s="498">
        <f>$C88*F$87/1.3</f>
        <v>0.4746198211404602</v>
      </c>
      <c r="G88" s="498">
        <f>$D88*G$87/1.3</f>
        <v>2.1625670602474862</v>
      </c>
      <c r="H88" s="606">
        <f>$D88*H$87/1.3</f>
        <v>3.2438505903712298</v>
      </c>
      <c r="I88" s="607">
        <f>E88*200/1.35</f>
        <v>46.876031717576311</v>
      </c>
      <c r="J88" s="608">
        <f t="shared" ref="J88:J100" si="8">G88*200/1.35</f>
        <v>320.38030522184977</v>
      </c>
      <c r="K88" s="521" t="s">
        <v>424</v>
      </c>
      <c r="L88" s="498">
        <f>'RICON_RICON-S-EK_GIGANT_WALCO '!H717</f>
        <v>0.68556196386955359</v>
      </c>
      <c r="M88" s="498">
        <f>'RICON_RICON-S-EK_GIGANT_WALCO '!I717</f>
        <v>4.6855619638695538</v>
      </c>
      <c r="N88" s="498">
        <f>$C88*N$87/1.3</f>
        <v>0.31641321409364009</v>
      </c>
      <c r="O88" s="498">
        <f>$C88*O$87/1.3</f>
        <v>0.4746198211404602</v>
      </c>
      <c r="P88" s="498">
        <f>$D88*P$87/1.3</f>
        <v>2.1625670602474862</v>
      </c>
      <c r="Q88" s="498">
        <f>$D88*Q$87/1.3</f>
        <v>3.2438505903712298</v>
      </c>
      <c r="R88" s="512">
        <f>N88*200/1.35</f>
        <v>46.876031717576311</v>
      </c>
      <c r="S88" s="518">
        <f>P88*200/1.35</f>
        <v>320.38030522184977</v>
      </c>
      <c r="T88" s="3"/>
    </row>
    <row r="89" spans="1:20" ht="45">
      <c r="A89" s="396" t="s">
        <v>692</v>
      </c>
      <c r="B89" s="523" t="s">
        <v>493</v>
      </c>
      <c r="C89" s="549">
        <f>'RICON_RICON-S-EK_GIGANT_WALCO '!H718</f>
        <v>0.93004458531057144</v>
      </c>
      <c r="D89" s="549">
        <f>'RICON_RICON-S-EK_GIGANT_WALCO '!I718</f>
        <v>4.9300445853105712</v>
      </c>
      <c r="E89" s="498">
        <f t="shared" ref="E89:F100" si="9">$C89*E$87/1.3</f>
        <v>0.42925134706641754</v>
      </c>
      <c r="F89" s="498">
        <f t="shared" si="9"/>
        <v>0.64387702059962637</v>
      </c>
      <c r="G89" s="498">
        <f t="shared" ref="G89:H100" si="10">$D89*G$87/1.3</f>
        <v>2.2754051932202635</v>
      </c>
      <c r="H89" s="606">
        <f t="shared" si="10"/>
        <v>3.4131077898303959</v>
      </c>
      <c r="I89" s="607">
        <f t="shared" ref="I89:I100" si="11">E89*200/1.35</f>
        <v>63.59279215798778</v>
      </c>
      <c r="J89" s="608">
        <f t="shared" si="8"/>
        <v>337.09706566226123</v>
      </c>
      <c r="K89" s="521" t="s">
        <v>425</v>
      </c>
      <c r="L89" s="498">
        <f>'RICON_RICON-S-EK_GIGANT_WALCO '!H718</f>
        <v>0.93004458531057144</v>
      </c>
      <c r="M89" s="498">
        <f>'RICON_RICON-S-EK_GIGANT_WALCO '!I718</f>
        <v>4.9300445853105712</v>
      </c>
      <c r="N89" s="498">
        <f t="shared" ref="N89:O100" si="12">$C89*N$87/1.3</f>
        <v>0.42925134706641754</v>
      </c>
      <c r="O89" s="498">
        <f t="shared" si="12"/>
        <v>0.64387702059962637</v>
      </c>
      <c r="P89" s="498">
        <f t="shared" ref="P89:Q100" si="13">$D89*P$87/1.3</f>
        <v>2.2754051932202635</v>
      </c>
      <c r="Q89" s="498">
        <f t="shared" si="13"/>
        <v>3.4131077898303959</v>
      </c>
      <c r="R89" s="512">
        <f t="shared" ref="R89:R100" si="14">N89*200/1.35</f>
        <v>63.59279215798778</v>
      </c>
      <c r="S89" s="518">
        <f t="shared" ref="S89:S100" si="15">P89*200/1.35</f>
        <v>337.09706566226123</v>
      </c>
      <c r="T89" s="3"/>
    </row>
    <row r="90" spans="1:20" ht="45">
      <c r="A90" s="396" t="s">
        <v>695</v>
      </c>
      <c r="B90" s="523" t="s">
        <v>503</v>
      </c>
      <c r="C90" s="549">
        <f>'RICON_RICON-S-EK_GIGANT_WALCO '!H719</f>
        <v>1.4937800644343464</v>
      </c>
      <c r="D90" s="549">
        <f>'RICON_RICON-S-EK_GIGANT_WALCO '!I719</f>
        <v>5.4937800644343469</v>
      </c>
      <c r="E90" s="498">
        <f t="shared" si="9"/>
        <v>0.68943695281585216</v>
      </c>
      <c r="F90" s="498">
        <f t="shared" si="9"/>
        <v>1.0341554292237782</v>
      </c>
      <c r="G90" s="498">
        <f t="shared" si="10"/>
        <v>2.5355907989696984</v>
      </c>
      <c r="H90" s="606">
        <f t="shared" si="10"/>
        <v>3.8033861984545481</v>
      </c>
      <c r="I90" s="607">
        <f t="shared" si="11"/>
        <v>102.13880782457069</v>
      </c>
      <c r="J90" s="608">
        <f t="shared" si="8"/>
        <v>375.64308132884418</v>
      </c>
      <c r="K90" s="521" t="s">
        <v>426</v>
      </c>
      <c r="L90" s="498">
        <f>'RICON_RICON-S-EK_GIGANT_WALCO '!H719</f>
        <v>1.4937800644343464</v>
      </c>
      <c r="M90" s="498">
        <f>'RICON_RICON-S-EK_GIGANT_WALCO '!I719</f>
        <v>5.4937800644343469</v>
      </c>
      <c r="N90" s="498">
        <f t="shared" si="12"/>
        <v>0.68943695281585216</v>
      </c>
      <c r="O90" s="498">
        <f t="shared" si="12"/>
        <v>1.0341554292237782</v>
      </c>
      <c r="P90" s="498">
        <f t="shared" si="13"/>
        <v>2.5355907989696984</v>
      </c>
      <c r="Q90" s="498">
        <f t="shared" si="13"/>
        <v>3.8033861984545481</v>
      </c>
      <c r="R90" s="512">
        <f t="shared" si="14"/>
        <v>102.13880782457069</v>
      </c>
      <c r="S90" s="518">
        <f t="shared" si="15"/>
        <v>375.64308132884418</v>
      </c>
      <c r="T90" s="3"/>
    </row>
    <row r="91" spans="1:20" ht="45">
      <c r="A91" s="396" t="s">
        <v>694</v>
      </c>
      <c r="B91" s="523" t="s">
        <v>504</v>
      </c>
      <c r="C91" s="549">
        <f>'RICON_RICON-S-EK_GIGANT_WALCO '!H720</f>
        <v>2.0699476121956257</v>
      </c>
      <c r="D91" s="549">
        <f>'RICON_RICON-S-EK_GIGANT_WALCO '!I720</f>
        <v>6.0699476121956257</v>
      </c>
      <c r="E91" s="498">
        <f t="shared" si="9"/>
        <v>0.95536043639798107</v>
      </c>
      <c r="F91" s="498">
        <f t="shared" si="9"/>
        <v>1.4330406545969716</v>
      </c>
      <c r="G91" s="498">
        <f t="shared" si="10"/>
        <v>2.8015142825518269</v>
      </c>
      <c r="H91" s="606">
        <f t="shared" si="10"/>
        <v>4.2022714238277405</v>
      </c>
      <c r="I91" s="607">
        <f t="shared" si="11"/>
        <v>141.53487946636756</v>
      </c>
      <c r="J91" s="608">
        <f t="shared" si="8"/>
        <v>415.039152970641</v>
      </c>
      <c r="K91" s="521" t="s">
        <v>427</v>
      </c>
      <c r="L91" s="498">
        <f>'RICON_RICON-S-EK_GIGANT_WALCO '!H720</f>
        <v>2.0699476121956257</v>
      </c>
      <c r="M91" s="498">
        <f>'RICON_RICON-S-EK_GIGANT_WALCO '!I720</f>
        <v>6.0699476121956257</v>
      </c>
      <c r="N91" s="498">
        <f t="shared" si="12"/>
        <v>0.95536043639798107</v>
      </c>
      <c r="O91" s="498">
        <f t="shared" si="12"/>
        <v>1.4330406545969716</v>
      </c>
      <c r="P91" s="498">
        <f t="shared" si="13"/>
        <v>2.8015142825518269</v>
      </c>
      <c r="Q91" s="498">
        <f t="shared" si="13"/>
        <v>4.2022714238277405</v>
      </c>
      <c r="R91" s="512">
        <f t="shared" si="14"/>
        <v>141.53487946636756</v>
      </c>
      <c r="S91" s="518">
        <f t="shared" si="15"/>
        <v>415.039152970641</v>
      </c>
      <c r="T91" s="3"/>
    </row>
    <row r="92" spans="1:20" ht="45">
      <c r="A92" s="396" t="s">
        <v>696</v>
      </c>
      <c r="B92" s="523" t="s">
        <v>505</v>
      </c>
      <c r="C92" s="549">
        <f>'RICON_RICON-S-EK_GIGANT_WALCO '!H721</f>
        <v>2.6785451403230303</v>
      </c>
      <c r="D92" s="549">
        <f>'RICON_RICON-S-EK_GIGANT_WALCO '!I721</f>
        <v>6.6785451403230303</v>
      </c>
      <c r="E92" s="498">
        <f t="shared" si="9"/>
        <v>1.2362516032260138</v>
      </c>
      <c r="F92" s="498">
        <f t="shared" si="9"/>
        <v>1.8543774048390211</v>
      </c>
      <c r="G92" s="498">
        <f t="shared" si="10"/>
        <v>3.0824054493798596</v>
      </c>
      <c r="H92" s="606">
        <f t="shared" si="10"/>
        <v>4.6236081740697896</v>
      </c>
      <c r="I92" s="607">
        <f t="shared" si="11"/>
        <v>183.14838566311315</v>
      </c>
      <c r="J92" s="608">
        <f t="shared" si="8"/>
        <v>456.65265916738662</v>
      </c>
      <c r="K92" s="521" t="s">
        <v>428</v>
      </c>
      <c r="L92" s="498">
        <f>'RICON_RICON-S-EK_GIGANT_WALCO '!H721</f>
        <v>2.6785451403230303</v>
      </c>
      <c r="M92" s="498">
        <f>'RICON_RICON-S-EK_GIGANT_WALCO '!I721</f>
        <v>6.6785451403230303</v>
      </c>
      <c r="N92" s="498">
        <f t="shared" si="12"/>
        <v>1.2362516032260138</v>
      </c>
      <c r="O92" s="498">
        <f t="shared" si="12"/>
        <v>1.8543774048390211</v>
      </c>
      <c r="P92" s="498">
        <f t="shared" si="13"/>
        <v>3.0824054493798596</v>
      </c>
      <c r="Q92" s="498">
        <f t="shared" si="13"/>
        <v>4.6236081740697896</v>
      </c>
      <c r="R92" s="512">
        <f t="shared" si="14"/>
        <v>183.14838566311315</v>
      </c>
      <c r="S92" s="518">
        <f t="shared" si="15"/>
        <v>456.65265916738662</v>
      </c>
      <c r="T92" s="3"/>
    </row>
    <row r="93" spans="1:20" ht="45">
      <c r="A93" s="396" t="s">
        <v>697</v>
      </c>
      <c r="B93" s="523" t="s">
        <v>506</v>
      </c>
      <c r="C93" s="549">
        <f>'RICON_RICON-S-EK_GIGANT_WALCO '!H722</f>
        <v>3.3245358298367984</v>
      </c>
      <c r="D93" s="549">
        <f>'RICON_RICON-S-EK_GIGANT_WALCO '!I722</f>
        <v>7.3245358298367984</v>
      </c>
      <c r="E93" s="498">
        <f t="shared" si="9"/>
        <v>1.5344011522323684</v>
      </c>
      <c r="F93" s="498">
        <f t="shared" si="9"/>
        <v>2.3016017283485528</v>
      </c>
      <c r="G93" s="498">
        <f t="shared" si="10"/>
        <v>3.3805549983862146</v>
      </c>
      <c r="H93" s="606">
        <f t="shared" si="10"/>
        <v>5.070832497579322</v>
      </c>
      <c r="I93" s="607">
        <f t="shared" si="11"/>
        <v>227.31868921961009</v>
      </c>
      <c r="J93" s="608">
        <f t="shared" si="8"/>
        <v>500.82296272388362</v>
      </c>
      <c r="K93" s="521" t="s">
        <v>429</v>
      </c>
      <c r="L93" s="498">
        <f>'RICON_RICON-S-EK_GIGANT_WALCO '!H722</f>
        <v>3.3245358298367984</v>
      </c>
      <c r="M93" s="498">
        <f>'RICON_RICON-S-EK_GIGANT_WALCO '!I722</f>
        <v>7.3245358298367984</v>
      </c>
      <c r="N93" s="498">
        <f t="shared" si="12"/>
        <v>1.5344011522323684</v>
      </c>
      <c r="O93" s="498">
        <f t="shared" si="12"/>
        <v>2.3016017283485528</v>
      </c>
      <c r="P93" s="498">
        <f t="shared" si="13"/>
        <v>3.3805549983862146</v>
      </c>
      <c r="Q93" s="498">
        <f t="shared" si="13"/>
        <v>5.070832497579322</v>
      </c>
      <c r="R93" s="512">
        <f t="shared" si="14"/>
        <v>227.31868921961009</v>
      </c>
      <c r="S93" s="518">
        <f t="shared" si="15"/>
        <v>500.82296272388362</v>
      </c>
      <c r="T93" s="3"/>
    </row>
    <row r="94" spans="1:20" ht="45">
      <c r="A94" s="396" t="s">
        <v>705</v>
      </c>
      <c r="B94" s="523" t="s">
        <v>505</v>
      </c>
      <c r="C94" s="549">
        <f>'RICON_RICON-S-EK_GIGANT_WALCO '!H725</f>
        <v>4.1135329443476287</v>
      </c>
      <c r="D94" s="549">
        <f>'RICON_RICON-S-EK_GIGANT_WALCO '!I725</f>
        <v>8.1135329443476287</v>
      </c>
      <c r="E94" s="498">
        <f t="shared" si="9"/>
        <v>1.8985536666219824</v>
      </c>
      <c r="F94" s="498">
        <f t="shared" si="9"/>
        <v>2.8478304999329738</v>
      </c>
      <c r="G94" s="498">
        <f t="shared" si="10"/>
        <v>3.744707512775828</v>
      </c>
      <c r="H94" s="606">
        <f t="shared" si="10"/>
        <v>5.6170612691637434</v>
      </c>
      <c r="I94" s="607">
        <f t="shared" si="11"/>
        <v>281.26720986992331</v>
      </c>
      <c r="J94" s="608">
        <f t="shared" si="8"/>
        <v>554.77148337419669</v>
      </c>
      <c r="K94" s="522" t="s">
        <v>430</v>
      </c>
      <c r="L94" s="498">
        <f>'RICON_RICON-S-EK_GIGANT_WALCO '!H725</f>
        <v>4.1135329443476287</v>
      </c>
      <c r="M94" s="498">
        <f>'RICON_RICON-S-EK_GIGANT_WALCO '!I725</f>
        <v>8.1135329443476287</v>
      </c>
      <c r="N94" s="498">
        <f t="shared" si="12"/>
        <v>1.8985536666219824</v>
      </c>
      <c r="O94" s="498">
        <f t="shared" si="12"/>
        <v>2.8478304999329738</v>
      </c>
      <c r="P94" s="498">
        <f t="shared" si="13"/>
        <v>3.744707512775828</v>
      </c>
      <c r="Q94" s="498">
        <f t="shared" si="13"/>
        <v>5.6170612691637434</v>
      </c>
      <c r="R94" s="512">
        <f t="shared" si="14"/>
        <v>281.26720986992331</v>
      </c>
      <c r="S94" s="518">
        <f t="shared" si="15"/>
        <v>554.77148337419669</v>
      </c>
      <c r="T94" s="3"/>
    </row>
    <row r="95" spans="1:20" ht="45">
      <c r="A95" s="396" t="s">
        <v>706</v>
      </c>
      <c r="B95" s="523" t="s">
        <v>506</v>
      </c>
      <c r="C95" s="549">
        <f>'RICON_RICON-S-EK_GIGANT_WALCO '!H726</f>
        <v>5.1055236549138909</v>
      </c>
      <c r="D95" s="549">
        <f>'RICON_RICON-S-EK_GIGANT_WALCO '!I726</f>
        <v>9.1055236549138918</v>
      </c>
      <c r="E95" s="498">
        <f t="shared" si="9"/>
        <v>2.3563955330371802</v>
      </c>
      <c r="F95" s="498">
        <f t="shared" si="9"/>
        <v>3.5345932995557705</v>
      </c>
      <c r="G95" s="498">
        <f t="shared" si="10"/>
        <v>4.2025493791910264</v>
      </c>
      <c r="H95" s="606">
        <f t="shared" si="10"/>
        <v>6.3038240687865406</v>
      </c>
      <c r="I95" s="607">
        <f t="shared" si="11"/>
        <v>349.09563452402671</v>
      </c>
      <c r="J95" s="608">
        <f t="shared" si="8"/>
        <v>622.59990802830021</v>
      </c>
      <c r="K95" s="522" t="s">
        <v>431</v>
      </c>
      <c r="L95" s="498">
        <f>'RICON_RICON-S-EK_GIGANT_WALCO '!H726</f>
        <v>5.1055236549138909</v>
      </c>
      <c r="M95" s="498">
        <f>'RICON_RICON-S-EK_GIGANT_WALCO '!I726</f>
        <v>9.1055236549138918</v>
      </c>
      <c r="N95" s="498">
        <f t="shared" si="12"/>
        <v>2.3563955330371802</v>
      </c>
      <c r="O95" s="498">
        <f t="shared" si="12"/>
        <v>3.5345932995557705</v>
      </c>
      <c r="P95" s="498">
        <f t="shared" si="13"/>
        <v>4.2025493791910264</v>
      </c>
      <c r="Q95" s="498">
        <f t="shared" si="13"/>
        <v>6.3038240687865406</v>
      </c>
      <c r="R95" s="512">
        <f t="shared" si="14"/>
        <v>349.09563452402671</v>
      </c>
      <c r="S95" s="518">
        <f t="shared" si="15"/>
        <v>622.59990802830021</v>
      </c>
      <c r="T95" s="3"/>
    </row>
    <row r="96" spans="1:20" ht="45">
      <c r="A96" s="396" t="s">
        <v>711</v>
      </c>
      <c r="B96" s="523" t="s">
        <v>625</v>
      </c>
      <c r="C96" s="549">
        <f>'RICON_RICON-S-EK_GIGANT_WALCO '!H727</f>
        <v>2.8454065427374902</v>
      </c>
      <c r="D96" s="549">
        <f>'RICON_RICON-S-EK_GIGANT_WALCO '!I727</f>
        <v>6.8454065427374902</v>
      </c>
      <c r="E96" s="498">
        <f t="shared" si="9"/>
        <v>1.3132645581865339</v>
      </c>
      <c r="F96" s="498">
        <f t="shared" si="9"/>
        <v>1.9698968372798009</v>
      </c>
      <c r="G96" s="498">
        <f t="shared" si="10"/>
        <v>3.1594184043403799</v>
      </c>
      <c r="H96" s="606">
        <f t="shared" si="10"/>
        <v>4.7391276065105696</v>
      </c>
      <c r="I96" s="607">
        <f t="shared" si="11"/>
        <v>194.55771232393093</v>
      </c>
      <c r="J96" s="608">
        <f t="shared" si="8"/>
        <v>468.0619858282044</v>
      </c>
      <c r="K96" s="521" t="s">
        <v>432</v>
      </c>
      <c r="L96" s="498">
        <f>'RICON_RICON-S-EK_GIGANT_WALCO '!H727</f>
        <v>2.8454065427374902</v>
      </c>
      <c r="M96" s="498">
        <f>'RICON_RICON-S-EK_GIGANT_WALCO '!I727</f>
        <v>6.8454065427374902</v>
      </c>
      <c r="N96" s="498">
        <f t="shared" si="12"/>
        <v>1.3132645581865339</v>
      </c>
      <c r="O96" s="498">
        <f t="shared" si="12"/>
        <v>1.9698968372798009</v>
      </c>
      <c r="P96" s="498">
        <f t="shared" si="13"/>
        <v>3.1594184043403799</v>
      </c>
      <c r="Q96" s="498">
        <f t="shared" si="13"/>
        <v>4.7391276065105696</v>
      </c>
      <c r="R96" s="512">
        <f t="shared" si="14"/>
        <v>194.55771232393093</v>
      </c>
      <c r="S96" s="518">
        <f t="shared" si="15"/>
        <v>468.0619858282044</v>
      </c>
      <c r="T96" s="3"/>
    </row>
    <row r="97" spans="1:20" ht="45">
      <c r="A97" s="396" t="s">
        <v>710</v>
      </c>
      <c r="B97" s="523" t="s">
        <v>626</v>
      </c>
      <c r="C97" s="549">
        <f>'RICON_RICON-S-EK_GIGANT_WALCO '!H728</f>
        <v>4.2725432285353833</v>
      </c>
      <c r="D97" s="549">
        <f>'RICON_RICON-S-EK_GIGANT_WALCO '!I728</f>
        <v>8.2725432285353833</v>
      </c>
      <c r="E97" s="498">
        <f t="shared" si="9"/>
        <v>1.9719430285547921</v>
      </c>
      <c r="F97" s="498">
        <f t="shared" si="9"/>
        <v>2.9579145428321882</v>
      </c>
      <c r="G97" s="498">
        <f t="shared" si="10"/>
        <v>3.8180968747086386</v>
      </c>
      <c r="H97" s="606">
        <f t="shared" si="10"/>
        <v>5.727145312062957</v>
      </c>
      <c r="I97" s="607">
        <f t="shared" si="11"/>
        <v>292.13970793404326</v>
      </c>
      <c r="J97" s="608">
        <f t="shared" si="8"/>
        <v>565.64398143831681</v>
      </c>
      <c r="K97" s="521" t="s">
        <v>433</v>
      </c>
      <c r="L97" s="498">
        <f>'RICON_RICON-S-EK_GIGANT_WALCO '!H728</f>
        <v>4.2725432285353833</v>
      </c>
      <c r="M97" s="498">
        <f>'RICON_RICON-S-EK_GIGANT_WALCO '!I728</f>
        <v>8.2725432285353833</v>
      </c>
      <c r="N97" s="498">
        <f t="shared" si="12"/>
        <v>1.9719430285547921</v>
      </c>
      <c r="O97" s="498">
        <f t="shared" si="12"/>
        <v>2.9579145428321882</v>
      </c>
      <c r="P97" s="498">
        <f t="shared" si="13"/>
        <v>3.8180968747086386</v>
      </c>
      <c r="Q97" s="498">
        <f t="shared" si="13"/>
        <v>5.727145312062957</v>
      </c>
      <c r="R97" s="512">
        <f t="shared" si="14"/>
        <v>292.13970793404326</v>
      </c>
      <c r="S97" s="518">
        <f t="shared" si="15"/>
        <v>565.64398143831681</v>
      </c>
      <c r="T97" s="3"/>
    </row>
    <row r="98" spans="1:20" ht="45">
      <c r="A98" s="396" t="s">
        <v>709</v>
      </c>
      <c r="B98" s="523" t="s">
        <v>627</v>
      </c>
      <c r="C98" s="549">
        <f>'RICON_RICON-S-EK_GIGANT_WALCO '!H729</f>
        <v>5.6346405643713657</v>
      </c>
      <c r="D98" s="549">
        <f>'RICON_RICON-S-EK_GIGANT_WALCO '!I729</f>
        <v>9.6346405643713666</v>
      </c>
      <c r="E98" s="498">
        <f t="shared" si="9"/>
        <v>2.6006033374021684</v>
      </c>
      <c r="F98" s="498">
        <f t="shared" si="9"/>
        <v>3.9009050061032533</v>
      </c>
      <c r="G98" s="498">
        <f t="shared" si="10"/>
        <v>4.4467571835560156</v>
      </c>
      <c r="H98" s="606">
        <f t="shared" si="10"/>
        <v>6.6701357753340238</v>
      </c>
      <c r="I98" s="607">
        <f t="shared" si="11"/>
        <v>385.2745685040249</v>
      </c>
      <c r="J98" s="608">
        <f t="shared" si="8"/>
        <v>658.77884200829851</v>
      </c>
      <c r="K98" s="521" t="s">
        <v>434</v>
      </c>
      <c r="L98" s="498">
        <f>'RICON_RICON-S-EK_GIGANT_WALCO '!H729</f>
        <v>5.6346405643713657</v>
      </c>
      <c r="M98" s="498">
        <f>'RICON_RICON-S-EK_GIGANT_WALCO '!I729</f>
        <v>9.6346405643713666</v>
      </c>
      <c r="N98" s="498">
        <f t="shared" si="12"/>
        <v>2.6006033374021684</v>
      </c>
      <c r="O98" s="498">
        <f t="shared" si="12"/>
        <v>3.9009050061032533</v>
      </c>
      <c r="P98" s="498">
        <f t="shared" si="13"/>
        <v>4.4467571835560156</v>
      </c>
      <c r="Q98" s="498">
        <f t="shared" si="13"/>
        <v>6.6701357753340238</v>
      </c>
      <c r="R98" s="512">
        <f t="shared" si="14"/>
        <v>385.2745685040249</v>
      </c>
      <c r="S98" s="518">
        <f t="shared" si="15"/>
        <v>658.77884200829851</v>
      </c>
      <c r="T98" s="3"/>
    </row>
    <row r="99" spans="1:20" ht="45">
      <c r="A99" s="396" t="s">
        <v>708</v>
      </c>
      <c r="B99" s="523" t="s">
        <v>628</v>
      </c>
      <c r="C99" s="549">
        <f>'RICON_RICON-S-EK_GIGANT_WALCO '!H730</f>
        <v>5.1169638723882258</v>
      </c>
      <c r="D99" s="549">
        <f>'RICON_RICON-S-EK_GIGANT_WALCO '!I730</f>
        <v>9.1169638723882258</v>
      </c>
      <c r="E99" s="498">
        <f t="shared" si="9"/>
        <v>2.3616756334099502</v>
      </c>
      <c r="F99" s="498">
        <f t="shared" si="9"/>
        <v>3.5425134501149258</v>
      </c>
      <c r="G99" s="498">
        <f t="shared" si="10"/>
        <v>4.207829479563796</v>
      </c>
      <c r="H99" s="606">
        <f t="shared" si="10"/>
        <v>6.3117442193456954</v>
      </c>
      <c r="I99" s="607">
        <f t="shared" si="11"/>
        <v>349.87787161628893</v>
      </c>
      <c r="J99" s="608">
        <f t="shared" si="8"/>
        <v>623.38214512056231</v>
      </c>
      <c r="K99" s="521" t="s">
        <v>435</v>
      </c>
      <c r="L99" s="498">
        <f>'RICON_RICON-S-EK_GIGANT_WALCO '!H730</f>
        <v>5.1169638723882258</v>
      </c>
      <c r="M99" s="498">
        <f>'RICON_RICON-S-EK_GIGANT_WALCO '!I730</f>
        <v>9.1169638723882258</v>
      </c>
      <c r="N99" s="498">
        <f t="shared" si="12"/>
        <v>2.3616756334099502</v>
      </c>
      <c r="O99" s="498">
        <f t="shared" si="12"/>
        <v>3.5425134501149258</v>
      </c>
      <c r="P99" s="498">
        <f t="shared" si="13"/>
        <v>4.207829479563796</v>
      </c>
      <c r="Q99" s="498">
        <f t="shared" si="13"/>
        <v>6.3117442193456954</v>
      </c>
      <c r="R99" s="512">
        <f t="shared" si="14"/>
        <v>349.87787161628893</v>
      </c>
      <c r="S99" s="518">
        <f t="shared" si="15"/>
        <v>623.38214512056231</v>
      </c>
      <c r="T99" s="3"/>
    </row>
    <row r="100" spans="1:20" ht="45">
      <c r="A100" s="396" t="s">
        <v>707</v>
      </c>
      <c r="B100" s="523" t="s">
        <v>629</v>
      </c>
      <c r="C100" s="549">
        <f>'RICON_RICON-S-EK_GIGANT_WALCO '!H731</f>
        <v>4.6863960027681477</v>
      </c>
      <c r="D100" s="549">
        <f>'RICON_RICON-S-EK_GIGANT_WALCO '!I731</f>
        <v>8.6863960027681486</v>
      </c>
      <c r="E100" s="498">
        <f t="shared" si="9"/>
        <v>2.1629520012776062</v>
      </c>
      <c r="F100" s="498">
        <f t="shared" si="9"/>
        <v>3.2444280019164102</v>
      </c>
      <c r="G100" s="498">
        <f t="shared" si="10"/>
        <v>4.0091058474314529</v>
      </c>
      <c r="H100" s="606">
        <f t="shared" si="10"/>
        <v>6.0136587711471794</v>
      </c>
      <c r="I100" s="607">
        <f t="shared" si="11"/>
        <v>320.4373335226083</v>
      </c>
      <c r="J100" s="608">
        <f t="shared" si="8"/>
        <v>593.94160702688191</v>
      </c>
      <c r="K100" s="521" t="s">
        <v>436</v>
      </c>
      <c r="L100" s="498">
        <f>'RICON_RICON-S-EK_GIGANT_WALCO '!H731</f>
        <v>4.6863960027681477</v>
      </c>
      <c r="M100" s="498">
        <f>'RICON_RICON-S-EK_GIGANT_WALCO '!I731</f>
        <v>8.6863960027681486</v>
      </c>
      <c r="N100" s="498">
        <f t="shared" si="12"/>
        <v>2.1629520012776062</v>
      </c>
      <c r="O100" s="498">
        <f t="shared" si="12"/>
        <v>3.2444280019164102</v>
      </c>
      <c r="P100" s="498">
        <f t="shared" si="13"/>
        <v>4.0091058474314529</v>
      </c>
      <c r="Q100" s="498">
        <f t="shared" si="13"/>
        <v>6.0136587711471794</v>
      </c>
      <c r="R100" s="512">
        <f t="shared" si="14"/>
        <v>320.4373335226083</v>
      </c>
      <c r="S100" s="518">
        <f t="shared" si="15"/>
        <v>593.94160702688191</v>
      </c>
      <c r="T100" s="3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B5" sqref="B5"/>
      <rowBreaks count="1" manualBreakCount="1">
        <brk id="37" max="16383" man="1"/>
      </rowBreaks>
      <pageMargins left="0.23622047244094491" right="0.23622047244094491" top="0.74803149606299213" bottom="0.74803149606299213" header="0.31496062992125984" footer="0.31496062992125984"/>
      <pageSetup paperSize="9" scale="62" orientation="portrait" r:id="rId1"/>
      <headerFooter>
        <oddFooter>&amp;CVERBINDUNGSSYSTEME FÜR DEN HOLZBAU UND MÖBELBAU
KNAPP GMBH, A-3324 Euratsfeld, Wassergasse 31,  AUSTRIA/EUROPE 
 Tel. +43(0)7474/79910,  Fax +43(0)7474/79910-99
eMail: austriainfo@knapp-verbinder.com,  www.knapp-verbinder.com&amp;R&amp;P</oddFooter>
      </headerFooter>
    </customSheetView>
  </customSheetViews>
  <mergeCells count="33">
    <mergeCell ref="J86:J87"/>
    <mergeCell ref="B17:B18"/>
    <mergeCell ref="C43:D43"/>
    <mergeCell ref="B43:B44"/>
    <mergeCell ref="B85:B87"/>
    <mergeCell ref="E86:F86"/>
    <mergeCell ref="G86:H86"/>
    <mergeCell ref="I85:J85"/>
    <mergeCell ref="I86:I87"/>
    <mergeCell ref="C85:D85"/>
    <mergeCell ref="E17:H17"/>
    <mergeCell ref="E85:G85"/>
    <mergeCell ref="N86:O86"/>
    <mergeCell ref="P86:Q86"/>
    <mergeCell ref="R86:R87"/>
    <mergeCell ref="R85:S85"/>
    <mergeCell ref="S86:S87"/>
    <mergeCell ref="K69:R69"/>
    <mergeCell ref="B69:J69"/>
    <mergeCell ref="A1:J2"/>
    <mergeCell ref="K70:R70"/>
    <mergeCell ref="L85:M85"/>
    <mergeCell ref="N85:P85"/>
    <mergeCell ref="L43:M43"/>
    <mergeCell ref="N43:R43"/>
    <mergeCell ref="K1:R2"/>
    <mergeCell ref="K5:R5"/>
    <mergeCell ref="L17:M17"/>
    <mergeCell ref="N17:R17"/>
    <mergeCell ref="K39:R39"/>
    <mergeCell ref="A39:B39"/>
    <mergeCell ref="C17:D17"/>
    <mergeCell ref="E43:H43"/>
  </mergeCells>
  <pageMargins left="0.23622047244094491" right="0.23622047244094491" top="0.98812500000000003" bottom="0.74803149606299213" header="0.31496062992125984" footer="0.31496062992125984"/>
  <pageSetup paperSize="9" scale="62" orientation="portrait" r:id="rId2"/>
  <headerFooter>
    <oddHeader>&amp;L&amp;G&amp;R
Datum: 01.11.2018
Ersteller: M. Eng. Dipl.-Ing. (FH) Torsten Langejürgen
Seite 1 von 5 Seiten</oddHeader>
    <oddFooter>&amp;C&amp;10VERBINDUNGSSYSTEME FÜR DEN HOLZBAU UND MÖBELBAU
KNAPP GMBH, A-3324 Euratsfeld, Wassergasse 31,  AUSTRIA/EUROPE 
 Tel. +43(0)7474/79910,  Fax +43(0)7474/79910-99
eMail: austriainfo@knapp-verbinder.com,  www.knapp-verbinder.com&amp;R&amp;P</oddFooter>
  </headerFooter>
  <rowBreaks count="2" manualBreakCount="2">
    <brk id="38" max="16383" man="1"/>
    <brk id="68" max="16383" man="1"/>
  </rowBreaks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400-000000000000}">
          <x14:formula1>
            <xm:f>'RICON_RICON-S-EK_GIGANT_WALCO '!$V$7:$V$16</xm:f>
          </x14:formula1>
          <xm:sqref>E5 E40</xm:sqref>
        </x14:dataValidation>
        <x14:dataValidation type="list" allowBlank="1" showInputMessage="1" showErrorMessage="1" xr:uid="{00000000-0002-0000-0400-000001000000}">
          <x14:formula1>
            <xm:f>'RICON_RICON-S-EK_GIGANT_WALCO '!$P$632:$P$639</xm:f>
          </x14:formula1>
          <xm:sqref>E70</xm:sqref>
        </x14:dataValidation>
        <x14:dataValidation type="list" allowBlank="1" showInputMessage="1" showErrorMessage="1" xr:uid="{00000000-0002-0000-0400-000002000000}">
          <x14:formula1>
            <xm:f>'RICON_RICON-S-EK_GIGANT_WALCO '!$V$21:$V$22</xm:f>
          </x14:formula1>
          <xm:sqref>E6</xm:sqref>
        </x14:dataValidation>
        <x14:dataValidation type="list" allowBlank="1" showInputMessage="1" showErrorMessage="1" xr:uid="{00000000-0002-0000-0400-000003000000}">
          <x14:formula1>
            <xm:f>'RICON_RICON-S-EK_GIGANT_WALCO '!$V$21:$V$23</xm:f>
          </x14:formula1>
          <xm:sqref>E41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7"/>
  <sheetViews>
    <sheetView showGridLines="0" showRowColHeaders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3" max="3" width="14.5703125" customWidth="1"/>
    <col min="4" max="4" width="25" customWidth="1"/>
    <col min="5" max="5" width="11.5703125" customWidth="1"/>
    <col min="10" max="10" width="10.14062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806" t="s">
        <v>678</v>
      </c>
      <c r="B1" s="806"/>
      <c r="C1" s="806"/>
      <c r="D1" s="806"/>
      <c r="E1" s="806"/>
      <c r="F1" s="806"/>
      <c r="G1" s="806"/>
      <c r="H1" s="806"/>
      <c r="I1" s="806"/>
      <c r="J1" s="806"/>
      <c r="L1" s="804" t="s">
        <v>444</v>
      </c>
      <c r="M1" s="804"/>
      <c r="N1" s="804"/>
      <c r="O1" s="804"/>
      <c r="P1" s="804"/>
      <c r="Q1" s="804"/>
      <c r="R1" s="804"/>
      <c r="S1" s="804"/>
    </row>
    <row r="2" spans="1:19" ht="21.6" customHeight="1" thickBot="1">
      <c r="A2" s="807"/>
      <c r="B2" s="807"/>
      <c r="C2" s="807"/>
      <c r="D2" s="807"/>
      <c r="E2" s="807"/>
      <c r="F2" s="807"/>
      <c r="G2" s="807"/>
      <c r="H2" s="807"/>
      <c r="I2" s="807"/>
      <c r="J2" s="807"/>
      <c r="L2" s="804"/>
      <c r="M2" s="804"/>
      <c r="N2" s="804"/>
      <c r="O2" s="804"/>
      <c r="P2" s="804"/>
      <c r="Q2" s="804"/>
      <c r="R2" s="804"/>
      <c r="S2" s="804"/>
    </row>
    <row r="3" spans="1:19" ht="21.6" customHeight="1">
      <c r="A3" s="538"/>
      <c r="B3" s="538"/>
      <c r="C3" s="538"/>
      <c r="D3" s="538"/>
      <c r="E3" s="538"/>
      <c r="F3" s="538"/>
      <c r="G3" s="538"/>
      <c r="H3" s="538"/>
      <c r="I3" s="538"/>
      <c r="L3" s="538"/>
      <c r="M3" s="538"/>
      <c r="N3" s="538"/>
      <c r="O3" s="538"/>
      <c r="P3" s="538"/>
      <c r="Q3" s="538"/>
      <c r="R3" s="538"/>
      <c r="S3" s="538"/>
    </row>
    <row r="4" spans="1:19" ht="33.75">
      <c r="A4" s="554" t="s">
        <v>415</v>
      </c>
      <c r="B4" s="555"/>
      <c r="C4" s="555"/>
      <c r="D4" s="555"/>
      <c r="E4" s="555"/>
      <c r="F4" s="555"/>
      <c r="G4" s="555"/>
      <c r="H4" s="555"/>
      <c r="I4" s="555"/>
      <c r="J4" s="553"/>
      <c r="L4" s="552"/>
      <c r="M4" s="552"/>
      <c r="N4" s="552"/>
      <c r="O4" s="552"/>
      <c r="P4" s="552"/>
      <c r="Q4" s="552"/>
      <c r="R4" s="552"/>
      <c r="S4" s="552"/>
    </row>
    <row r="5" spans="1:19" ht="21">
      <c r="A5" s="556" t="s">
        <v>677</v>
      </c>
      <c r="B5" s="541"/>
      <c r="C5" s="541"/>
      <c r="D5" s="541" t="s">
        <v>650</v>
      </c>
      <c r="E5" s="599" t="s">
        <v>25</v>
      </c>
      <c r="G5" s="580" t="str">
        <f>VLOOKUP(E5,'RICON_RICON-S-EK_GIGANT_WALCO '!V7:X16,3,FALSE)</f>
        <v>Brettschichtholz homogen</v>
      </c>
      <c r="H5" s="580"/>
      <c r="L5" s="802" t="s">
        <v>473</v>
      </c>
      <c r="M5" s="802"/>
      <c r="N5" s="802"/>
      <c r="O5" s="802"/>
      <c r="P5" s="802"/>
      <c r="Q5" s="802"/>
      <c r="R5" s="802"/>
      <c r="S5" s="802"/>
    </row>
    <row r="6" spans="1:19" ht="18.75">
      <c r="D6" s="578" t="s">
        <v>657</v>
      </c>
      <c r="E6" s="599">
        <v>1</v>
      </c>
      <c r="G6" s="579" t="str">
        <f>VLOOKUP(E6,'RICON_RICON-S-EK_GIGANT_WALCO '!V21:W22,2,FALSE)</f>
        <v>Innenbereich</v>
      </c>
      <c r="H6" s="581"/>
      <c r="L6" s="509" t="s">
        <v>445</v>
      </c>
    </row>
    <row r="7" spans="1:19" ht="21.6" customHeight="1">
      <c r="A7" s="538"/>
      <c r="B7" s="538"/>
      <c r="C7" s="538"/>
      <c r="I7" s="538"/>
      <c r="L7" s="538"/>
      <c r="M7" s="538"/>
      <c r="N7" s="538"/>
      <c r="O7" s="538"/>
      <c r="P7" s="538"/>
      <c r="Q7" s="538"/>
      <c r="R7" s="538"/>
      <c r="S7" s="538"/>
    </row>
    <row r="8" spans="1:19" ht="18.75">
      <c r="A8" s="509"/>
      <c r="B8" s="509"/>
      <c r="L8" s="509"/>
    </row>
    <row r="9" spans="1:19" ht="18.75">
      <c r="A9" s="509"/>
      <c r="B9" s="509"/>
      <c r="L9" s="509"/>
    </row>
    <row r="10" spans="1:19" ht="18.75">
      <c r="A10" s="509"/>
      <c r="B10" s="509"/>
      <c r="L10" s="509"/>
    </row>
    <row r="11" spans="1:19" ht="18.75">
      <c r="A11" s="509"/>
      <c r="B11" s="509"/>
      <c r="L11" s="509"/>
    </row>
    <row r="12" spans="1:19" ht="18.75">
      <c r="A12" s="509"/>
      <c r="B12" s="509"/>
      <c r="L12" s="509"/>
    </row>
    <row r="13" spans="1:19" ht="18.75">
      <c r="A13" s="509"/>
      <c r="B13" s="509"/>
      <c r="L13" s="509"/>
    </row>
    <row r="14" spans="1:19" ht="18.75">
      <c r="A14" s="509"/>
      <c r="B14" s="509"/>
      <c r="L14" s="509"/>
    </row>
    <row r="15" spans="1:19" ht="21">
      <c r="A15" s="505"/>
      <c r="B15" s="505"/>
      <c r="L15" s="505" t="s">
        <v>471</v>
      </c>
    </row>
    <row r="16" spans="1:19" ht="18">
      <c r="A16" s="594" t="s">
        <v>413</v>
      </c>
      <c r="B16" s="799" t="s">
        <v>487</v>
      </c>
      <c r="C16" s="812" t="s">
        <v>414</v>
      </c>
      <c r="D16" s="812"/>
      <c r="E16" s="749" t="str">
        <f>"Belastungswerte F2,Rd für "&amp;E5&amp;" [kN]"</f>
        <v>Belastungswerte F2,Rd für GL24h [kN]</v>
      </c>
      <c r="F16" s="750"/>
      <c r="G16" s="750"/>
      <c r="H16" s="750"/>
      <c r="I16" s="602" t="s">
        <v>690</v>
      </c>
      <c r="L16" s="4" t="s">
        <v>413</v>
      </c>
      <c r="M16" s="803" t="s">
        <v>450</v>
      </c>
      <c r="N16" s="803"/>
      <c r="O16" s="710" t="s">
        <v>448</v>
      </c>
      <c r="P16" s="711"/>
      <c r="Q16" s="711"/>
      <c r="R16" s="711"/>
      <c r="S16" s="712"/>
    </row>
    <row r="17" spans="1:19" ht="33.75" customHeight="1">
      <c r="A17" s="82"/>
      <c r="B17" s="801"/>
      <c r="C17" s="595" t="s">
        <v>411</v>
      </c>
      <c r="D17" s="595" t="s">
        <v>412</v>
      </c>
      <c r="E17" s="588">
        <v>0.6</v>
      </c>
      <c r="F17" s="588">
        <v>0.7</v>
      </c>
      <c r="G17" s="588">
        <v>0.8</v>
      </c>
      <c r="H17" s="588">
        <v>0.9</v>
      </c>
      <c r="I17" s="588">
        <v>1</v>
      </c>
      <c r="L17" s="8"/>
      <c r="M17" s="44" t="s">
        <v>411</v>
      </c>
      <c r="N17" s="44" t="s">
        <v>412</v>
      </c>
      <c r="O17" s="95">
        <v>0.6</v>
      </c>
      <c r="P17" s="95">
        <v>0.7</v>
      </c>
      <c r="Q17" s="95">
        <v>0.8</v>
      </c>
      <c r="R17" s="95">
        <v>0.9</v>
      </c>
      <c r="S17" s="95">
        <v>1</v>
      </c>
    </row>
    <row r="18" spans="1:19" ht="45">
      <c r="A18" s="68" t="s">
        <v>469</v>
      </c>
      <c r="B18" s="525" t="s">
        <v>617</v>
      </c>
      <c r="C18" s="549">
        <f>'RICON_RICON-S-EK_GIGANT_WALCO '!C101</f>
        <v>17</v>
      </c>
      <c r="D18" s="549">
        <f>'RICON_RICON-S-EK_GIGANT_WALCO '!F101</f>
        <v>12.49450681193213</v>
      </c>
      <c r="E18" s="498">
        <f>MIN($C18/1,$D18*E$17/1.3)</f>
        <v>5.7666954516609827</v>
      </c>
      <c r="F18" s="498">
        <f t="shared" ref="F18:I22" si="0">MIN($C18/1,$D18*F$17/1.3)</f>
        <v>6.7278113602711462</v>
      </c>
      <c r="G18" s="498">
        <f t="shared" si="0"/>
        <v>7.6889272688813115</v>
      </c>
      <c r="H18" s="498">
        <f t="shared" si="0"/>
        <v>8.6500431774914741</v>
      </c>
      <c r="I18" s="498">
        <f t="shared" si="0"/>
        <v>9.6111590861016385</v>
      </c>
      <c r="L18" s="68" t="s">
        <v>372</v>
      </c>
      <c r="M18" s="498">
        <f>'RICON_RICON-S-EK_GIGANT_WALCO '!C101</f>
        <v>17</v>
      </c>
      <c r="N18" s="498">
        <f>'RICON_RICON-S-EK_GIGANT_WALCO '!F101</f>
        <v>12.49450681193213</v>
      </c>
      <c r="O18" s="498">
        <f>MIN($C18/1,$D18*O$17/1.3)</f>
        <v>5.7666954516609827</v>
      </c>
      <c r="P18" s="498">
        <f t="shared" ref="P18:S22" si="1">MIN($C18/1,$D18*P$17/1.3)</f>
        <v>6.7278113602711462</v>
      </c>
      <c r="Q18" s="498">
        <f t="shared" si="1"/>
        <v>7.6889272688813115</v>
      </c>
      <c r="R18" s="498">
        <f t="shared" si="1"/>
        <v>8.6500431774914741</v>
      </c>
      <c r="S18" s="498">
        <f t="shared" si="1"/>
        <v>9.6111590861016385</v>
      </c>
    </row>
    <row r="19" spans="1:19" ht="60">
      <c r="A19" s="67" t="s">
        <v>618</v>
      </c>
      <c r="B19" s="525" t="s">
        <v>630</v>
      </c>
      <c r="C19" s="549">
        <f>'RICON_RICON-S-EK_GIGANT_WALCO '!C103</f>
        <v>24</v>
      </c>
      <c r="D19" s="549">
        <f>'RICON_RICON-S-EK_GIGANT_WALCO '!F103</f>
        <v>16.659342415909506</v>
      </c>
      <c r="E19" s="498">
        <f>MIN($C19/1,$D19*E$17/1.3)</f>
        <v>7.6889272688813097</v>
      </c>
      <c r="F19" s="498">
        <f t="shared" si="0"/>
        <v>8.970415147028195</v>
      </c>
      <c r="G19" s="498">
        <f t="shared" si="0"/>
        <v>10.251903025175082</v>
      </c>
      <c r="H19" s="498">
        <f t="shared" si="0"/>
        <v>11.533390903321965</v>
      </c>
      <c r="I19" s="498">
        <f t="shared" si="0"/>
        <v>12.814878781468851</v>
      </c>
      <c r="L19" s="67" t="s">
        <v>476</v>
      </c>
      <c r="M19" s="498">
        <f>'RICON_RICON-S-EK_GIGANT_WALCO '!C103</f>
        <v>24</v>
      </c>
      <c r="N19" s="498">
        <f>'RICON_RICON-S-EK_GIGANT_WALCO '!F103</f>
        <v>16.659342415909506</v>
      </c>
      <c r="O19" s="498">
        <f>MIN($C19/1,$D19*O$17/1.3)</f>
        <v>7.6889272688813097</v>
      </c>
      <c r="P19" s="498">
        <f t="shared" si="1"/>
        <v>8.970415147028195</v>
      </c>
      <c r="Q19" s="498">
        <f t="shared" si="1"/>
        <v>10.251903025175082</v>
      </c>
      <c r="R19" s="498">
        <f t="shared" si="1"/>
        <v>11.533390903321965</v>
      </c>
      <c r="S19" s="498">
        <f t="shared" si="1"/>
        <v>12.814878781468851</v>
      </c>
    </row>
    <row r="20" spans="1:19" ht="60">
      <c r="A20" s="67" t="s">
        <v>470</v>
      </c>
      <c r="B20" s="525" t="s">
        <v>631</v>
      </c>
      <c r="C20" s="549">
        <f>'RICON_RICON-S-EK_GIGANT_WALCO '!C105</f>
        <v>24</v>
      </c>
      <c r="D20" s="549">
        <f>'RICON_RICON-S-EK_GIGANT_WALCO '!F105</f>
        <v>16.659342415909506</v>
      </c>
      <c r="E20" s="498">
        <f>MIN($C20/1,$D20*E$17/1.3)</f>
        <v>7.6889272688813097</v>
      </c>
      <c r="F20" s="498">
        <f t="shared" si="0"/>
        <v>8.970415147028195</v>
      </c>
      <c r="G20" s="498">
        <f t="shared" si="0"/>
        <v>10.251903025175082</v>
      </c>
      <c r="H20" s="498">
        <f t="shared" si="0"/>
        <v>11.533390903321965</v>
      </c>
      <c r="I20" s="498">
        <f t="shared" si="0"/>
        <v>12.814878781468851</v>
      </c>
      <c r="L20" s="67" t="s">
        <v>374</v>
      </c>
      <c r="M20" s="498">
        <f>'RICON_RICON-S-EK_GIGANT_WALCO '!C105</f>
        <v>24</v>
      </c>
      <c r="N20" s="498">
        <f>'RICON_RICON-S-EK_GIGANT_WALCO '!F105</f>
        <v>16.659342415909506</v>
      </c>
      <c r="O20" s="498">
        <f>MIN($C20/1,$D20*O$17/1.3)</f>
        <v>7.6889272688813097</v>
      </c>
      <c r="P20" s="498">
        <f t="shared" si="1"/>
        <v>8.970415147028195</v>
      </c>
      <c r="Q20" s="498">
        <f t="shared" si="1"/>
        <v>10.251903025175082</v>
      </c>
      <c r="R20" s="498">
        <f t="shared" si="1"/>
        <v>11.533390903321965</v>
      </c>
      <c r="S20" s="498">
        <f t="shared" si="1"/>
        <v>12.814878781468851</v>
      </c>
    </row>
    <row r="21" spans="1:19" ht="60">
      <c r="A21" s="67" t="s">
        <v>619</v>
      </c>
      <c r="B21" s="525" t="s">
        <v>632</v>
      </c>
      <c r="C21" s="549">
        <f>'RICON_RICON-S-EK_GIGANT_WALCO '!C106</f>
        <v>33</v>
      </c>
      <c r="D21" s="549">
        <f>'RICON_RICON-S-EK_GIGANT_WALCO '!F106</f>
        <v>24.98901362386426</v>
      </c>
      <c r="E21" s="498">
        <f>MIN($C21/1,$D21*E$17/1.3)</f>
        <v>11.533390903321965</v>
      </c>
      <c r="F21" s="498">
        <f t="shared" si="0"/>
        <v>13.455622720542292</v>
      </c>
      <c r="G21" s="498">
        <f t="shared" si="0"/>
        <v>15.377854537762623</v>
      </c>
      <c r="H21" s="498">
        <f t="shared" si="0"/>
        <v>17.300086354982948</v>
      </c>
      <c r="I21" s="498">
        <f t="shared" si="0"/>
        <v>19.222318172203277</v>
      </c>
      <c r="L21" s="67" t="s">
        <v>477</v>
      </c>
      <c r="M21" s="498">
        <f>'RICON_RICON-S-EK_GIGANT_WALCO '!C106</f>
        <v>33</v>
      </c>
      <c r="N21" s="498">
        <f>'RICON_RICON-S-EK_GIGANT_WALCO '!F106</f>
        <v>24.98901362386426</v>
      </c>
      <c r="O21" s="498">
        <f>MIN($C21/1,$D21*O$17/1.3)</f>
        <v>11.533390903321965</v>
      </c>
      <c r="P21" s="498">
        <f t="shared" si="1"/>
        <v>13.455622720542292</v>
      </c>
      <c r="Q21" s="498">
        <f t="shared" si="1"/>
        <v>15.377854537762623</v>
      </c>
      <c r="R21" s="498">
        <f t="shared" si="1"/>
        <v>17.300086354982948</v>
      </c>
      <c r="S21" s="498">
        <f t="shared" si="1"/>
        <v>19.222318172203277</v>
      </c>
    </row>
    <row r="22" spans="1:19" ht="60">
      <c r="A22" s="67" t="s">
        <v>620</v>
      </c>
      <c r="B22" s="525" t="s">
        <v>633</v>
      </c>
      <c r="C22" s="549">
        <f>'RICON_RICON-S-EK_GIGANT_WALCO '!C108</f>
        <v>33</v>
      </c>
      <c r="D22" s="549">
        <f>'RICON_RICON-S-EK_GIGANT_WALCO '!F108</f>
        <v>20.824178019886883</v>
      </c>
      <c r="E22" s="498">
        <f>MIN($C22/1,$D22*E$17/1.3)</f>
        <v>9.6111590861016385</v>
      </c>
      <c r="F22" s="498">
        <f t="shared" si="0"/>
        <v>11.213018933785243</v>
      </c>
      <c r="G22" s="498">
        <f t="shared" si="0"/>
        <v>12.814878781468851</v>
      </c>
      <c r="H22" s="498">
        <f t="shared" si="0"/>
        <v>14.416738629152459</v>
      </c>
      <c r="I22" s="498">
        <f t="shared" si="0"/>
        <v>16.018598476836065</v>
      </c>
      <c r="L22" s="67" t="s">
        <v>376</v>
      </c>
      <c r="M22" s="498">
        <f>'RICON_RICON-S-EK_GIGANT_WALCO '!C108</f>
        <v>33</v>
      </c>
      <c r="N22" s="498">
        <f>'RICON_RICON-S-EK_GIGANT_WALCO '!F108</f>
        <v>20.824178019886883</v>
      </c>
      <c r="O22" s="498">
        <f>MIN($C22/1,$D22*O$17/1.3)</f>
        <v>9.6111590861016385</v>
      </c>
      <c r="P22" s="498">
        <f t="shared" si="1"/>
        <v>11.213018933785243</v>
      </c>
      <c r="Q22" s="498">
        <f t="shared" si="1"/>
        <v>12.814878781468851</v>
      </c>
      <c r="R22" s="498">
        <f t="shared" si="1"/>
        <v>14.416738629152459</v>
      </c>
      <c r="S22" s="498">
        <f t="shared" si="1"/>
        <v>16.018598476836065</v>
      </c>
    </row>
    <row r="23" spans="1:19">
      <c r="A23" s="501"/>
      <c r="B23" s="526"/>
      <c r="C23" s="508"/>
      <c r="D23" s="508"/>
      <c r="E23" s="508"/>
      <c r="F23" s="508"/>
      <c r="G23" s="508"/>
      <c r="H23" s="508"/>
      <c r="I23" s="508"/>
      <c r="L23" s="501"/>
      <c r="M23" s="508"/>
      <c r="N23" s="508"/>
      <c r="O23" s="508"/>
      <c r="P23" s="508"/>
      <c r="Q23" s="508"/>
      <c r="R23" s="508"/>
      <c r="S23" s="508"/>
    </row>
    <row r="24" spans="1:19">
      <c r="A24" s="501"/>
      <c r="B24" s="526"/>
      <c r="C24" s="508"/>
      <c r="D24" s="508"/>
      <c r="E24" s="508"/>
      <c r="F24" s="508"/>
      <c r="G24" s="508"/>
      <c r="H24" s="508"/>
      <c r="I24" s="508"/>
      <c r="L24" s="501"/>
      <c r="M24" s="508"/>
      <c r="N24" s="508"/>
      <c r="O24" s="508"/>
      <c r="P24" s="508"/>
      <c r="Q24" s="508"/>
      <c r="R24" s="508"/>
      <c r="S24" s="508"/>
    </row>
    <row r="25" spans="1:19">
      <c r="A25" s="501"/>
      <c r="B25" s="526"/>
      <c r="C25" s="508"/>
      <c r="D25" s="508"/>
      <c r="E25" s="508"/>
      <c r="F25" s="508"/>
      <c r="G25" s="508"/>
      <c r="H25" s="508"/>
      <c r="I25" s="508"/>
      <c r="L25" s="501"/>
      <c r="M25" s="508"/>
      <c r="N25" s="508"/>
      <c r="O25" s="508"/>
      <c r="P25" s="508"/>
      <c r="Q25" s="508"/>
      <c r="R25" s="508"/>
      <c r="S25" s="508"/>
    </row>
    <row r="26" spans="1:19">
      <c r="A26" s="501"/>
      <c r="B26" s="526"/>
      <c r="C26" s="508"/>
      <c r="D26" s="508"/>
      <c r="E26" s="508"/>
      <c r="F26" s="508"/>
      <c r="G26" s="508"/>
      <c r="H26" s="508"/>
      <c r="I26" s="508"/>
      <c r="L26" s="501"/>
      <c r="M26" s="508"/>
      <c r="N26" s="508"/>
      <c r="O26" s="508"/>
      <c r="P26" s="508"/>
      <c r="Q26" s="508"/>
      <c r="R26" s="508"/>
      <c r="S26" s="508"/>
    </row>
    <row r="27" spans="1:19">
      <c r="A27" s="501"/>
      <c r="B27" s="501"/>
      <c r="C27" s="508"/>
      <c r="D27" s="508"/>
      <c r="E27" s="508"/>
      <c r="F27" s="508"/>
      <c r="G27" s="508"/>
      <c r="H27" s="508"/>
      <c r="I27" s="508"/>
      <c r="L27" s="501"/>
      <c r="M27" s="508"/>
      <c r="N27" s="508"/>
      <c r="O27" s="508"/>
      <c r="P27" s="508"/>
      <c r="Q27" s="508"/>
      <c r="R27" s="508"/>
      <c r="S27" s="508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F20" sqref="F20"/>
      <pageMargins left="0.7" right="0.7" top="0.78740157499999996" bottom="0.78740157499999996" header="0.3" footer="0.3"/>
    </customSheetView>
  </customSheetViews>
  <mergeCells count="8">
    <mergeCell ref="L1:S2"/>
    <mergeCell ref="L5:S5"/>
    <mergeCell ref="B16:B17"/>
    <mergeCell ref="C16:D16"/>
    <mergeCell ref="M16:N16"/>
    <mergeCell ref="O16:S16"/>
    <mergeCell ref="A1:J2"/>
    <mergeCell ref="E16:H16"/>
  </mergeCells>
  <pageMargins left="0.23622047244094491" right="0.23622047244094491" top="0.98425196850393704" bottom="0.74803149606299213" header="0.31496062992125984" footer="0.31496062992125984"/>
  <pageSetup paperSize="9" scale="62" orientation="portrait" r:id="rId1"/>
  <headerFooter>
    <oddHeader>&amp;L&amp;G&amp;R
Datum: 01.11.2018
Ersteller: M. Eng. Dipl.-Ing. (FH) Torsten Langejürgen
Seite 1 von 5 Seiten</oddHeader>
    <oddFooter>&amp;CVERBINDUNGSSYSTEME FÜR DEN HOLZBAU UND MÖBELBAU
KNAPP GMBH, A-3324 Euratsfeld, Wassergasse 31,  AUSTRIA/EUROPE 
 Tel. +43(0)7474/79910,  Fax +43(0)7474/79910-99
eMail: austriainfo@knapp-verbinder.com,  www.knapp-verbinder.com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 xr:uid="{00000000-0002-0000-0500-000001000000}">
          <x14:formula1>
            <xm:f>'RICON_RICON-S-EK_GIGANT_WALCO '!$V$21:$V$22</xm:f>
          </x14:formula1>
          <xm:sqref>E6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69"/>
  <sheetViews>
    <sheetView showGridLines="0" showRowColHeaders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42578125" customWidth="1"/>
    <col min="11" max="11" width="27.42578125" hidden="1" customWidth="1"/>
    <col min="12" max="12" width="0" hidden="1" customWidth="1"/>
    <col min="13" max="13" width="13.7109375" hidden="1" customWidth="1"/>
    <col min="14" max="19" width="0" hidden="1" customWidth="1"/>
  </cols>
  <sheetData>
    <row r="1" spans="1:18" ht="21" customHeight="1">
      <c r="A1" s="806" t="s">
        <v>679</v>
      </c>
      <c r="B1" s="806"/>
      <c r="C1" s="806"/>
      <c r="D1" s="806"/>
      <c r="E1" s="806"/>
      <c r="F1" s="806"/>
      <c r="G1" s="806"/>
      <c r="H1" s="806"/>
      <c r="I1" s="806"/>
      <c r="J1" s="806"/>
      <c r="K1" s="804" t="s">
        <v>444</v>
      </c>
      <c r="L1" s="804"/>
      <c r="M1" s="804"/>
      <c r="N1" s="804"/>
      <c r="O1" s="804"/>
      <c r="P1" s="804"/>
      <c r="Q1" s="804"/>
      <c r="R1" s="804"/>
    </row>
    <row r="2" spans="1:18" ht="21.6" customHeight="1" thickBot="1">
      <c r="A2" s="807"/>
      <c r="B2" s="807"/>
      <c r="C2" s="807"/>
      <c r="D2" s="807"/>
      <c r="E2" s="807"/>
      <c r="F2" s="807"/>
      <c r="G2" s="807"/>
      <c r="H2" s="807"/>
      <c r="I2" s="807"/>
      <c r="J2" s="807"/>
      <c r="K2" s="804"/>
      <c r="L2" s="804"/>
      <c r="M2" s="804"/>
      <c r="N2" s="804"/>
      <c r="O2" s="804"/>
      <c r="P2" s="804"/>
      <c r="Q2" s="804"/>
      <c r="R2" s="804"/>
    </row>
    <row r="3" spans="1:18" ht="21.6" customHeight="1">
      <c r="A3" s="538"/>
      <c r="B3" s="538"/>
      <c r="C3" s="538"/>
      <c r="D3" s="538"/>
      <c r="E3" s="538"/>
      <c r="F3" s="538"/>
      <c r="G3" s="538"/>
      <c r="H3" s="538"/>
      <c r="I3" s="538"/>
      <c r="K3" s="538"/>
      <c r="L3" s="538"/>
      <c r="M3" s="538"/>
      <c r="N3" s="538"/>
      <c r="O3" s="538"/>
      <c r="P3" s="538"/>
      <c r="Q3" s="538"/>
      <c r="R3" s="538"/>
    </row>
    <row r="4" spans="1:18" ht="33.75">
      <c r="A4" s="554" t="s">
        <v>480</v>
      </c>
      <c r="B4" s="555"/>
      <c r="C4" s="555"/>
      <c r="D4" s="555"/>
      <c r="E4" s="555"/>
      <c r="F4" s="555"/>
      <c r="G4" s="555"/>
      <c r="H4" s="555"/>
      <c r="I4" s="555"/>
      <c r="J4" s="553"/>
      <c r="K4" s="552"/>
      <c r="L4" s="552"/>
      <c r="M4" s="552"/>
      <c r="N4" s="552"/>
      <c r="O4" s="552"/>
      <c r="P4" s="552"/>
      <c r="Q4" s="552"/>
      <c r="R4" s="552"/>
    </row>
    <row r="5" spans="1:18" ht="21">
      <c r="A5" s="556" t="s">
        <v>677</v>
      </c>
      <c r="B5" s="541"/>
      <c r="C5" s="541"/>
      <c r="D5" s="541" t="s">
        <v>650</v>
      </c>
      <c r="E5" s="599" t="s">
        <v>25</v>
      </c>
      <c r="G5" s="580" t="str">
        <f>VLOOKUP(E5,'RICON_RICON-S-EK_GIGANT_WALCO '!V7:X16,3,FALSE)</f>
        <v>Brettschichtholz homogen</v>
      </c>
      <c r="H5" s="580"/>
      <c r="K5" s="802" t="s">
        <v>473</v>
      </c>
      <c r="L5" s="802"/>
      <c r="M5" s="802"/>
      <c r="N5" s="802"/>
      <c r="O5" s="802"/>
      <c r="P5" s="802"/>
      <c r="Q5" s="802"/>
      <c r="R5" s="802"/>
    </row>
    <row r="6" spans="1:18" ht="18.75">
      <c r="D6" s="578" t="s">
        <v>657</v>
      </c>
      <c r="E6" s="599">
        <v>1</v>
      </c>
      <c r="G6" s="579" t="str">
        <f>VLOOKUP(E6,'RICON_RICON-S-EK_GIGANT_WALCO '!V21:W22,2,FALSE)</f>
        <v>Innenbereich</v>
      </c>
      <c r="H6" s="581"/>
      <c r="K6" s="509" t="s">
        <v>445</v>
      </c>
    </row>
    <row r="7" spans="1:18" ht="21.6" customHeight="1">
      <c r="A7" s="538"/>
      <c r="B7" s="538"/>
      <c r="C7" s="538"/>
      <c r="D7" s="538"/>
      <c r="E7" s="538"/>
      <c r="F7" s="538"/>
      <c r="G7" s="538"/>
      <c r="H7" s="538"/>
      <c r="I7" s="538"/>
      <c r="K7" s="538"/>
      <c r="L7" s="538"/>
      <c r="M7" s="538"/>
      <c r="N7" s="538"/>
      <c r="O7" s="538"/>
      <c r="P7" s="538"/>
      <c r="Q7" s="538"/>
      <c r="R7" s="538"/>
    </row>
    <row r="9" spans="1:18" ht="18.75">
      <c r="A9" s="509"/>
      <c r="B9" s="509"/>
      <c r="K9" s="509"/>
    </row>
    <row r="10" spans="1:18" ht="18.75">
      <c r="A10" s="509"/>
      <c r="B10" s="509"/>
      <c r="K10" s="509"/>
    </row>
    <row r="11" spans="1:18" ht="18.75">
      <c r="A11" s="509"/>
      <c r="B11" s="509"/>
      <c r="K11" s="509"/>
    </row>
    <row r="12" spans="1:18" ht="18.75">
      <c r="A12" s="509"/>
      <c r="B12" s="509"/>
      <c r="K12" s="509"/>
    </row>
    <row r="13" spans="1:18" ht="18.75">
      <c r="A13" s="509"/>
      <c r="B13" s="509"/>
      <c r="K13" s="509"/>
    </row>
    <row r="14" spans="1:18" ht="18.75">
      <c r="A14" s="509"/>
      <c r="B14" s="509"/>
      <c r="K14" s="509"/>
    </row>
    <row r="15" spans="1:18" ht="18.75">
      <c r="A15" s="509"/>
      <c r="B15" s="509"/>
      <c r="K15" s="509"/>
    </row>
    <row r="16" spans="1:18" ht="18.75">
      <c r="A16" s="509"/>
      <c r="B16" s="509"/>
      <c r="K16" s="509"/>
    </row>
    <row r="17" spans="1:18" ht="18.75">
      <c r="A17" s="509"/>
      <c r="B17" s="509"/>
      <c r="K17" s="509"/>
    </row>
    <row r="18" spans="1:18" ht="21">
      <c r="A18" s="504"/>
      <c r="B18" s="504"/>
      <c r="K18" s="504" t="s">
        <v>419</v>
      </c>
    </row>
    <row r="19" spans="1:18" ht="18">
      <c r="A19" s="594" t="s">
        <v>413</v>
      </c>
      <c r="B19" s="799" t="s">
        <v>487</v>
      </c>
      <c r="C19" s="812" t="s">
        <v>414</v>
      </c>
      <c r="D19" s="812"/>
      <c r="E19" s="749" t="str">
        <f>"Belastungswerte F2,Rd für "&amp;E5&amp;" [kN]"</f>
        <v>Belastungswerte F2,Rd für GL24h [kN]</v>
      </c>
      <c r="F19" s="750"/>
      <c r="G19" s="750"/>
      <c r="H19" s="750"/>
      <c r="I19" s="602" t="s">
        <v>690</v>
      </c>
      <c r="K19" s="4" t="s">
        <v>413</v>
      </c>
      <c r="L19" s="803" t="s">
        <v>450</v>
      </c>
      <c r="M19" s="803"/>
      <c r="N19" s="710" t="s">
        <v>448</v>
      </c>
      <c r="O19" s="711"/>
      <c r="P19" s="711"/>
      <c r="Q19" s="711"/>
      <c r="R19" s="712"/>
    </row>
    <row r="20" spans="1:18" ht="33.75" customHeight="1">
      <c r="A20" s="82"/>
      <c r="B20" s="801"/>
      <c r="C20" s="595" t="s">
        <v>411</v>
      </c>
      <c r="D20" s="595" t="s">
        <v>412</v>
      </c>
      <c r="E20" s="588">
        <v>0.6</v>
      </c>
      <c r="F20" s="588">
        <v>0.7</v>
      </c>
      <c r="G20" s="588">
        <v>0.8</v>
      </c>
      <c r="H20" s="588">
        <v>0.9</v>
      </c>
      <c r="I20" s="588">
        <v>1</v>
      </c>
      <c r="K20" s="8"/>
      <c r="L20" s="44" t="s">
        <v>411</v>
      </c>
      <c r="M20" s="44" t="s">
        <v>412</v>
      </c>
      <c r="N20" s="95">
        <v>0.6</v>
      </c>
      <c r="O20" s="95">
        <v>0.7</v>
      </c>
      <c r="P20" s="95">
        <v>0.8</v>
      </c>
      <c r="Q20" s="95">
        <v>0.9</v>
      </c>
      <c r="R20" s="95">
        <v>1</v>
      </c>
    </row>
    <row r="21" spans="1:18" ht="45">
      <c r="A21" s="424" t="s">
        <v>730</v>
      </c>
      <c r="B21" s="530" t="s">
        <v>488</v>
      </c>
      <c r="C21" s="549">
        <f>'RICON_RICON-S-EK_GIGANT_WALCO '!C249</f>
        <v>34</v>
      </c>
      <c r="D21" s="549">
        <f>'RICON_RICON-S-EK_GIGANT_WALCO '!F249</f>
        <v>37.149991394525706</v>
      </c>
      <c r="E21" s="498">
        <f t="shared" ref="E21:E26" si="0">MIN($C21/1,$D21*E$20/1.3)</f>
        <v>17.146149874396478</v>
      </c>
      <c r="F21" s="498">
        <f t="shared" ref="F21:I26" si="1">MIN($C21/1,$D21*F$20/1.3)</f>
        <v>20.003841520129225</v>
      </c>
      <c r="G21" s="498">
        <f>MIN($C21/1,$D21*G$20/1.3)</f>
        <v>22.861533165861974</v>
      </c>
      <c r="H21" s="498">
        <f t="shared" si="1"/>
        <v>25.719224811594717</v>
      </c>
      <c r="I21" s="498">
        <f t="shared" si="1"/>
        <v>28.576916457327464</v>
      </c>
      <c r="K21" s="424" t="s">
        <v>377</v>
      </c>
      <c r="L21" s="498">
        <f>'RICON_RICON-S-EK_GIGANT_WALCO '!C249</f>
        <v>34</v>
      </c>
      <c r="M21" s="498">
        <f>'RICON_RICON-S-EK_GIGANT_WALCO '!F249</f>
        <v>37.149991394525706</v>
      </c>
      <c r="N21" s="498">
        <f t="shared" ref="N21:N26" si="2">MIN($C21/1,$D21*N$20/1.3)</f>
        <v>17.146149874396478</v>
      </c>
      <c r="O21" s="498">
        <f t="shared" ref="O21:R26" si="3">MIN($C21/1,$D21*O$20/1.3)</f>
        <v>20.003841520129225</v>
      </c>
      <c r="P21" s="498">
        <f t="shared" si="3"/>
        <v>22.861533165861974</v>
      </c>
      <c r="Q21" s="498">
        <f t="shared" si="3"/>
        <v>25.719224811594717</v>
      </c>
      <c r="R21" s="498">
        <f t="shared" si="3"/>
        <v>28.576916457327464</v>
      </c>
    </row>
    <row r="22" spans="1:18" ht="45">
      <c r="A22" s="342" t="s">
        <v>731</v>
      </c>
      <c r="B22" s="528" t="s">
        <v>621</v>
      </c>
      <c r="C22" s="549">
        <f>'RICON_RICON-S-EK_GIGANT_WALCO '!C250</f>
        <v>34</v>
      </c>
      <c r="D22" s="549">
        <f>'RICON_RICON-S-EK_GIGANT_WALCO '!F250</f>
        <v>40.18125965399701</v>
      </c>
      <c r="E22" s="498">
        <f t="shared" si="0"/>
        <v>18.545196763383235</v>
      </c>
      <c r="F22" s="498">
        <f t="shared" si="1"/>
        <v>21.636062890613772</v>
      </c>
      <c r="G22" s="498">
        <f t="shared" si="1"/>
        <v>24.726929017844313</v>
      </c>
      <c r="H22" s="498">
        <f t="shared" si="1"/>
        <v>27.817795145074854</v>
      </c>
      <c r="I22" s="498">
        <f t="shared" si="1"/>
        <v>30.908661272305391</v>
      </c>
      <c r="K22" s="342" t="s">
        <v>379</v>
      </c>
      <c r="L22" s="498">
        <f>'RICON_RICON-S-EK_GIGANT_WALCO '!C250</f>
        <v>34</v>
      </c>
      <c r="M22" s="498">
        <f>'RICON_RICON-S-EK_GIGANT_WALCO '!F250</f>
        <v>40.18125965399701</v>
      </c>
      <c r="N22" s="498">
        <f t="shared" si="2"/>
        <v>18.545196763383235</v>
      </c>
      <c r="O22" s="498">
        <f t="shared" si="3"/>
        <v>21.636062890613772</v>
      </c>
      <c r="P22" s="498">
        <f t="shared" si="3"/>
        <v>24.726929017844313</v>
      </c>
      <c r="Q22" s="498">
        <f t="shared" si="3"/>
        <v>27.817795145074854</v>
      </c>
      <c r="R22" s="498">
        <f t="shared" si="3"/>
        <v>30.908661272305391</v>
      </c>
    </row>
    <row r="23" spans="1:18" ht="45">
      <c r="A23" s="342" t="s">
        <v>732</v>
      </c>
      <c r="B23" s="528" t="s">
        <v>489</v>
      </c>
      <c r="C23" s="549">
        <f>'RICON_RICON-S-EK_GIGANT_WALCO '!C252</f>
        <v>34</v>
      </c>
      <c r="D23" s="549">
        <f>'RICON_RICON-S-EK_GIGANT_WALCO '!F252</f>
        <v>56.710921194381697</v>
      </c>
      <c r="E23" s="498">
        <f t="shared" si="0"/>
        <v>26.174271320483861</v>
      </c>
      <c r="F23" s="498">
        <f t="shared" si="1"/>
        <v>30.536649873897833</v>
      </c>
      <c r="G23" s="498">
        <f t="shared" si="1"/>
        <v>34</v>
      </c>
      <c r="H23" s="498">
        <f t="shared" si="1"/>
        <v>34</v>
      </c>
      <c r="I23" s="498">
        <f t="shared" si="1"/>
        <v>34</v>
      </c>
      <c r="K23" s="342" t="s">
        <v>380</v>
      </c>
      <c r="L23" s="498">
        <f>'RICON_RICON-S-EK_GIGANT_WALCO '!C252</f>
        <v>34</v>
      </c>
      <c r="M23" s="498">
        <f>'RICON_RICON-S-EK_GIGANT_WALCO '!F252</f>
        <v>56.710921194381697</v>
      </c>
      <c r="N23" s="498">
        <f t="shared" si="2"/>
        <v>26.174271320483861</v>
      </c>
      <c r="O23" s="498">
        <f t="shared" si="3"/>
        <v>30.536649873897833</v>
      </c>
      <c r="P23" s="498">
        <f t="shared" si="3"/>
        <v>34</v>
      </c>
      <c r="Q23" s="498">
        <f t="shared" si="3"/>
        <v>34</v>
      </c>
      <c r="R23" s="498">
        <f t="shared" si="3"/>
        <v>34</v>
      </c>
    </row>
    <row r="24" spans="1:18" ht="45">
      <c r="A24" s="342" t="s">
        <v>733</v>
      </c>
      <c r="B24" s="528" t="s">
        <v>622</v>
      </c>
      <c r="C24" s="549">
        <f>'RICON_RICON-S-EK_GIGANT_WALCO '!C253</f>
        <v>34</v>
      </c>
      <c r="D24" s="549">
        <f>'RICON_RICON-S-EK_GIGANT_WALCO '!F253</f>
        <v>66.480609906200655</v>
      </c>
      <c r="E24" s="498">
        <f t="shared" si="0"/>
        <v>30.683358418246456</v>
      </c>
      <c r="F24" s="498">
        <f t="shared" si="1"/>
        <v>34</v>
      </c>
      <c r="G24" s="498">
        <f t="shared" si="1"/>
        <v>34</v>
      </c>
      <c r="H24" s="498">
        <f t="shared" si="1"/>
        <v>34</v>
      </c>
      <c r="I24" s="498">
        <f t="shared" si="1"/>
        <v>34</v>
      </c>
      <c r="K24" s="342" t="s">
        <v>381</v>
      </c>
      <c r="L24" s="498">
        <f>'RICON_RICON-S-EK_GIGANT_WALCO '!C253</f>
        <v>34</v>
      </c>
      <c r="M24" s="498">
        <f>'RICON_RICON-S-EK_GIGANT_WALCO '!F253</f>
        <v>66.480609906200655</v>
      </c>
      <c r="N24" s="498">
        <f t="shared" si="2"/>
        <v>30.683358418246456</v>
      </c>
      <c r="O24" s="498">
        <f t="shared" si="3"/>
        <v>34</v>
      </c>
      <c r="P24" s="498">
        <f t="shared" si="3"/>
        <v>34</v>
      </c>
      <c r="Q24" s="498">
        <f t="shared" si="3"/>
        <v>34</v>
      </c>
      <c r="R24" s="498">
        <f t="shared" si="3"/>
        <v>34</v>
      </c>
    </row>
    <row r="25" spans="1:18" ht="45">
      <c r="A25" s="342" t="s">
        <v>734</v>
      </c>
      <c r="B25" s="528" t="s">
        <v>498</v>
      </c>
      <c r="C25" s="549">
        <f>'RICON_RICON-S-EK_GIGANT_WALCO '!C255</f>
        <v>50</v>
      </c>
      <c r="D25" s="549">
        <f>'RICON_RICON-S-EK_GIGANT_WALCO '!F255</f>
        <v>79.124951595789881</v>
      </c>
      <c r="E25" s="498">
        <f t="shared" si="0"/>
        <v>36.519208428826097</v>
      </c>
      <c r="F25" s="498">
        <f t="shared" si="1"/>
        <v>42.605743166963784</v>
      </c>
      <c r="G25" s="498">
        <f t="shared" si="1"/>
        <v>48.692277905101463</v>
      </c>
      <c r="H25" s="498">
        <f t="shared" si="1"/>
        <v>50</v>
      </c>
      <c r="I25" s="498">
        <f t="shared" si="1"/>
        <v>50</v>
      </c>
      <c r="K25" s="342" t="s">
        <v>383</v>
      </c>
      <c r="L25" s="498">
        <f>'RICON_RICON-S-EK_GIGANT_WALCO '!C255</f>
        <v>50</v>
      </c>
      <c r="M25" s="498">
        <f>'RICON_RICON-S-EK_GIGANT_WALCO '!F255</f>
        <v>79.124951595789881</v>
      </c>
      <c r="N25" s="498">
        <f t="shared" si="2"/>
        <v>36.519208428826097</v>
      </c>
      <c r="O25" s="498">
        <f t="shared" si="3"/>
        <v>42.605743166963784</v>
      </c>
      <c r="P25" s="498">
        <f t="shared" si="3"/>
        <v>48.692277905101463</v>
      </c>
      <c r="Q25" s="498">
        <f t="shared" si="3"/>
        <v>50</v>
      </c>
      <c r="R25" s="498">
        <f t="shared" si="3"/>
        <v>50</v>
      </c>
    </row>
    <row r="26" spans="1:18" ht="45">
      <c r="A26" s="342" t="s">
        <v>735</v>
      </c>
      <c r="B26" s="528" t="s">
        <v>499</v>
      </c>
      <c r="C26" s="549">
        <f>'RICON_RICON-S-EK_GIGANT_WALCO '!C257</f>
        <v>50</v>
      </c>
      <c r="D26" s="549">
        <f>'RICON_RICON-S-EK_GIGANT_WALCO '!F257</f>
        <v>96.723603718619998</v>
      </c>
      <c r="E26" s="498">
        <f t="shared" si="0"/>
        <v>44.641663254747691</v>
      </c>
      <c r="F26" s="498">
        <f t="shared" si="1"/>
        <v>50</v>
      </c>
      <c r="G26" s="498">
        <f t="shared" si="1"/>
        <v>50</v>
      </c>
      <c r="H26" s="498">
        <f t="shared" si="1"/>
        <v>50</v>
      </c>
      <c r="I26" s="498">
        <f t="shared" si="1"/>
        <v>50</v>
      </c>
      <c r="K26" s="342" t="s">
        <v>422</v>
      </c>
      <c r="L26" s="498">
        <f>'RICON_RICON-S-EK_GIGANT_WALCO '!C257</f>
        <v>50</v>
      </c>
      <c r="M26" s="498">
        <f>'RICON_RICON-S-EK_GIGANT_WALCO '!F257</f>
        <v>96.723603718619998</v>
      </c>
      <c r="N26" s="498">
        <f t="shared" si="2"/>
        <v>44.641663254747691</v>
      </c>
      <c r="O26" s="498">
        <f t="shared" si="3"/>
        <v>50</v>
      </c>
      <c r="P26" s="498">
        <f t="shared" si="3"/>
        <v>50</v>
      </c>
      <c r="Q26" s="498">
        <f t="shared" si="3"/>
        <v>50</v>
      </c>
      <c r="R26" s="498">
        <f t="shared" si="3"/>
        <v>50</v>
      </c>
    </row>
    <row r="27" spans="1:18">
      <c r="A27" s="502"/>
      <c r="B27" s="531"/>
      <c r="C27" s="508"/>
      <c r="D27" s="508"/>
      <c r="E27" s="508"/>
      <c r="F27" s="508"/>
      <c r="G27" s="508"/>
      <c r="H27" s="508"/>
      <c r="I27" s="508"/>
      <c r="K27" s="502"/>
      <c r="L27" s="508"/>
      <c r="M27" s="508"/>
      <c r="N27" s="508"/>
      <c r="O27" s="508"/>
      <c r="P27" s="508"/>
      <c r="Q27" s="508"/>
      <c r="R27" s="508"/>
    </row>
    <row r="28" spans="1:18">
      <c r="A28" s="502"/>
      <c r="B28" s="531"/>
      <c r="C28" s="508"/>
      <c r="D28" s="508"/>
      <c r="E28" s="508"/>
      <c r="F28" s="508"/>
      <c r="G28" s="508"/>
      <c r="H28" s="508"/>
      <c r="I28" s="508"/>
      <c r="K28" s="502"/>
      <c r="L28" s="508"/>
      <c r="M28" s="508"/>
      <c r="N28" s="508"/>
      <c r="O28" s="508"/>
      <c r="P28" s="508"/>
      <c r="Q28" s="508"/>
      <c r="R28" s="508"/>
    </row>
    <row r="29" spans="1:18">
      <c r="A29" s="502"/>
      <c r="B29" s="531"/>
      <c r="C29" s="508"/>
      <c r="D29" s="508"/>
      <c r="E29" s="508"/>
      <c r="F29" s="508"/>
      <c r="G29" s="508"/>
      <c r="H29" s="508"/>
      <c r="I29" s="508"/>
      <c r="K29" s="502"/>
      <c r="L29" s="508"/>
      <c r="M29" s="508"/>
      <c r="N29" s="508"/>
      <c r="O29" s="508"/>
      <c r="P29" s="508"/>
      <c r="Q29" s="508"/>
      <c r="R29" s="508"/>
    </row>
    <row r="30" spans="1:18">
      <c r="A30" s="502"/>
      <c r="B30" s="531"/>
      <c r="C30" s="508"/>
      <c r="D30" s="508"/>
      <c r="E30" s="508"/>
      <c r="F30" s="508"/>
      <c r="G30" s="508"/>
      <c r="H30" s="508"/>
      <c r="I30" s="508"/>
      <c r="K30" s="502"/>
      <c r="L30" s="508"/>
      <c r="M30" s="508"/>
      <c r="N30" s="508"/>
      <c r="O30" s="508"/>
      <c r="P30" s="508"/>
      <c r="Q30" s="508"/>
      <c r="R30" s="508"/>
    </row>
    <row r="31" spans="1:18">
      <c r="A31" s="502"/>
      <c r="B31" s="531"/>
      <c r="C31" s="508"/>
      <c r="D31" s="508"/>
      <c r="E31" s="508"/>
      <c r="F31" s="508"/>
      <c r="G31" s="508"/>
      <c r="H31" s="508"/>
      <c r="I31" s="508"/>
      <c r="K31" s="502"/>
      <c r="L31" s="508"/>
      <c r="M31" s="508"/>
      <c r="N31" s="508"/>
      <c r="O31" s="508"/>
      <c r="P31" s="508"/>
      <c r="Q31" s="508"/>
      <c r="R31" s="508"/>
    </row>
    <row r="32" spans="1:18" ht="33.75">
      <c r="A32" s="554" t="s">
        <v>481</v>
      </c>
      <c r="B32" s="555"/>
      <c r="C32" s="555"/>
      <c r="D32" s="555"/>
      <c r="E32" s="555"/>
      <c r="F32" s="555"/>
      <c r="G32" s="555"/>
      <c r="H32" s="555"/>
      <c r="I32" s="555"/>
      <c r="J32" s="553"/>
      <c r="K32" s="502"/>
      <c r="L32" s="508"/>
      <c r="M32" s="508"/>
      <c r="N32" s="508"/>
      <c r="O32" s="508"/>
      <c r="P32" s="508"/>
      <c r="Q32" s="508"/>
      <c r="R32" s="508"/>
    </row>
    <row r="33" spans="1:18" ht="21">
      <c r="A33" s="556" t="s">
        <v>677</v>
      </c>
      <c r="B33" s="541"/>
      <c r="C33" s="541"/>
      <c r="D33" s="541" t="s">
        <v>650</v>
      </c>
      <c r="E33" s="599" t="s">
        <v>25</v>
      </c>
      <c r="G33" s="580" t="str">
        <f>VLOOKUP(E33,'RICON_RICON-S-EK_GIGANT_WALCO '!V7:X16,3,FALSE)</f>
        <v>Brettschichtholz homogen</v>
      </c>
      <c r="H33" s="580"/>
      <c r="K33" s="802" t="s">
        <v>473</v>
      </c>
      <c r="L33" s="802"/>
      <c r="M33" s="802"/>
      <c r="N33" s="802"/>
      <c r="O33" s="802"/>
      <c r="P33" s="802"/>
      <c r="Q33" s="802"/>
      <c r="R33" s="802"/>
    </row>
    <row r="34" spans="1:18" ht="18.75">
      <c r="D34" s="578" t="s">
        <v>657</v>
      </c>
      <c r="E34" s="599">
        <v>1</v>
      </c>
      <c r="G34" s="579" t="str">
        <f>VLOOKUP(E34,'RICON_RICON-S-EK_GIGANT_WALCO '!V21:W22,2,FALSE)</f>
        <v>Innenbereich</v>
      </c>
      <c r="H34" s="581"/>
      <c r="K34" s="509" t="s">
        <v>445</v>
      </c>
    </row>
    <row r="35" spans="1:18" ht="18.75">
      <c r="A35" s="509"/>
      <c r="B35" s="509"/>
      <c r="K35" s="509"/>
    </row>
    <row r="36" spans="1:18" ht="18.75">
      <c r="A36" s="509"/>
      <c r="B36" s="509"/>
      <c r="K36" s="509"/>
    </row>
    <row r="37" spans="1:18" ht="18.75">
      <c r="A37" s="509"/>
      <c r="B37" s="509"/>
      <c r="K37" s="509"/>
    </row>
    <row r="38" spans="1:18" ht="18.75">
      <c r="A38" s="509"/>
      <c r="B38" s="509"/>
      <c r="K38" s="509"/>
    </row>
    <row r="39" spans="1:18" ht="18.75">
      <c r="A39" s="509"/>
      <c r="B39" s="509"/>
      <c r="K39" s="509"/>
    </row>
    <row r="40" spans="1:18" ht="18.75">
      <c r="A40" s="509"/>
      <c r="B40" s="509"/>
      <c r="K40" s="509"/>
    </row>
    <row r="41" spans="1:18" ht="18.75">
      <c r="A41" s="509"/>
      <c r="B41" s="509"/>
      <c r="K41" s="509"/>
    </row>
    <row r="42" spans="1:18" ht="18.75">
      <c r="A42" s="509"/>
      <c r="B42" s="509"/>
      <c r="K42" s="509"/>
    </row>
    <row r="43" spans="1:18" ht="18.75">
      <c r="A43" s="509"/>
      <c r="B43" s="509"/>
      <c r="K43" s="509"/>
    </row>
    <row r="44" spans="1:18" ht="18.75">
      <c r="A44" s="509"/>
      <c r="B44" s="509"/>
      <c r="K44" s="509"/>
    </row>
    <row r="45" spans="1:18" ht="18.75">
      <c r="A45" s="509"/>
      <c r="B45" s="509"/>
      <c r="K45" s="509"/>
    </row>
    <row r="46" spans="1:18" ht="18.75">
      <c r="A46" s="509"/>
      <c r="B46" s="509"/>
      <c r="K46" s="509"/>
    </row>
    <row r="47" spans="1:18" ht="21">
      <c r="A47" s="503"/>
      <c r="B47" s="503"/>
      <c r="K47" s="503" t="s">
        <v>420</v>
      </c>
    </row>
    <row r="48" spans="1:18" ht="18">
      <c r="A48" s="4" t="s">
        <v>413</v>
      </c>
      <c r="B48" s="799" t="s">
        <v>487</v>
      </c>
      <c r="C48" s="827" t="s">
        <v>414</v>
      </c>
      <c r="D48" s="827"/>
      <c r="E48" s="749" t="str">
        <f>"Belastungswerte F2,Rd für "&amp;E33&amp;" [kN]"</f>
        <v>Belastungswerte F2,Rd für GL24h [kN]</v>
      </c>
      <c r="F48" s="750"/>
      <c r="G48" s="750"/>
      <c r="H48" s="750"/>
      <c r="I48" s="602" t="s">
        <v>690</v>
      </c>
      <c r="K48" s="4" t="s">
        <v>413</v>
      </c>
      <c r="L48" s="803" t="s">
        <v>450</v>
      </c>
      <c r="M48" s="803"/>
      <c r="N48" s="710" t="s">
        <v>448</v>
      </c>
      <c r="O48" s="711"/>
      <c r="P48" s="711"/>
      <c r="Q48" s="711"/>
      <c r="R48" s="712"/>
    </row>
    <row r="49" spans="1:18" ht="31.5" customHeight="1">
      <c r="A49" s="8"/>
      <c r="B49" s="801"/>
      <c r="C49" s="600" t="s">
        <v>411</v>
      </c>
      <c r="D49" s="600" t="s">
        <v>412</v>
      </c>
      <c r="E49" s="588">
        <v>0.6</v>
      </c>
      <c r="F49" s="588">
        <v>0.7</v>
      </c>
      <c r="G49" s="588">
        <v>0.8</v>
      </c>
      <c r="H49" s="588">
        <v>0.9</v>
      </c>
      <c r="I49" s="588">
        <v>1</v>
      </c>
      <c r="K49" s="8"/>
      <c r="L49" s="44" t="s">
        <v>411</v>
      </c>
      <c r="M49" s="44" t="s">
        <v>412</v>
      </c>
      <c r="N49" s="95">
        <v>0.6</v>
      </c>
      <c r="O49" s="95">
        <v>0.7</v>
      </c>
      <c r="P49" s="95">
        <v>0.8</v>
      </c>
      <c r="Q49" s="95">
        <v>0.9</v>
      </c>
      <c r="R49" s="95">
        <v>1</v>
      </c>
    </row>
    <row r="50" spans="1:18" ht="45">
      <c r="A50" s="342" t="s">
        <v>736</v>
      </c>
      <c r="B50" s="528" t="s">
        <v>488</v>
      </c>
      <c r="C50" s="549">
        <f>'RICON-S-VS'!C77</f>
        <v>60</v>
      </c>
      <c r="D50" s="549">
        <f>'RICON-S-VS'!F77</f>
        <v>37.149991394525706</v>
      </c>
      <c r="E50" s="498">
        <f>MIN($C50/1,$D50*E$49/1.3)</f>
        <v>17.146149874396478</v>
      </c>
      <c r="F50" s="498">
        <f t="shared" ref="F50:I59" si="4">MIN($C50/1,$D50*F$49/1.3)</f>
        <v>20.003841520129225</v>
      </c>
      <c r="G50" s="498">
        <f t="shared" si="4"/>
        <v>22.861533165861974</v>
      </c>
      <c r="H50" s="498">
        <f t="shared" si="4"/>
        <v>25.719224811594717</v>
      </c>
      <c r="I50" s="498">
        <f t="shared" si="4"/>
        <v>28.576916457327464</v>
      </c>
      <c r="K50" s="342" t="s">
        <v>294</v>
      </c>
      <c r="L50" s="498">
        <f>'RICON-S-VS'!C77</f>
        <v>60</v>
      </c>
      <c r="M50" s="498">
        <f>'RICON-S-VS'!F77</f>
        <v>37.149991394525706</v>
      </c>
      <c r="N50" s="498">
        <f>MIN($C50/1,$D50*N$49/1.3)</f>
        <v>17.146149874396478</v>
      </c>
      <c r="O50" s="498">
        <f t="shared" ref="O50:R59" si="5">MIN($C50/1,$D50*O$49/1.3)</f>
        <v>20.003841520129225</v>
      </c>
      <c r="P50" s="498">
        <f t="shared" si="5"/>
        <v>22.861533165861974</v>
      </c>
      <c r="Q50" s="498">
        <f t="shared" si="5"/>
        <v>25.719224811594717</v>
      </c>
      <c r="R50" s="498">
        <f t="shared" si="5"/>
        <v>28.576916457327464</v>
      </c>
    </row>
    <row r="51" spans="1:18" ht="45">
      <c r="A51" s="342" t="s">
        <v>737</v>
      </c>
      <c r="B51" s="528" t="s">
        <v>490</v>
      </c>
      <c r="C51" s="549">
        <f>'RICON-S-VS'!C78</f>
        <v>60</v>
      </c>
      <c r="D51" s="549">
        <f>'RICON-S-VS'!F78</f>
        <v>40.18125965399701</v>
      </c>
      <c r="E51" s="498">
        <f t="shared" ref="E51:E59" si="6">MIN($C51/1,$D51*E$49/1.3)</f>
        <v>18.545196763383235</v>
      </c>
      <c r="F51" s="498">
        <f t="shared" si="4"/>
        <v>21.636062890613772</v>
      </c>
      <c r="G51" s="498">
        <f t="shared" si="4"/>
        <v>24.726929017844313</v>
      </c>
      <c r="H51" s="498">
        <f t="shared" si="4"/>
        <v>27.817795145074854</v>
      </c>
      <c r="I51" s="498">
        <f t="shared" si="4"/>
        <v>30.908661272305391</v>
      </c>
      <c r="K51" s="342" t="s">
        <v>295</v>
      </c>
      <c r="L51" s="498">
        <f>'RICON-S-VS'!C78</f>
        <v>60</v>
      </c>
      <c r="M51" s="498">
        <f>'RICON-S-VS'!F78</f>
        <v>40.18125965399701</v>
      </c>
      <c r="N51" s="498">
        <f t="shared" ref="N51:N59" si="7">MIN($C51/1,$D51*N$49/1.3)</f>
        <v>18.545196763383235</v>
      </c>
      <c r="O51" s="498">
        <f t="shared" si="5"/>
        <v>21.636062890613772</v>
      </c>
      <c r="P51" s="498">
        <f t="shared" si="5"/>
        <v>24.726929017844313</v>
      </c>
      <c r="Q51" s="498">
        <f t="shared" si="5"/>
        <v>27.817795145074854</v>
      </c>
      <c r="R51" s="498">
        <f t="shared" si="5"/>
        <v>30.908661272305391</v>
      </c>
    </row>
    <row r="52" spans="1:18" ht="45">
      <c r="A52" s="342" t="s">
        <v>738</v>
      </c>
      <c r="B52" s="528" t="s">
        <v>489</v>
      </c>
      <c r="C52" s="549">
        <f>'RICON-S-VS'!C80</f>
        <v>60</v>
      </c>
      <c r="D52" s="549">
        <f>'RICON-S-VS'!F80</f>
        <v>56.710921194381697</v>
      </c>
      <c r="E52" s="498">
        <f t="shared" si="6"/>
        <v>26.174271320483861</v>
      </c>
      <c r="F52" s="498">
        <f t="shared" si="4"/>
        <v>30.536649873897833</v>
      </c>
      <c r="G52" s="498">
        <f t="shared" si="4"/>
        <v>34.899028427311819</v>
      </c>
      <c r="H52" s="498">
        <f t="shared" si="4"/>
        <v>39.261406980725788</v>
      </c>
      <c r="I52" s="498">
        <f t="shared" si="4"/>
        <v>43.623785534139763</v>
      </c>
      <c r="K52" s="342" t="s">
        <v>296</v>
      </c>
      <c r="L52" s="498">
        <f>'RICON-S-VS'!C80</f>
        <v>60</v>
      </c>
      <c r="M52" s="498">
        <f>'RICON-S-VS'!F80</f>
        <v>56.710921194381697</v>
      </c>
      <c r="N52" s="498">
        <f t="shared" si="7"/>
        <v>26.174271320483861</v>
      </c>
      <c r="O52" s="498">
        <f t="shared" si="5"/>
        <v>30.536649873897833</v>
      </c>
      <c r="P52" s="498">
        <f t="shared" si="5"/>
        <v>34.899028427311819</v>
      </c>
      <c r="Q52" s="498">
        <f t="shared" si="5"/>
        <v>39.261406980725788</v>
      </c>
      <c r="R52" s="498">
        <f t="shared" si="5"/>
        <v>43.623785534139763</v>
      </c>
    </row>
    <row r="53" spans="1:18" ht="45">
      <c r="A53" s="342" t="s">
        <v>739</v>
      </c>
      <c r="B53" s="528" t="s">
        <v>500</v>
      </c>
      <c r="C53" s="549">
        <f>'RICON-S-VS'!C81</f>
        <v>60</v>
      </c>
      <c r="D53" s="549">
        <f>'RICON-S-VS'!F81</f>
        <v>66.480609906200655</v>
      </c>
      <c r="E53" s="498">
        <f t="shared" si="6"/>
        <v>30.683358418246456</v>
      </c>
      <c r="F53" s="498">
        <f t="shared" si="4"/>
        <v>35.797251487954192</v>
      </c>
      <c r="G53" s="498">
        <f t="shared" si="4"/>
        <v>40.911144557661942</v>
      </c>
      <c r="H53" s="498">
        <f t="shared" si="4"/>
        <v>46.025037627369684</v>
      </c>
      <c r="I53" s="498">
        <f t="shared" si="4"/>
        <v>51.138930697077427</v>
      </c>
      <c r="K53" s="342" t="s">
        <v>297</v>
      </c>
      <c r="L53" s="498">
        <f>'RICON-S-VS'!C81</f>
        <v>60</v>
      </c>
      <c r="M53" s="498">
        <f>'RICON-S-VS'!F81</f>
        <v>66.480609906200655</v>
      </c>
      <c r="N53" s="498">
        <f t="shared" si="7"/>
        <v>30.683358418246456</v>
      </c>
      <c r="O53" s="498">
        <f t="shared" si="5"/>
        <v>35.797251487954192</v>
      </c>
      <c r="P53" s="498">
        <f t="shared" si="5"/>
        <v>40.911144557661942</v>
      </c>
      <c r="Q53" s="498">
        <f t="shared" si="5"/>
        <v>46.025037627369684</v>
      </c>
      <c r="R53" s="498">
        <f t="shared" si="5"/>
        <v>51.138930697077427</v>
      </c>
    </row>
    <row r="54" spans="1:18" ht="45">
      <c r="A54" s="342" t="s">
        <v>740</v>
      </c>
      <c r="B54" s="528" t="s">
        <v>498</v>
      </c>
      <c r="C54" s="549">
        <f>'RICON-S-VS'!C83</f>
        <v>99</v>
      </c>
      <c r="D54" s="549">
        <f>'RICON-S-VS'!F83</f>
        <v>79.124951595789881</v>
      </c>
      <c r="E54" s="498">
        <f t="shared" si="6"/>
        <v>36.519208428826097</v>
      </c>
      <c r="F54" s="498">
        <f t="shared" si="4"/>
        <v>42.605743166963784</v>
      </c>
      <c r="G54" s="498">
        <f t="shared" si="4"/>
        <v>48.692277905101463</v>
      </c>
      <c r="H54" s="498">
        <f t="shared" si="4"/>
        <v>54.778812643239149</v>
      </c>
      <c r="I54" s="498">
        <f t="shared" si="4"/>
        <v>60.865347381376829</v>
      </c>
      <c r="K54" s="342" t="s">
        <v>299</v>
      </c>
      <c r="L54" s="498">
        <f>'RICON-S-VS'!C83</f>
        <v>99</v>
      </c>
      <c r="M54" s="498">
        <f>'RICON-S-VS'!F83</f>
        <v>79.124951595789881</v>
      </c>
      <c r="N54" s="498">
        <f t="shared" si="7"/>
        <v>36.519208428826097</v>
      </c>
      <c r="O54" s="498">
        <f t="shared" si="5"/>
        <v>42.605743166963784</v>
      </c>
      <c r="P54" s="498">
        <f t="shared" si="5"/>
        <v>48.692277905101463</v>
      </c>
      <c r="Q54" s="498">
        <f t="shared" si="5"/>
        <v>54.778812643239149</v>
      </c>
      <c r="R54" s="498">
        <f t="shared" si="5"/>
        <v>60.865347381376829</v>
      </c>
    </row>
    <row r="55" spans="1:18" ht="45">
      <c r="A55" s="342" t="s">
        <v>741</v>
      </c>
      <c r="B55" s="528" t="s">
        <v>501</v>
      </c>
      <c r="C55" s="549">
        <f>'RICON-S-VS'!C84</f>
        <v>99</v>
      </c>
      <c r="D55" s="549">
        <f>'RICON-S-VS'!F84</f>
        <v>92.415567140008505</v>
      </c>
      <c r="E55" s="498">
        <f t="shared" si="6"/>
        <v>42.653338680003927</v>
      </c>
      <c r="F55" s="498">
        <f t="shared" si="4"/>
        <v>49.762228460004579</v>
      </c>
      <c r="G55" s="498">
        <f t="shared" si="4"/>
        <v>56.871118240005231</v>
      </c>
      <c r="H55" s="498">
        <f t="shared" si="4"/>
        <v>63.980008020005883</v>
      </c>
      <c r="I55" s="498">
        <f t="shared" si="4"/>
        <v>71.088897800006535</v>
      </c>
      <c r="K55" s="342" t="s">
        <v>301</v>
      </c>
      <c r="L55" s="498">
        <f>'RICON-S-VS'!C84</f>
        <v>99</v>
      </c>
      <c r="M55" s="498">
        <f>'RICON-S-VS'!F84</f>
        <v>92.415567140008505</v>
      </c>
      <c r="N55" s="498">
        <f t="shared" si="7"/>
        <v>42.653338680003927</v>
      </c>
      <c r="O55" s="498">
        <f t="shared" si="5"/>
        <v>49.762228460004579</v>
      </c>
      <c r="P55" s="498">
        <f t="shared" si="5"/>
        <v>56.871118240005231</v>
      </c>
      <c r="Q55" s="498">
        <f t="shared" si="5"/>
        <v>63.980008020005883</v>
      </c>
      <c r="R55" s="498">
        <f t="shared" si="5"/>
        <v>71.088897800006535</v>
      </c>
    </row>
    <row r="56" spans="1:18" ht="45">
      <c r="A56" s="342" t="s">
        <v>742</v>
      </c>
      <c r="B56" s="528" t="s">
        <v>499</v>
      </c>
      <c r="C56" s="549">
        <f>'RICON-S-VS'!C86</f>
        <v>99</v>
      </c>
      <c r="D56" s="549">
        <f>'RICON-S-VS'!F86</f>
        <v>118.23647695999895</v>
      </c>
      <c r="E56" s="498">
        <f t="shared" si="6"/>
        <v>54.570681673845669</v>
      </c>
      <c r="F56" s="498">
        <f t="shared" si="4"/>
        <v>63.665795286153283</v>
      </c>
      <c r="G56" s="498">
        <f t="shared" si="4"/>
        <v>72.760908898460897</v>
      </c>
      <c r="H56" s="498">
        <f t="shared" si="4"/>
        <v>81.856022510768497</v>
      </c>
      <c r="I56" s="498">
        <f t="shared" si="4"/>
        <v>90.951136123076111</v>
      </c>
      <c r="K56" s="342" t="s">
        <v>303</v>
      </c>
      <c r="L56" s="498">
        <f>'RICON-S-VS'!C86</f>
        <v>99</v>
      </c>
      <c r="M56" s="498">
        <f>'RICON-S-VS'!F86</f>
        <v>118.23647695999895</v>
      </c>
      <c r="N56" s="498">
        <f t="shared" si="7"/>
        <v>54.570681673845669</v>
      </c>
      <c r="O56" s="498">
        <f t="shared" si="5"/>
        <v>63.665795286153283</v>
      </c>
      <c r="P56" s="498">
        <f t="shared" si="5"/>
        <v>72.760908898460897</v>
      </c>
      <c r="Q56" s="498">
        <f t="shared" si="5"/>
        <v>81.856022510768497</v>
      </c>
      <c r="R56" s="498">
        <f t="shared" si="5"/>
        <v>90.951136123076111</v>
      </c>
    </row>
    <row r="57" spans="1:18" ht="45">
      <c r="A57" s="342" t="s">
        <v>712</v>
      </c>
      <c r="B57" s="528" t="s">
        <v>502</v>
      </c>
      <c r="C57" s="549">
        <f>'RICON-S-VS'!C87</f>
        <v>99</v>
      </c>
      <c r="D57" s="549">
        <f>'RICON-S-VS'!F87</f>
        <v>142.69127424794846</v>
      </c>
      <c r="E57" s="498">
        <f t="shared" si="6"/>
        <v>65.857511191360828</v>
      </c>
      <c r="F57" s="498">
        <f t="shared" si="4"/>
        <v>76.833763056587628</v>
      </c>
      <c r="G57" s="498">
        <f t="shared" si="4"/>
        <v>87.810014921814428</v>
      </c>
      <c r="H57" s="498">
        <f t="shared" si="4"/>
        <v>98.786266787041242</v>
      </c>
      <c r="I57" s="498">
        <f t="shared" si="4"/>
        <v>99</v>
      </c>
      <c r="K57" s="342" t="s">
        <v>304</v>
      </c>
      <c r="L57" s="498">
        <f>'RICON-S-VS'!C87</f>
        <v>99</v>
      </c>
      <c r="M57" s="498">
        <f>'RICON-S-VS'!F87</f>
        <v>142.69127424794846</v>
      </c>
      <c r="N57" s="498">
        <f t="shared" si="7"/>
        <v>65.857511191360828</v>
      </c>
      <c r="O57" s="498">
        <f t="shared" si="5"/>
        <v>76.833763056587628</v>
      </c>
      <c r="P57" s="498">
        <f t="shared" si="5"/>
        <v>87.810014921814428</v>
      </c>
      <c r="Q57" s="498">
        <f t="shared" si="5"/>
        <v>98.786266787041242</v>
      </c>
      <c r="R57" s="498">
        <f t="shared" si="5"/>
        <v>99</v>
      </c>
    </row>
    <row r="58" spans="1:18" ht="56.25" customHeight="1">
      <c r="A58" s="342" t="s">
        <v>743</v>
      </c>
      <c r="B58" s="528" t="s">
        <v>624</v>
      </c>
      <c r="C58" s="549">
        <f>'RICON-S-VS'!C89</f>
        <v>180</v>
      </c>
      <c r="D58" s="549">
        <f>'RICON-S-VS'!F89</f>
        <v>170.93257261945729</v>
      </c>
      <c r="E58" s="498">
        <f t="shared" si="6"/>
        <v>78.891956593595665</v>
      </c>
      <c r="F58" s="498">
        <f t="shared" si="4"/>
        <v>92.04061602586161</v>
      </c>
      <c r="G58" s="498">
        <f t="shared" si="4"/>
        <v>105.18927545812757</v>
      </c>
      <c r="H58" s="498">
        <f t="shared" si="4"/>
        <v>118.33793489039351</v>
      </c>
      <c r="I58" s="498">
        <f t="shared" si="4"/>
        <v>131.48659432265944</v>
      </c>
      <c r="K58" s="342" t="s">
        <v>315</v>
      </c>
      <c r="L58" s="498">
        <f>'RICON-S-VS'!C89</f>
        <v>180</v>
      </c>
      <c r="M58" s="498">
        <f>'RICON-S-VS'!F89</f>
        <v>170.93257261945729</v>
      </c>
      <c r="N58" s="498">
        <f t="shared" si="7"/>
        <v>78.891956593595665</v>
      </c>
      <c r="O58" s="498">
        <f t="shared" si="5"/>
        <v>92.04061602586161</v>
      </c>
      <c r="P58" s="498">
        <f t="shared" si="5"/>
        <v>105.18927545812757</v>
      </c>
      <c r="Q58" s="498">
        <f t="shared" si="5"/>
        <v>118.33793489039351</v>
      </c>
      <c r="R58" s="498">
        <f t="shared" si="5"/>
        <v>131.48659432265944</v>
      </c>
    </row>
    <row r="59" spans="1:18" ht="57.75" customHeight="1">
      <c r="A59" s="342" t="s">
        <v>744</v>
      </c>
      <c r="B59" s="528" t="s">
        <v>623</v>
      </c>
      <c r="C59" s="549">
        <f>'RICON-S-VS'!C90</f>
        <v>180</v>
      </c>
      <c r="D59" s="549">
        <f>'RICON-S-VS'!F90</f>
        <v>195.85472248368981</v>
      </c>
      <c r="E59" s="498">
        <f t="shared" si="6"/>
        <v>90.394487300164513</v>
      </c>
      <c r="F59" s="498">
        <f t="shared" si="4"/>
        <v>105.46023518352528</v>
      </c>
      <c r="G59" s="498">
        <f t="shared" si="4"/>
        <v>120.52598306688604</v>
      </c>
      <c r="H59" s="498">
        <f t="shared" si="4"/>
        <v>135.59173095024678</v>
      </c>
      <c r="I59" s="498">
        <f t="shared" si="4"/>
        <v>150.65747883360754</v>
      </c>
      <c r="K59" s="342" t="s">
        <v>306</v>
      </c>
      <c r="L59" s="498">
        <f>'RICON-S-VS'!C90</f>
        <v>180</v>
      </c>
      <c r="M59" s="498">
        <f>'RICON-S-VS'!F90</f>
        <v>195.85472248368981</v>
      </c>
      <c r="N59" s="498">
        <f t="shared" si="7"/>
        <v>90.394487300164513</v>
      </c>
      <c r="O59" s="498">
        <f t="shared" si="5"/>
        <v>105.46023518352528</v>
      </c>
      <c r="P59" s="498">
        <f t="shared" si="5"/>
        <v>120.52598306688604</v>
      </c>
      <c r="Q59" s="498">
        <f t="shared" si="5"/>
        <v>135.59173095024678</v>
      </c>
      <c r="R59" s="498">
        <f t="shared" si="5"/>
        <v>150.65747883360754</v>
      </c>
    </row>
    <row r="60" spans="1:18">
      <c r="A60" s="502"/>
      <c r="B60" s="531"/>
      <c r="C60" s="508"/>
      <c r="D60" s="508"/>
      <c r="E60" s="508"/>
      <c r="F60" s="508"/>
      <c r="G60" s="508"/>
      <c r="H60" s="508"/>
      <c r="I60" s="508"/>
      <c r="K60" s="502"/>
      <c r="L60" s="508"/>
      <c r="M60" s="508"/>
      <c r="N60" s="508"/>
      <c r="O60" s="508"/>
      <c r="P60" s="508"/>
      <c r="Q60" s="508"/>
      <c r="R60" s="508"/>
    </row>
    <row r="61" spans="1:18">
      <c r="A61" s="502"/>
      <c r="B61" s="531"/>
      <c r="C61" s="508"/>
      <c r="D61" s="508"/>
      <c r="E61" s="508"/>
      <c r="F61" s="508"/>
      <c r="G61" s="508"/>
      <c r="H61" s="508"/>
      <c r="I61" s="508"/>
      <c r="K61" s="502"/>
      <c r="L61" s="508"/>
      <c r="M61" s="508"/>
      <c r="N61" s="508"/>
      <c r="O61" s="508"/>
      <c r="P61" s="508"/>
      <c r="Q61" s="508"/>
      <c r="R61" s="508"/>
    </row>
    <row r="62" spans="1:18">
      <c r="A62" s="502"/>
      <c r="B62" s="531"/>
      <c r="C62" s="508"/>
      <c r="D62" s="508"/>
      <c r="E62" s="508"/>
      <c r="F62" s="508"/>
      <c r="G62" s="508"/>
      <c r="H62" s="508"/>
      <c r="I62" s="508"/>
      <c r="K62" s="502"/>
      <c r="L62" s="508"/>
      <c r="M62" s="508"/>
      <c r="N62" s="508"/>
      <c r="O62" s="508"/>
      <c r="P62" s="508"/>
      <c r="Q62" s="508"/>
      <c r="R62" s="508"/>
    </row>
    <row r="63" spans="1:18">
      <c r="A63" s="502"/>
      <c r="B63" s="531"/>
      <c r="C63" s="508"/>
      <c r="D63" s="508"/>
      <c r="E63" s="508"/>
      <c r="F63" s="508"/>
      <c r="G63" s="508"/>
      <c r="H63" s="508"/>
      <c r="I63" s="508"/>
      <c r="K63" s="502"/>
      <c r="L63" s="508"/>
      <c r="M63" s="508"/>
      <c r="N63" s="508"/>
      <c r="O63" s="508"/>
      <c r="P63" s="508"/>
      <c r="Q63" s="508"/>
      <c r="R63" s="508"/>
    </row>
    <row r="64" spans="1:18">
      <c r="A64" s="502"/>
      <c r="B64" s="531"/>
      <c r="C64" s="508"/>
      <c r="D64" s="508"/>
      <c r="E64" s="508"/>
      <c r="F64" s="508"/>
      <c r="G64" s="508"/>
      <c r="H64" s="508"/>
      <c r="I64" s="508"/>
      <c r="K64" s="502"/>
      <c r="L64" s="508"/>
      <c r="M64" s="508"/>
      <c r="N64" s="508"/>
      <c r="O64" s="508"/>
      <c r="P64" s="508"/>
      <c r="Q64" s="508"/>
      <c r="R64" s="508"/>
    </row>
    <row r="65" spans="1:18">
      <c r="A65" s="502"/>
      <c r="B65" s="531"/>
      <c r="C65" s="508"/>
      <c r="D65" s="508"/>
      <c r="E65" s="508"/>
      <c r="F65" s="508"/>
      <c r="G65" s="508"/>
      <c r="H65" s="508"/>
      <c r="I65" s="508"/>
      <c r="K65" s="502"/>
      <c r="L65" s="508"/>
      <c r="M65" s="508"/>
      <c r="N65" s="508"/>
      <c r="O65" s="508"/>
      <c r="P65" s="508"/>
      <c r="Q65" s="508"/>
      <c r="R65" s="508"/>
    </row>
    <row r="66" spans="1:18">
      <c r="A66" s="502"/>
      <c r="B66" s="531"/>
      <c r="C66" s="508"/>
      <c r="D66" s="508"/>
      <c r="E66" s="508"/>
      <c r="F66" s="508"/>
      <c r="G66" s="508"/>
      <c r="H66" s="508"/>
      <c r="I66" s="508"/>
      <c r="K66" s="502"/>
      <c r="L66" s="508"/>
      <c r="M66" s="508"/>
      <c r="N66" s="508"/>
      <c r="O66" s="508"/>
      <c r="P66" s="508"/>
      <c r="Q66" s="508"/>
      <c r="R66" s="508"/>
    </row>
    <row r="67" spans="1:18">
      <c r="A67" s="502"/>
      <c r="B67" s="531"/>
      <c r="C67" s="508"/>
      <c r="D67" s="508"/>
      <c r="E67" s="508"/>
      <c r="F67" s="508"/>
      <c r="G67" s="508"/>
      <c r="H67" s="508"/>
      <c r="I67" s="508"/>
      <c r="K67" s="502"/>
      <c r="L67" s="508"/>
      <c r="M67" s="508"/>
      <c r="N67" s="508"/>
      <c r="O67" s="508"/>
      <c r="P67" s="508"/>
      <c r="Q67" s="508"/>
      <c r="R67" s="508"/>
    </row>
    <row r="68" spans="1:18">
      <c r="A68" s="502"/>
      <c r="B68" s="531"/>
      <c r="C68" s="508"/>
      <c r="D68" s="508"/>
      <c r="E68" s="508"/>
      <c r="F68" s="508"/>
      <c r="G68" s="508"/>
      <c r="H68" s="508"/>
      <c r="I68" s="508"/>
      <c r="K68" s="502"/>
      <c r="L68" s="508"/>
      <c r="M68" s="508"/>
      <c r="N68" s="508"/>
      <c r="O68" s="508"/>
      <c r="P68" s="508"/>
      <c r="Q68" s="508"/>
      <c r="R68" s="508"/>
    </row>
    <row r="69" spans="1:18">
      <c r="A69" s="502"/>
      <c r="B69" s="531"/>
      <c r="C69" s="508"/>
      <c r="D69" s="508"/>
      <c r="E69" s="508"/>
      <c r="F69" s="508"/>
      <c r="G69" s="508"/>
      <c r="H69" s="508"/>
      <c r="I69" s="508"/>
      <c r="K69" s="502"/>
      <c r="L69" s="508"/>
      <c r="M69" s="508"/>
      <c r="N69" s="508"/>
      <c r="O69" s="508"/>
      <c r="P69" s="508"/>
      <c r="Q69" s="508"/>
      <c r="R69" s="508"/>
    </row>
  </sheetData>
  <sheetProtection password="D94A" sheet="1" objects="1" scenarios="1" selectLockedCells="1"/>
  <customSheetViews>
    <customSheetView guid="{88029C9E-0AAA-4AEA-8FBA-3530118F01BF}" showGridLines="0" showRowCol="0" hiddenColumns="1">
      <selection activeCell="H13" sqref="H13"/>
      <pageMargins left="0.7" right="0.7" top="0.78740157499999996" bottom="0.78740157499999996" header="0.3" footer="0.3"/>
    </customSheetView>
  </customSheetViews>
  <mergeCells count="14">
    <mergeCell ref="K1:R2"/>
    <mergeCell ref="K5:R5"/>
    <mergeCell ref="B19:B20"/>
    <mergeCell ref="C19:D19"/>
    <mergeCell ref="L19:M19"/>
    <mergeCell ref="N19:R19"/>
    <mergeCell ref="A1:J2"/>
    <mergeCell ref="E19:H19"/>
    <mergeCell ref="K33:R33"/>
    <mergeCell ref="B48:B49"/>
    <mergeCell ref="C48:D48"/>
    <mergeCell ref="L48:M48"/>
    <mergeCell ref="N48:R48"/>
    <mergeCell ref="E48:H48"/>
  </mergeCells>
  <pageMargins left="0.23622047244094491" right="0.27124999999999999" top="0.98425196850393704" bottom="0.74803149606299213" header="0.31496062992125984" footer="0.31496062992125984"/>
  <pageSetup paperSize="9" scale="62" orientation="portrait" r:id="rId1"/>
  <headerFooter>
    <oddHeader>&amp;L&amp;G&amp;R
Datum: 01.11.2018
Ersteller: M. Eng. Dipl.-Ing. (FH) Torsten Langejürgen
Seite 1 von 5 Seiten</oddHeader>
    <oddFooter>&amp;CVERBINDUNGSSYSTEME FÜR DEN HOLZBAU UND MÖBELBAU
KNAPP GMBH, A-3324 Euratsfeld, Wassergasse 31,  AUSTRIA/EUROPE 
 Tel. +43(0)7474/79910,  Fax +43(0)7474/79910-99
eMail: austriainfo@knapp-verbinder.com,  www.knapp-verbinder.com</oddFooter>
  </headerFooter>
  <rowBreaks count="1" manualBreakCount="1">
    <brk id="31" max="16383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'RICON_RICON-S-EK_GIGANT_WALCO '!$V$7:$V$16</xm:f>
          </x14:formula1>
          <xm:sqref>E5 E33</xm:sqref>
        </x14:dataValidation>
        <x14:dataValidation type="list" allowBlank="1" showInputMessage="1" showErrorMessage="1" xr:uid="{00000000-0002-0000-0600-000001000000}">
          <x14:formula1>
            <xm:f>'RICON_RICON-S-EK_GIGANT_WALCO '!$V$21:$V$22</xm:f>
          </x14:formula1>
          <xm:sqref>E6 E34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45"/>
  <sheetViews>
    <sheetView showGridLines="0" showRowColHeaders="0" tabSelected="1" showRuler="0" showWhiteSpace="0" view="pageLayout" zoomScaleNormal="100" workbookViewId="0">
      <selection activeCell="F5" sqref="F5"/>
    </sheetView>
  </sheetViews>
  <sheetFormatPr baseColWidth="10" defaultRowHeight="15"/>
  <cols>
    <col min="1" max="1" width="27.42578125" customWidth="1"/>
    <col min="2" max="2" width="22.140625" customWidth="1"/>
    <col min="3" max="3" width="14.28515625" bestFit="1" customWidth="1"/>
    <col min="4" max="4" width="19.85546875" customWidth="1"/>
    <col min="5" max="5" width="12.42578125" customWidth="1"/>
    <col min="7" max="7" width="12.42578125" customWidth="1"/>
    <col min="9" max="10" width="14" customWidth="1"/>
    <col min="11" max="12" width="11.85546875" customWidth="1"/>
    <col min="13" max="13" width="27.42578125" customWidth="1"/>
    <col min="14" max="14" width="11.42578125" customWidth="1"/>
    <col min="15" max="15" width="13.7109375" customWidth="1"/>
    <col min="16" max="21" width="11.42578125" customWidth="1"/>
  </cols>
  <sheetData>
    <row r="1" spans="1:22" ht="21" customHeight="1">
      <c r="A1" s="806" t="s">
        <v>896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625"/>
      <c r="M1" s="839"/>
      <c r="N1" s="839"/>
      <c r="O1" s="839"/>
      <c r="P1" s="839"/>
      <c r="Q1" s="839"/>
      <c r="R1" s="839"/>
      <c r="S1" s="839"/>
      <c r="T1" s="839"/>
      <c r="U1" s="3"/>
      <c r="V1" s="3"/>
    </row>
    <row r="2" spans="1:22" ht="21.6" customHeight="1" thickBot="1">
      <c r="A2" s="807"/>
      <c r="B2" s="807"/>
      <c r="C2" s="807"/>
      <c r="D2" s="807"/>
      <c r="E2" s="807"/>
      <c r="F2" s="807"/>
      <c r="G2" s="807"/>
      <c r="H2" s="807"/>
      <c r="I2" s="807"/>
      <c r="J2" s="807"/>
      <c r="K2" s="807"/>
      <c r="L2" s="625"/>
      <c r="M2" s="839"/>
      <c r="N2" s="839"/>
      <c r="O2" s="839"/>
      <c r="P2" s="839"/>
      <c r="Q2" s="839"/>
      <c r="R2" s="839"/>
      <c r="S2" s="839"/>
      <c r="T2" s="839"/>
      <c r="U2" s="3"/>
      <c r="V2" s="3"/>
    </row>
    <row r="3" spans="1:22" ht="21">
      <c r="A3" s="585"/>
      <c r="B3" s="585"/>
      <c r="C3" s="585"/>
      <c r="D3" s="585"/>
      <c r="E3" s="624"/>
      <c r="F3" s="585"/>
      <c r="G3" s="585"/>
      <c r="H3" s="841" t="s">
        <v>798</v>
      </c>
      <c r="I3" s="841"/>
      <c r="J3" s="842">
        <v>44284</v>
      </c>
      <c r="K3" s="842"/>
      <c r="L3" s="656"/>
      <c r="M3" s="663"/>
      <c r="N3" s="663"/>
      <c r="O3" s="663"/>
      <c r="P3" s="663"/>
      <c r="Q3" s="663"/>
      <c r="R3" s="663"/>
      <c r="S3" s="663"/>
      <c r="T3" s="663"/>
      <c r="U3" s="3"/>
      <c r="V3" s="3"/>
    </row>
    <row r="4" spans="1:22" ht="33.75">
      <c r="A4" s="554" t="s">
        <v>745</v>
      </c>
      <c r="B4" s="555"/>
      <c r="C4" s="555"/>
      <c r="D4" s="555"/>
      <c r="E4" s="555"/>
      <c r="F4" s="555"/>
      <c r="G4" s="555"/>
      <c r="H4" s="555"/>
      <c r="I4" s="555"/>
      <c r="J4" s="555"/>
      <c r="K4" s="553"/>
      <c r="L4" s="657"/>
      <c r="M4" s="663"/>
      <c r="N4" s="663"/>
      <c r="O4" s="663"/>
      <c r="P4" s="663"/>
      <c r="Q4" s="663"/>
      <c r="R4" s="663"/>
      <c r="S4" s="663"/>
      <c r="T4" s="663"/>
      <c r="U4" s="3"/>
      <c r="V4" s="3"/>
    </row>
    <row r="5" spans="1:22" ht="21">
      <c r="A5" s="556" t="s">
        <v>671</v>
      </c>
      <c r="B5" s="541"/>
      <c r="C5" s="541"/>
      <c r="D5" s="541" t="s">
        <v>892</v>
      </c>
      <c r="E5" s="541"/>
      <c r="F5" s="599" t="s">
        <v>25</v>
      </c>
      <c r="H5" s="580" t="str">
        <f>VLOOKUP(F5,'RICON_RICON-S-EK_GIGANT_WALCO '!V7:Y18,4,FALSE)</f>
        <v>Glued laminated timber - homogeneous</v>
      </c>
      <c r="I5" s="541"/>
      <c r="L5" s="24"/>
      <c r="M5" s="833"/>
      <c r="N5" s="833"/>
      <c r="O5" s="833"/>
      <c r="P5" s="833"/>
      <c r="Q5" s="833"/>
      <c r="R5" s="833"/>
      <c r="S5" s="833"/>
      <c r="T5" s="833"/>
      <c r="U5" s="3"/>
      <c r="V5" s="3"/>
    </row>
    <row r="6" spans="1:22" ht="18.75">
      <c r="D6" s="578" t="s">
        <v>672</v>
      </c>
      <c r="E6" s="578"/>
      <c r="F6" s="599">
        <v>1</v>
      </c>
      <c r="H6" s="579" t="str">
        <f>VLOOKUP('Load bearing values_RICON_EN'!F6,'RICON_RICON-S-EK_GIGANT_WALCO '!V21:X22,3,FALSE)</f>
        <v>Indoor</v>
      </c>
      <c r="L6" s="24"/>
      <c r="M6" s="654"/>
      <c r="N6" s="3"/>
      <c r="O6" s="3"/>
      <c r="P6" s="3"/>
      <c r="Q6" s="3"/>
      <c r="R6" s="3"/>
      <c r="S6" s="3"/>
      <c r="T6" s="3"/>
      <c r="U6" s="3"/>
      <c r="V6" s="3"/>
    </row>
    <row r="7" spans="1:22" ht="21.6" customHeight="1">
      <c r="A7" s="585"/>
      <c r="B7" s="585"/>
      <c r="C7" s="585"/>
      <c r="D7" s="585"/>
      <c r="E7" s="624"/>
      <c r="F7" s="585"/>
      <c r="G7" s="585"/>
      <c r="H7" s="585"/>
      <c r="I7" s="585"/>
      <c r="J7" s="585"/>
      <c r="M7" s="663"/>
      <c r="N7" s="663"/>
      <c r="O7" s="663"/>
      <c r="P7" s="663"/>
      <c r="Q7" s="663"/>
      <c r="R7" s="663"/>
      <c r="S7" s="663"/>
      <c r="T7" s="663"/>
      <c r="U7" s="3"/>
      <c r="V7" s="3"/>
    </row>
    <row r="8" spans="1:22" ht="21.6" customHeight="1">
      <c r="A8" s="585"/>
      <c r="B8" s="585"/>
      <c r="C8" s="585"/>
      <c r="D8" s="585"/>
      <c r="E8" s="624"/>
      <c r="F8" s="585"/>
      <c r="G8" s="585"/>
      <c r="H8" s="585"/>
      <c r="I8" s="585"/>
      <c r="J8" s="585"/>
      <c r="M8" s="663"/>
      <c r="N8" s="663"/>
      <c r="O8" s="663"/>
      <c r="P8" s="663"/>
      <c r="Q8" s="663"/>
      <c r="R8" s="663"/>
      <c r="S8" s="663"/>
      <c r="T8" s="663"/>
      <c r="U8" s="3"/>
      <c r="V8" s="3"/>
    </row>
    <row r="9" spans="1:22" ht="21.6" customHeight="1">
      <c r="A9" s="585"/>
      <c r="B9" s="585"/>
      <c r="C9" s="585"/>
      <c r="D9" s="585"/>
      <c r="E9" s="624"/>
      <c r="F9" s="585"/>
      <c r="G9" s="585"/>
      <c r="H9" s="585"/>
      <c r="I9" s="585"/>
      <c r="M9" s="663"/>
      <c r="N9" s="663"/>
      <c r="O9" s="663"/>
      <c r="P9" s="663"/>
      <c r="Q9" s="663"/>
      <c r="R9" s="663"/>
      <c r="S9" s="663"/>
      <c r="T9" s="663"/>
      <c r="U9" s="3"/>
      <c r="V9" s="664"/>
    </row>
    <row r="10" spans="1:22" ht="21.6" customHeight="1">
      <c r="A10" s="585"/>
      <c r="B10" s="585"/>
      <c r="C10" s="585"/>
      <c r="D10" s="585"/>
      <c r="E10" s="624"/>
      <c r="F10" s="585"/>
      <c r="G10" s="585"/>
      <c r="H10" s="585"/>
      <c r="I10" s="585"/>
      <c r="J10" s="585"/>
      <c r="M10" s="663"/>
      <c r="N10" s="663"/>
      <c r="O10" s="663"/>
      <c r="P10" s="663"/>
      <c r="Q10" s="663"/>
      <c r="R10" s="663"/>
      <c r="S10" s="663"/>
      <c r="T10" s="663"/>
      <c r="U10" s="3"/>
      <c r="V10" s="3"/>
    </row>
    <row r="11" spans="1:22" ht="21.6" customHeight="1">
      <c r="A11" s="585"/>
      <c r="B11" s="585"/>
      <c r="C11" s="585"/>
      <c r="D11" s="585"/>
      <c r="E11" s="624"/>
      <c r="F11" s="585"/>
      <c r="G11" s="585"/>
      <c r="H11" s="585"/>
      <c r="I11" s="585"/>
      <c r="J11" s="585"/>
      <c r="M11" s="663"/>
      <c r="N11" s="663"/>
      <c r="O11" s="663"/>
      <c r="P11" s="663"/>
      <c r="Q11" s="663"/>
      <c r="R11" s="663"/>
      <c r="S11" s="663"/>
      <c r="T11" s="663"/>
      <c r="U11" s="3"/>
      <c r="V11" s="3"/>
    </row>
    <row r="12" spans="1:22" ht="21.6" customHeight="1">
      <c r="A12" s="585"/>
      <c r="B12" s="585"/>
      <c r="C12" s="585"/>
      <c r="D12" s="585"/>
      <c r="E12" s="624"/>
      <c r="F12" s="585"/>
      <c r="G12" s="585"/>
      <c r="H12" s="585"/>
      <c r="I12" s="585"/>
      <c r="J12" s="585"/>
      <c r="M12" s="663"/>
      <c r="N12" s="663"/>
      <c r="O12" s="663"/>
      <c r="P12" s="663"/>
      <c r="Q12" s="663"/>
      <c r="R12" s="663"/>
      <c r="S12" s="663"/>
      <c r="T12" s="663"/>
      <c r="U12" s="3"/>
      <c r="V12" s="3"/>
    </row>
    <row r="13" spans="1:22" ht="21.6" customHeight="1">
      <c r="A13" s="585"/>
      <c r="B13" s="585"/>
      <c r="C13" s="585"/>
      <c r="D13" s="585"/>
      <c r="E13" s="624"/>
      <c r="F13" s="585"/>
      <c r="G13" s="585"/>
      <c r="H13" s="585"/>
      <c r="I13" s="585"/>
      <c r="J13" s="585"/>
      <c r="M13" s="663"/>
      <c r="N13" s="663"/>
      <c r="O13" s="663"/>
      <c r="P13" s="663"/>
      <c r="Q13" s="663"/>
      <c r="R13" s="663"/>
      <c r="S13" s="663"/>
      <c r="T13" s="663"/>
      <c r="U13" s="3"/>
      <c r="V13" s="3"/>
    </row>
    <row r="14" spans="1:22"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>
      <c r="A19" s="843" t="s">
        <v>893</v>
      </c>
      <c r="B19" s="843"/>
      <c r="C19" s="843" t="s">
        <v>894</v>
      </c>
      <c r="D19" s="843"/>
      <c r="E19" s="843"/>
      <c r="F19" t="s">
        <v>895</v>
      </c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1">
      <c r="B20" s="506"/>
      <c r="L20" s="3"/>
      <c r="M20" s="665"/>
      <c r="N20" s="3"/>
      <c r="O20" s="3"/>
      <c r="P20" s="3"/>
      <c r="Q20" s="3"/>
      <c r="R20" s="3"/>
      <c r="S20" s="3"/>
      <c r="T20" s="3"/>
      <c r="U20" s="3"/>
      <c r="V20" s="3"/>
    </row>
    <row r="21" spans="1:22" ht="15" customHeight="1">
      <c r="A21" s="594" t="s">
        <v>446</v>
      </c>
      <c r="B21" s="583" t="s">
        <v>613</v>
      </c>
      <c r="C21" s="840" t="s">
        <v>450</v>
      </c>
      <c r="D21" s="840"/>
      <c r="E21" s="837" t="s">
        <v>817</v>
      </c>
      <c r="F21" s="750" t="str">
        <f>"Design values F2,Rd for "&amp;F5&amp;" [kN]"</f>
        <v>Design values F2,Rd for GL24h [kN]</v>
      </c>
      <c r="G21" s="750"/>
      <c r="H21" s="750"/>
      <c r="I21" s="750"/>
      <c r="J21" s="750"/>
      <c r="K21" s="602" t="s">
        <v>690</v>
      </c>
      <c r="L21" s="638"/>
      <c r="M21" s="3"/>
      <c r="N21" s="834"/>
      <c r="O21" s="834"/>
      <c r="P21" s="762"/>
      <c r="Q21" s="762"/>
      <c r="R21" s="762"/>
      <c r="S21" s="762"/>
      <c r="T21" s="762"/>
      <c r="U21" s="3"/>
      <c r="V21" s="3"/>
    </row>
    <row r="22" spans="1:22" ht="18">
      <c r="A22" s="596" t="s">
        <v>728</v>
      </c>
      <c r="B22" s="584" t="s">
        <v>612</v>
      </c>
      <c r="C22" s="587" t="s">
        <v>816</v>
      </c>
      <c r="D22" s="587" t="s">
        <v>751</v>
      </c>
      <c r="E22" s="838"/>
      <c r="F22" s="632">
        <v>0.6</v>
      </c>
      <c r="G22" s="588">
        <v>0.7</v>
      </c>
      <c r="H22" s="588">
        <v>0.8</v>
      </c>
      <c r="I22" s="588">
        <v>0.9</v>
      </c>
      <c r="J22" s="588">
        <v>1</v>
      </c>
      <c r="K22" s="588">
        <v>1.1000000000000001</v>
      </c>
      <c r="L22" s="650"/>
      <c r="M22" s="3"/>
      <c r="N22" s="3"/>
      <c r="O22" s="3"/>
      <c r="P22" s="666"/>
      <c r="Q22" s="666"/>
      <c r="R22" s="666"/>
      <c r="S22" s="666"/>
      <c r="T22" s="666"/>
      <c r="U22" s="3"/>
      <c r="V22" s="3"/>
    </row>
    <row r="23" spans="1:22" ht="45">
      <c r="A23" s="396" t="s">
        <v>818</v>
      </c>
      <c r="B23" s="523" t="s">
        <v>911</v>
      </c>
      <c r="C23" s="549">
        <f>'RICON_RICON-S-EK_GIGANT_WALCO '!C165</f>
        <v>6</v>
      </c>
      <c r="D23" s="549">
        <f>'RICON_RICON-S-EK_GIGANT_WALCO '!F165</f>
        <v>5.0131385975895597</v>
      </c>
      <c r="E23" s="627">
        <f>C23/1</f>
        <v>6</v>
      </c>
      <c r="F23" s="498">
        <f t="shared" ref="F23:K37" si="0">MIN($C23/1,$D23*F$22/1.3)</f>
        <v>2.3137562758105656</v>
      </c>
      <c r="G23" s="498">
        <f t="shared" si="0"/>
        <v>2.6993823217789936</v>
      </c>
      <c r="H23" s="498">
        <f t="shared" si="0"/>
        <v>3.0850083677474216</v>
      </c>
      <c r="I23" s="498">
        <f t="shared" si="0"/>
        <v>3.4706344137158487</v>
      </c>
      <c r="J23" s="498">
        <f t="shared" si="0"/>
        <v>3.8562604596842767</v>
      </c>
      <c r="K23" s="498">
        <f t="shared" si="0"/>
        <v>4.2418865056527046</v>
      </c>
      <c r="L23" s="651"/>
      <c r="M23" s="418"/>
      <c r="N23" s="508"/>
      <c r="O23" s="508"/>
      <c r="P23" s="508"/>
      <c r="Q23" s="508"/>
      <c r="R23" s="508"/>
      <c r="S23" s="508"/>
      <c r="T23" s="508"/>
      <c r="U23" s="3"/>
      <c r="V23" s="3"/>
    </row>
    <row r="24" spans="1:22" ht="45">
      <c r="A24" s="396" t="s">
        <v>819</v>
      </c>
      <c r="B24" s="523" t="s">
        <v>912</v>
      </c>
      <c r="C24" s="549">
        <f>'RICON_RICON-S-EK_GIGANT_WALCO '!C166</f>
        <v>11</v>
      </c>
      <c r="D24" s="549">
        <f>'RICON_RICON-S-EK_GIGANT_WALCO '!F166</f>
        <v>7.2988007866232749</v>
      </c>
      <c r="E24" s="627">
        <f t="shared" ref="E24:E37" si="1">C24/1</f>
        <v>11</v>
      </c>
      <c r="F24" s="498">
        <f t="shared" si="0"/>
        <v>3.3686772861338188</v>
      </c>
      <c r="G24" s="498">
        <f t="shared" si="0"/>
        <v>3.9301235004894552</v>
      </c>
      <c r="H24" s="498">
        <f t="shared" si="0"/>
        <v>4.4915697148450926</v>
      </c>
      <c r="I24" s="498">
        <f t="shared" si="0"/>
        <v>5.0530159292007291</v>
      </c>
      <c r="J24" s="498">
        <f t="shared" si="0"/>
        <v>5.6144621435563655</v>
      </c>
      <c r="K24" s="498">
        <f t="shared" si="0"/>
        <v>6.175908357912002</v>
      </c>
      <c r="L24" s="651"/>
      <c r="M24" s="418"/>
      <c r="N24" s="508"/>
      <c r="O24" s="508"/>
      <c r="P24" s="508"/>
      <c r="Q24" s="508"/>
      <c r="R24" s="508"/>
      <c r="S24" s="508"/>
      <c r="T24" s="508"/>
      <c r="U24" s="3"/>
      <c r="V24" s="3"/>
    </row>
    <row r="25" spans="1:22" ht="45">
      <c r="A25" s="396" t="s">
        <v>820</v>
      </c>
      <c r="B25" s="523" t="s">
        <v>913</v>
      </c>
      <c r="C25" s="549">
        <f>'RICON_RICON-S-EK_GIGANT_WALCO '!C167</f>
        <v>14</v>
      </c>
      <c r="D25" s="549">
        <f>'RICON_RICON-S-EK_GIGANT_WALCO '!F167</f>
        <v>10.026277195179119</v>
      </c>
      <c r="E25" s="627">
        <f t="shared" si="1"/>
        <v>14</v>
      </c>
      <c r="F25" s="498">
        <f t="shared" si="0"/>
        <v>4.6275125516211313</v>
      </c>
      <c r="G25" s="498">
        <f t="shared" si="0"/>
        <v>5.3987646435579872</v>
      </c>
      <c r="H25" s="498">
        <f t="shared" si="0"/>
        <v>6.1700167354948432</v>
      </c>
      <c r="I25" s="498">
        <f t="shared" si="0"/>
        <v>6.9412688274316974</v>
      </c>
      <c r="J25" s="498">
        <f t="shared" si="0"/>
        <v>7.7125209193685533</v>
      </c>
      <c r="K25" s="498">
        <f t="shared" si="0"/>
        <v>8.4837730113054093</v>
      </c>
      <c r="L25" s="651"/>
      <c r="M25" s="418"/>
      <c r="N25" s="508"/>
      <c r="O25" s="508"/>
      <c r="P25" s="508"/>
      <c r="Q25" s="508"/>
      <c r="R25" s="508"/>
      <c r="S25" s="508"/>
      <c r="T25" s="508"/>
      <c r="U25" s="3"/>
      <c r="V25" s="3"/>
    </row>
    <row r="26" spans="1:22" ht="45">
      <c r="A26" s="396" t="s">
        <v>821</v>
      </c>
      <c r="B26" s="523" t="s">
        <v>914</v>
      </c>
      <c r="C26" s="549">
        <f>'RICON_RICON-S-EK_GIGANT_WALCO '!C168</f>
        <v>18</v>
      </c>
      <c r="D26" s="549">
        <f>'RICON_RICON-S-EK_GIGANT_WALCO '!F168</f>
        <v>12.753753603734964</v>
      </c>
      <c r="E26" s="627">
        <f t="shared" si="1"/>
        <v>18</v>
      </c>
      <c r="F26" s="498">
        <f t="shared" si="0"/>
        <v>5.8863478171084447</v>
      </c>
      <c r="G26" s="498">
        <f t="shared" si="0"/>
        <v>6.8674057866265183</v>
      </c>
      <c r="H26" s="498">
        <f t="shared" si="0"/>
        <v>7.8484637561445938</v>
      </c>
      <c r="I26" s="498">
        <f t="shared" si="0"/>
        <v>8.8295217256626675</v>
      </c>
      <c r="J26" s="498">
        <f t="shared" si="0"/>
        <v>9.810579695180742</v>
      </c>
      <c r="K26" s="498">
        <f t="shared" si="0"/>
        <v>10.791637664698815</v>
      </c>
      <c r="L26" s="651"/>
      <c r="M26" s="418"/>
      <c r="N26" s="508"/>
      <c r="O26" s="508"/>
      <c r="P26" s="508"/>
      <c r="Q26" s="508"/>
      <c r="R26" s="508"/>
      <c r="S26" s="508"/>
      <c r="T26" s="508"/>
      <c r="U26" s="3"/>
      <c r="V26" s="3"/>
    </row>
    <row r="27" spans="1:22" ht="45">
      <c r="A27" s="396" t="s">
        <v>822</v>
      </c>
      <c r="B27" s="523" t="s">
        <v>915</v>
      </c>
      <c r="C27" s="549">
        <f>'RICON_RICON-S-EK_GIGANT_WALCO '!C169</f>
        <v>18</v>
      </c>
      <c r="D27" s="549">
        <f>'RICON_RICON-S-EK_GIGANT_WALCO '!F169</f>
        <v>15.481230012290808</v>
      </c>
      <c r="E27" s="627">
        <f t="shared" si="1"/>
        <v>18</v>
      </c>
      <c r="F27" s="498">
        <f t="shared" si="0"/>
        <v>7.1451830825957581</v>
      </c>
      <c r="G27" s="498">
        <f t="shared" si="0"/>
        <v>8.3360469296950495</v>
      </c>
      <c r="H27" s="498">
        <f t="shared" si="0"/>
        <v>9.5269107767943435</v>
      </c>
      <c r="I27" s="498">
        <f t="shared" si="0"/>
        <v>10.717774623893636</v>
      </c>
      <c r="J27" s="498">
        <f t="shared" si="0"/>
        <v>11.90863847099293</v>
      </c>
      <c r="K27" s="498">
        <f t="shared" si="0"/>
        <v>13.099502318092224</v>
      </c>
      <c r="L27" s="651"/>
      <c r="M27" s="418"/>
      <c r="N27" s="508"/>
      <c r="O27" s="508"/>
      <c r="P27" s="508"/>
      <c r="Q27" s="508"/>
      <c r="R27" s="508"/>
      <c r="S27" s="508"/>
      <c r="T27" s="508"/>
      <c r="U27" s="3"/>
      <c r="V27" s="3"/>
    </row>
    <row r="28" spans="1:22" ht="45.75" thickBot="1">
      <c r="A28" s="438" t="s">
        <v>823</v>
      </c>
      <c r="B28" s="535" t="s">
        <v>916</v>
      </c>
      <c r="C28" s="612">
        <f>'RICON_RICON-S-EK_GIGANT_WALCO '!C170</f>
        <v>18</v>
      </c>
      <c r="D28" s="612">
        <f>'RICON_RICON-S-EK_GIGANT_WALCO '!F170</f>
        <v>18.208706420846653</v>
      </c>
      <c r="E28" s="628">
        <f t="shared" si="1"/>
        <v>18</v>
      </c>
      <c r="F28" s="500">
        <f t="shared" si="0"/>
        <v>8.4040183480830706</v>
      </c>
      <c r="G28" s="500">
        <f t="shared" si="0"/>
        <v>9.8046880727635806</v>
      </c>
      <c r="H28" s="500">
        <f t="shared" si="0"/>
        <v>11.205357797444094</v>
      </c>
      <c r="I28" s="500">
        <f t="shared" si="0"/>
        <v>12.606027522124606</v>
      </c>
      <c r="J28" s="500">
        <f t="shared" si="0"/>
        <v>14.006697246805118</v>
      </c>
      <c r="K28" s="500">
        <f t="shared" si="0"/>
        <v>15.407366971485631</v>
      </c>
      <c r="L28" s="651"/>
      <c r="M28" s="418"/>
      <c r="N28" s="508"/>
      <c r="O28" s="508"/>
      <c r="P28" s="508"/>
      <c r="Q28" s="508"/>
      <c r="R28" s="508"/>
      <c r="S28" s="508"/>
      <c r="T28" s="508"/>
      <c r="U28" s="3"/>
      <c r="V28" s="3"/>
    </row>
    <row r="29" spans="1:22" ht="45.75" thickTop="1">
      <c r="A29" s="411" t="s">
        <v>787</v>
      </c>
      <c r="B29" s="523" t="s">
        <v>913</v>
      </c>
      <c r="C29" s="296">
        <f>'RICON_RICON-S-EK_GIGANT_WALCO '!C171</f>
        <v>14</v>
      </c>
      <c r="D29" s="630">
        <f>'RICON_RICON-S-EK_GIGANT_WALCO '!F171</f>
        <v>13.866687624227694</v>
      </c>
      <c r="E29" s="629">
        <f t="shared" ref="E29" si="2">C29/1</f>
        <v>14</v>
      </c>
      <c r="F29" s="499">
        <f t="shared" si="0"/>
        <v>6.4000096727204738</v>
      </c>
      <c r="G29" s="499">
        <f t="shared" si="0"/>
        <v>7.4666779515072186</v>
      </c>
      <c r="H29" s="499">
        <f t="shared" si="0"/>
        <v>8.5333462302939669</v>
      </c>
      <c r="I29" s="499">
        <f t="shared" si="0"/>
        <v>9.6000145090807116</v>
      </c>
      <c r="J29" s="499">
        <f t="shared" si="0"/>
        <v>10.666682787867456</v>
      </c>
      <c r="K29" s="499">
        <f t="shared" si="0"/>
        <v>11.733351066654203</v>
      </c>
      <c r="L29" s="651"/>
      <c r="M29" s="418"/>
      <c r="N29" s="508"/>
      <c r="O29" s="508"/>
      <c r="P29" s="508"/>
      <c r="Q29" s="508"/>
      <c r="R29" s="508"/>
      <c r="S29" s="508"/>
      <c r="T29" s="508"/>
      <c r="U29" s="3"/>
      <c r="V29" s="3"/>
    </row>
    <row r="30" spans="1:22" ht="45">
      <c r="A30" s="411" t="s">
        <v>786</v>
      </c>
      <c r="B30" s="534" t="s">
        <v>914</v>
      </c>
      <c r="C30" s="296">
        <f>'RICON_RICON-S-EK_GIGANT_WALCO '!C172</f>
        <v>18</v>
      </c>
      <c r="D30" s="630">
        <f>'RICON_RICON-S-EK_GIGANT_WALCO '!F172</f>
        <v>16.594164032783539</v>
      </c>
      <c r="E30" s="629">
        <f t="shared" si="1"/>
        <v>18</v>
      </c>
      <c r="F30" s="499">
        <f t="shared" si="0"/>
        <v>7.6588449382077863</v>
      </c>
      <c r="G30" s="499">
        <f t="shared" si="0"/>
        <v>8.9353190945757497</v>
      </c>
      <c r="H30" s="499">
        <f t="shared" si="0"/>
        <v>10.211793250943717</v>
      </c>
      <c r="I30" s="499">
        <f t="shared" si="0"/>
        <v>11.48826740731168</v>
      </c>
      <c r="J30" s="499">
        <f t="shared" si="0"/>
        <v>12.764741563679644</v>
      </c>
      <c r="K30" s="499">
        <f t="shared" si="0"/>
        <v>14.041215720047612</v>
      </c>
      <c r="L30" s="651"/>
      <c r="M30" s="418"/>
      <c r="N30" s="508"/>
      <c r="O30" s="508"/>
      <c r="P30" s="508"/>
      <c r="Q30" s="508"/>
      <c r="R30" s="508"/>
      <c r="S30" s="508"/>
      <c r="T30" s="508"/>
      <c r="U30" s="3"/>
      <c r="V30" s="3"/>
    </row>
    <row r="31" spans="1:22" ht="45">
      <c r="A31" s="396" t="s">
        <v>746</v>
      </c>
      <c r="B31" s="523" t="s">
        <v>915</v>
      </c>
      <c r="C31" s="549">
        <f>'RICON_RICON-S-EK_GIGANT_WALCO '!C173</f>
        <v>18</v>
      </c>
      <c r="D31" s="635">
        <f>'RICON_RICON-S-EK_GIGANT_WALCO '!F173</f>
        <v>19.321640441339383</v>
      </c>
      <c r="E31" s="627">
        <f t="shared" si="1"/>
        <v>18</v>
      </c>
      <c r="F31" s="498">
        <f t="shared" si="0"/>
        <v>8.9176802036950988</v>
      </c>
      <c r="G31" s="498">
        <f t="shared" si="0"/>
        <v>10.403960237644283</v>
      </c>
      <c r="H31" s="498">
        <f t="shared" si="0"/>
        <v>11.890240271593468</v>
      </c>
      <c r="I31" s="498">
        <f t="shared" si="0"/>
        <v>13.37652030554265</v>
      </c>
      <c r="J31" s="498">
        <f t="shared" si="0"/>
        <v>14.862800339491832</v>
      </c>
      <c r="K31" s="498">
        <f t="shared" si="0"/>
        <v>16.349080373441019</v>
      </c>
      <c r="L31" s="651"/>
      <c r="M31" s="667"/>
      <c r="N31" s="508"/>
      <c r="O31" s="508"/>
      <c r="P31" s="508"/>
      <c r="Q31" s="508"/>
      <c r="R31" s="508"/>
      <c r="S31" s="508"/>
      <c r="T31" s="508"/>
      <c r="U31" s="3"/>
      <c r="V31" s="3"/>
    </row>
    <row r="32" spans="1:22" ht="45.75" thickBot="1">
      <c r="A32" s="438" t="s">
        <v>747</v>
      </c>
      <c r="B32" s="535" t="s">
        <v>916</v>
      </c>
      <c r="C32" s="612">
        <f>'RICON_RICON-S-EK_GIGANT_WALCO '!C174</f>
        <v>18</v>
      </c>
      <c r="D32" s="636">
        <f>'RICON_RICON-S-EK_GIGANT_WALCO '!F174</f>
        <v>22.049116849895228</v>
      </c>
      <c r="E32" s="628">
        <f t="shared" si="1"/>
        <v>18</v>
      </c>
      <c r="F32" s="500">
        <f t="shared" si="0"/>
        <v>10.176515469182412</v>
      </c>
      <c r="G32" s="500">
        <f t="shared" si="0"/>
        <v>11.872601380712814</v>
      </c>
      <c r="H32" s="500">
        <f t="shared" si="0"/>
        <v>13.568687292243217</v>
      </c>
      <c r="I32" s="500">
        <f t="shared" si="0"/>
        <v>15.264773203773618</v>
      </c>
      <c r="J32" s="500">
        <f t="shared" si="0"/>
        <v>16.960859115304022</v>
      </c>
      <c r="K32" s="500">
        <f t="shared" si="0"/>
        <v>18</v>
      </c>
      <c r="L32" s="651"/>
      <c r="M32" s="667"/>
      <c r="N32" s="508"/>
      <c r="O32" s="508"/>
      <c r="P32" s="508"/>
      <c r="Q32" s="508"/>
      <c r="R32" s="508"/>
      <c r="S32" s="508"/>
      <c r="T32" s="508"/>
      <c r="U32" s="3"/>
      <c r="V32" s="3"/>
    </row>
    <row r="33" spans="1:22" ht="45.75" thickTop="1">
      <c r="A33" s="411" t="s">
        <v>824</v>
      </c>
      <c r="B33" s="534" t="s">
        <v>916</v>
      </c>
      <c r="C33" s="611">
        <f>'RICON_RICON-S-EK_GIGANT_WALCO '!C175</f>
        <v>11</v>
      </c>
      <c r="D33" s="611">
        <f>'RICON_RICON-S-EK_GIGANT_WALCO '!F175</f>
        <v>12.311939384212835</v>
      </c>
      <c r="E33" s="629">
        <f t="shared" si="1"/>
        <v>11</v>
      </c>
      <c r="F33" s="499">
        <f t="shared" si="0"/>
        <v>5.6824335619443849</v>
      </c>
      <c r="G33" s="499">
        <f t="shared" si="0"/>
        <v>6.6295058222684489</v>
      </c>
      <c r="H33" s="499">
        <f t="shared" si="0"/>
        <v>7.5765780825925138</v>
      </c>
      <c r="I33" s="499">
        <f t="shared" si="0"/>
        <v>8.5236503429165786</v>
      </c>
      <c r="J33" s="499">
        <f t="shared" si="0"/>
        <v>9.4707226032406417</v>
      </c>
      <c r="K33" s="499">
        <f t="shared" si="0"/>
        <v>10.417794863564707</v>
      </c>
      <c r="L33" s="651"/>
      <c r="M33" s="418"/>
      <c r="N33" s="508"/>
      <c r="O33" s="508"/>
      <c r="P33" s="508"/>
      <c r="Q33" s="508"/>
      <c r="R33" s="508"/>
      <c r="S33" s="508"/>
      <c r="T33" s="508"/>
      <c r="U33" s="3"/>
      <c r="V33" s="3"/>
    </row>
    <row r="34" spans="1:22" ht="45">
      <c r="A34" s="396" t="s">
        <v>825</v>
      </c>
      <c r="B34" s="523" t="s">
        <v>918</v>
      </c>
      <c r="C34" s="549">
        <f>'RICON_RICON-S-EK_GIGANT_WALCO '!C176</f>
        <v>14</v>
      </c>
      <c r="D34" s="549">
        <f>'RICON_RICON-S-EK_GIGANT_WALCO '!F176</f>
        <v>17.766892201324524</v>
      </c>
      <c r="E34" s="627">
        <f t="shared" si="1"/>
        <v>14</v>
      </c>
      <c r="F34" s="498">
        <f t="shared" si="0"/>
        <v>8.2001040929190108</v>
      </c>
      <c r="G34" s="498">
        <f t="shared" si="0"/>
        <v>9.5667881084055111</v>
      </c>
      <c r="H34" s="498">
        <f t="shared" si="0"/>
        <v>10.933472123892015</v>
      </c>
      <c r="I34" s="498">
        <f t="shared" si="0"/>
        <v>12.300156139378517</v>
      </c>
      <c r="J34" s="498">
        <f t="shared" si="0"/>
        <v>13.666840154865017</v>
      </c>
      <c r="K34" s="498">
        <f t="shared" si="0"/>
        <v>14</v>
      </c>
      <c r="L34" s="651"/>
      <c r="M34" s="418"/>
      <c r="N34" s="508"/>
      <c r="O34" s="508"/>
      <c r="P34" s="508"/>
      <c r="Q34" s="508"/>
      <c r="R34" s="508"/>
      <c r="S34" s="508"/>
      <c r="T34" s="508"/>
      <c r="U34" s="3"/>
      <c r="V34" s="3"/>
    </row>
    <row r="35" spans="1:22" ht="45">
      <c r="A35" s="396" t="s">
        <v>826</v>
      </c>
      <c r="B35" s="523" t="s">
        <v>917</v>
      </c>
      <c r="C35" s="549">
        <f>'RICON_RICON-S-EK_GIGANT_WALCO '!C177</f>
        <v>18</v>
      </c>
      <c r="D35" s="549">
        <f>'RICON_RICON-S-EK_GIGANT_WALCO '!F177</f>
        <v>23.221845018436213</v>
      </c>
      <c r="E35" s="627">
        <f t="shared" si="1"/>
        <v>18</v>
      </c>
      <c r="F35" s="498">
        <f t="shared" si="0"/>
        <v>10.717774623893636</v>
      </c>
      <c r="G35" s="498">
        <f t="shared" si="0"/>
        <v>12.504070394542575</v>
      </c>
      <c r="H35" s="498">
        <f t="shared" si="0"/>
        <v>14.290366165191516</v>
      </c>
      <c r="I35" s="498">
        <f t="shared" si="0"/>
        <v>16.076661935840455</v>
      </c>
      <c r="J35" s="498">
        <f t="shared" si="0"/>
        <v>17.862957706489393</v>
      </c>
      <c r="K35" s="498">
        <f t="shared" si="0"/>
        <v>18</v>
      </c>
      <c r="L35" s="651"/>
      <c r="M35" s="418"/>
      <c r="N35" s="508"/>
      <c r="O35" s="508"/>
      <c r="P35" s="508"/>
      <c r="Q35" s="508"/>
      <c r="R35" s="508"/>
      <c r="S35" s="508"/>
      <c r="T35" s="508"/>
      <c r="U35" s="3"/>
      <c r="V35" s="3"/>
    </row>
    <row r="36" spans="1:22" ht="45">
      <c r="A36" s="396" t="s">
        <v>827</v>
      </c>
      <c r="B36" s="523" t="s">
        <v>919</v>
      </c>
      <c r="C36" s="549">
        <f>'RICON_RICON-S-EK_GIGANT_WALCO '!C178</f>
        <v>18</v>
      </c>
      <c r="D36" s="549">
        <f>'RICON_RICON-S-EK_GIGANT_WALCO '!F178</f>
        <v>28.676797835547902</v>
      </c>
      <c r="E36" s="627">
        <f t="shared" si="1"/>
        <v>18</v>
      </c>
      <c r="F36" s="498">
        <f t="shared" si="0"/>
        <v>13.235445154868261</v>
      </c>
      <c r="G36" s="498">
        <f t="shared" si="0"/>
        <v>15.441352680679639</v>
      </c>
      <c r="H36" s="498">
        <f t="shared" si="0"/>
        <v>17.647260206491016</v>
      </c>
      <c r="I36" s="498">
        <f t="shared" si="0"/>
        <v>18</v>
      </c>
      <c r="J36" s="498">
        <f t="shared" si="0"/>
        <v>18</v>
      </c>
      <c r="K36" s="498">
        <f t="shared" si="0"/>
        <v>18</v>
      </c>
      <c r="L36" s="651"/>
      <c r="M36" s="418"/>
      <c r="N36" s="508"/>
      <c r="O36" s="508"/>
      <c r="P36" s="508"/>
      <c r="Q36" s="508"/>
      <c r="R36" s="508"/>
      <c r="S36" s="508"/>
      <c r="T36" s="508"/>
      <c r="U36" s="3"/>
      <c r="V36" s="3"/>
    </row>
    <row r="37" spans="1:22" ht="45">
      <c r="A37" s="396" t="s">
        <v>828</v>
      </c>
      <c r="B37" s="523" t="s">
        <v>920</v>
      </c>
      <c r="C37" s="549">
        <f>'RICON_RICON-S-EK_GIGANT_WALCO '!C179</f>
        <v>18</v>
      </c>
      <c r="D37" s="549">
        <f>'RICON_RICON-S-EK_GIGANT_WALCO '!F179</f>
        <v>34.131750652659591</v>
      </c>
      <c r="E37" s="627">
        <f t="shared" si="1"/>
        <v>18</v>
      </c>
      <c r="F37" s="498">
        <f t="shared" si="0"/>
        <v>15.753115685842886</v>
      </c>
      <c r="G37" s="498">
        <f t="shared" si="0"/>
        <v>18</v>
      </c>
      <c r="H37" s="498">
        <f t="shared" si="0"/>
        <v>18</v>
      </c>
      <c r="I37" s="498">
        <f t="shared" si="0"/>
        <v>18</v>
      </c>
      <c r="J37" s="498">
        <f t="shared" si="0"/>
        <v>18</v>
      </c>
      <c r="K37" s="498">
        <f t="shared" si="0"/>
        <v>18</v>
      </c>
      <c r="L37" s="651"/>
      <c r="M37" s="418"/>
      <c r="N37" s="508"/>
      <c r="O37" s="508"/>
      <c r="P37" s="508"/>
      <c r="Q37" s="508"/>
      <c r="R37" s="508"/>
      <c r="S37" s="508"/>
      <c r="T37" s="508"/>
      <c r="U37" s="3"/>
      <c r="V37" s="3"/>
    </row>
    <row r="38" spans="1:22">
      <c r="A38" s="418"/>
      <c r="B38" s="524"/>
      <c r="C38" s="631"/>
      <c r="D38" s="631"/>
      <c r="E38" s="631"/>
      <c r="F38" s="508"/>
      <c r="G38" s="508"/>
      <c r="H38" s="508"/>
      <c r="I38" s="508"/>
      <c r="J38" s="508"/>
      <c r="K38" s="508"/>
      <c r="L38" s="508"/>
      <c r="M38" s="418"/>
      <c r="N38" s="508"/>
      <c r="O38" s="508"/>
      <c r="P38" s="508"/>
      <c r="Q38" s="508"/>
      <c r="R38" s="508"/>
      <c r="S38" s="508"/>
      <c r="T38" s="508"/>
      <c r="U38" s="3"/>
      <c r="V38" s="3"/>
    </row>
    <row r="39" spans="1:22">
      <c r="A39" s="681" t="s">
        <v>829</v>
      </c>
      <c r="B39" s="680" t="s">
        <v>898</v>
      </c>
      <c r="C39" s="631"/>
      <c r="D39" s="631"/>
      <c r="E39" s="631"/>
      <c r="F39" s="508"/>
      <c r="G39" s="508"/>
      <c r="H39" s="508"/>
      <c r="I39" s="508"/>
      <c r="J39" s="508"/>
      <c r="K39" s="508"/>
      <c r="L39" s="508"/>
      <c r="M39" s="418"/>
      <c r="N39" s="508"/>
      <c r="O39" s="508"/>
      <c r="P39" s="508"/>
      <c r="Q39" s="508"/>
      <c r="R39" s="508"/>
      <c r="S39" s="508"/>
      <c r="T39" s="508"/>
      <c r="U39" s="3"/>
      <c r="V39" s="3"/>
    </row>
    <row r="40" spans="1:22">
      <c r="A40" s="418"/>
      <c r="B40" s="524"/>
      <c r="C40" s="508"/>
      <c r="D40" s="508"/>
      <c r="E40" s="631"/>
      <c r="F40" s="508"/>
      <c r="G40" s="508"/>
      <c r="H40" s="508"/>
      <c r="I40" s="508"/>
      <c r="J40" s="508"/>
      <c r="L40" s="3"/>
      <c r="M40" s="418"/>
      <c r="N40" s="508"/>
      <c r="O40" s="508"/>
      <c r="P40" s="508"/>
      <c r="Q40" s="508"/>
      <c r="R40" s="508"/>
      <c r="S40" s="508"/>
      <c r="T40" s="508"/>
      <c r="U40" s="3"/>
      <c r="V40" s="3"/>
    </row>
    <row r="41" spans="1:22">
      <c r="A41" s="418"/>
      <c r="B41" s="524"/>
      <c r="C41" s="508"/>
      <c r="D41" s="828" t="s">
        <v>922</v>
      </c>
      <c r="E41" s="828"/>
      <c r="F41" s="828"/>
      <c r="G41" s="828"/>
      <c r="H41" s="828"/>
      <c r="I41" s="828"/>
      <c r="J41" s="508"/>
      <c r="L41" s="3"/>
      <c r="M41" s="418"/>
      <c r="N41" s="508"/>
      <c r="O41" s="508"/>
      <c r="P41" s="508"/>
      <c r="Q41" s="508"/>
      <c r="R41" s="508"/>
      <c r="S41" s="508"/>
      <c r="T41" s="508"/>
      <c r="U41" s="3"/>
      <c r="V41" s="3"/>
    </row>
    <row r="42" spans="1:22" ht="18" customHeight="1">
      <c r="A42" s="418"/>
      <c r="B42" s="524"/>
      <c r="C42" s="508"/>
      <c r="D42" s="828"/>
      <c r="E42" s="828"/>
      <c r="F42" s="828"/>
      <c r="G42" s="828"/>
      <c r="H42" s="828"/>
      <c r="I42" s="828"/>
      <c r="J42" s="508"/>
      <c r="L42" s="3"/>
      <c r="M42" s="418"/>
      <c r="N42" s="508"/>
      <c r="O42" s="508"/>
      <c r="P42" s="508"/>
      <c r="Q42" s="508"/>
      <c r="R42" s="508"/>
      <c r="S42" s="508"/>
      <c r="T42" s="508"/>
      <c r="U42" s="3"/>
      <c r="V42" s="3"/>
    </row>
    <row r="43" spans="1:22">
      <c r="A43" s="418"/>
      <c r="B43" s="418"/>
      <c r="C43" s="508"/>
      <c r="D43" s="828" t="s">
        <v>921</v>
      </c>
      <c r="E43" s="828"/>
      <c r="F43" s="828"/>
      <c r="G43" s="828"/>
      <c r="H43" s="828"/>
      <c r="I43" s="828"/>
      <c r="J43" s="508"/>
      <c r="L43" s="3"/>
      <c r="M43" s="418"/>
      <c r="N43" s="508"/>
      <c r="O43" s="508"/>
      <c r="P43" s="508"/>
      <c r="Q43" s="508"/>
      <c r="R43" s="508"/>
      <c r="S43" s="508"/>
      <c r="T43" s="508"/>
      <c r="U43" s="3"/>
      <c r="V43" s="3"/>
    </row>
    <row r="44" spans="1:22" ht="18.75" customHeight="1">
      <c r="A44" s="418"/>
      <c r="B44" s="418"/>
      <c r="C44" s="508"/>
      <c r="D44" s="828"/>
      <c r="E44" s="828"/>
      <c r="F44" s="828"/>
      <c r="G44" s="828"/>
      <c r="H44" s="828"/>
      <c r="I44" s="828"/>
      <c r="J44" s="508"/>
      <c r="L44" s="3"/>
      <c r="M44" s="418"/>
      <c r="N44" s="508"/>
      <c r="O44" s="508"/>
      <c r="P44" s="508"/>
      <c r="Q44" s="508"/>
      <c r="R44" s="508"/>
      <c r="S44" s="508"/>
      <c r="T44" s="508"/>
      <c r="U44" s="3"/>
      <c r="V44" s="3"/>
    </row>
    <row r="45" spans="1:22">
      <c r="A45" s="418"/>
      <c r="B45" s="418"/>
      <c r="C45" s="508"/>
      <c r="D45" s="508"/>
      <c r="E45" s="508"/>
      <c r="F45" s="508"/>
      <c r="G45" s="508"/>
      <c r="H45" s="508"/>
      <c r="I45" s="508"/>
      <c r="J45" s="508"/>
      <c r="L45" s="3"/>
      <c r="M45" s="418"/>
      <c r="N45" s="508"/>
      <c r="O45" s="508"/>
      <c r="P45" s="508"/>
      <c r="Q45" s="508"/>
      <c r="R45" s="508"/>
      <c r="S45" s="508"/>
      <c r="T45" s="508"/>
      <c r="U45" s="3"/>
      <c r="V45" s="3"/>
    </row>
    <row r="46" spans="1:22">
      <c r="A46" s="418"/>
      <c r="B46" s="418"/>
      <c r="C46" s="508"/>
      <c r="D46" s="508"/>
      <c r="E46" s="508"/>
      <c r="F46" s="508"/>
      <c r="G46" s="508"/>
      <c r="H46" s="508"/>
      <c r="I46" s="508"/>
      <c r="J46" s="508"/>
      <c r="L46" s="3"/>
      <c r="M46" s="418"/>
      <c r="N46" s="508"/>
      <c r="O46" s="508"/>
      <c r="P46" s="508"/>
      <c r="Q46" s="508"/>
      <c r="R46" s="508"/>
      <c r="S46" s="508"/>
      <c r="T46" s="508"/>
      <c r="U46" s="3"/>
      <c r="V46" s="3"/>
    </row>
    <row r="47" spans="1:22" ht="23.25" customHeight="1">
      <c r="A47" s="829" t="s">
        <v>897</v>
      </c>
      <c r="B47" s="829"/>
      <c r="C47" s="829"/>
      <c r="D47" s="829"/>
      <c r="E47" s="829"/>
      <c r="F47" s="829"/>
      <c r="G47" s="829"/>
      <c r="H47" s="829"/>
      <c r="I47" s="829"/>
      <c r="J47" s="829"/>
      <c r="K47" s="829"/>
      <c r="L47" s="3"/>
      <c r="M47" s="418"/>
      <c r="N47" s="508"/>
      <c r="O47" s="508"/>
      <c r="P47" s="508"/>
      <c r="Q47" s="508"/>
      <c r="R47" s="508"/>
      <c r="S47" s="508"/>
      <c r="T47" s="508"/>
      <c r="U47" s="3"/>
      <c r="V47" s="3"/>
    </row>
    <row r="48" spans="1:22" ht="23.25" customHeight="1" thickBot="1">
      <c r="A48" s="807"/>
      <c r="B48" s="807"/>
      <c r="C48" s="807"/>
      <c r="D48" s="807"/>
      <c r="E48" s="807"/>
      <c r="F48" s="807"/>
      <c r="G48" s="807"/>
      <c r="H48" s="807"/>
      <c r="I48" s="807"/>
      <c r="J48" s="807"/>
      <c r="K48" s="807"/>
      <c r="L48" s="3"/>
      <c r="M48" s="418"/>
      <c r="N48" s="508"/>
      <c r="O48" s="508"/>
      <c r="P48" s="508"/>
      <c r="Q48" s="508"/>
      <c r="R48" s="508"/>
      <c r="S48" s="508"/>
      <c r="T48" s="508"/>
      <c r="U48" s="3"/>
      <c r="V48" s="3"/>
    </row>
    <row r="49" spans="1:22" ht="33.75">
      <c r="A49" s="811" t="s">
        <v>748</v>
      </c>
      <c r="B49" s="811"/>
      <c r="C49" s="553"/>
      <c r="D49" s="553"/>
      <c r="E49" s="553"/>
      <c r="F49" s="553"/>
      <c r="G49" s="553"/>
      <c r="H49" s="553"/>
      <c r="I49" s="553"/>
      <c r="J49" s="553"/>
      <c r="K49" s="577"/>
      <c r="L49" s="658"/>
      <c r="M49" s="833"/>
      <c r="N49" s="833"/>
      <c r="O49" s="833"/>
      <c r="P49" s="833"/>
      <c r="Q49" s="833"/>
      <c r="R49" s="833"/>
      <c r="S49" s="833"/>
      <c r="T49" s="833"/>
      <c r="U49" s="3"/>
      <c r="V49" s="3"/>
    </row>
    <row r="50" spans="1:22" s="557" customFormat="1" ht="21">
      <c r="A50" s="556" t="s">
        <v>671</v>
      </c>
      <c r="B50" s="556"/>
      <c r="C50" s="556"/>
      <c r="D50" s="541" t="s">
        <v>892</v>
      </c>
      <c r="E50" s="541"/>
      <c r="F50" s="599" t="s">
        <v>25</v>
      </c>
      <c r="G50" s="509"/>
      <c r="H50" s="580" t="str">
        <f>VLOOKUP(F50,'RICON_RICON-S-EK_GIGANT_WALCO '!V7:Y18,4,FALSE)</f>
        <v>Glued laminated timber - homogeneous</v>
      </c>
      <c r="I50" s="541"/>
      <c r="J50" s="509"/>
      <c r="L50" s="653"/>
      <c r="M50" s="668"/>
      <c r="N50" s="668"/>
      <c r="O50" s="668"/>
      <c r="P50" s="668"/>
      <c r="Q50" s="668"/>
      <c r="R50" s="668"/>
      <c r="S50" s="668"/>
      <c r="T50" s="668"/>
      <c r="U50" s="653"/>
      <c r="V50" s="653"/>
    </row>
    <row r="51" spans="1:22" s="557" customFormat="1" ht="21">
      <c r="D51" s="578" t="s">
        <v>672</v>
      </c>
      <c r="E51" s="578"/>
      <c r="F51" s="599">
        <v>1</v>
      </c>
      <c r="G51" s="509"/>
      <c r="H51" s="579" t="str">
        <f>VLOOKUP('Load bearing values_RICON_EN'!F51,'RICON_RICON-S-EK_GIGANT_WALCO '!V21:X23,3,FALSE)</f>
        <v>Indoor</v>
      </c>
      <c r="I51" s="509"/>
      <c r="J51" s="509"/>
      <c r="K51" s="509"/>
      <c r="L51" s="654"/>
      <c r="M51" s="653"/>
      <c r="N51" s="653"/>
      <c r="O51" s="653"/>
      <c r="P51" s="653"/>
      <c r="Q51" s="653"/>
      <c r="R51" s="653"/>
      <c r="S51" s="653"/>
      <c r="T51" s="653"/>
      <c r="U51" s="653"/>
      <c r="V51" s="653"/>
    </row>
    <row r="52" spans="1:22" ht="21" customHeight="1">
      <c r="A52" s="505"/>
      <c r="B52" s="505"/>
      <c r="H52" s="615" t="str">
        <f>IF(AND('Load bearing values_RICON_EN'!F50='RICON_RICON-S-EK_GIGANT_WALCO '!V18,F51=3),"BauBuche is not suitable for outdoor (service class 3)!","")</f>
        <v/>
      </c>
      <c r="L52" s="3"/>
      <c r="M52" s="505"/>
      <c r="N52" s="3"/>
      <c r="O52" s="3"/>
      <c r="P52" s="3"/>
      <c r="Q52" s="3"/>
      <c r="R52" s="3"/>
      <c r="S52" s="3"/>
      <c r="T52" s="3"/>
      <c r="U52" s="3"/>
      <c r="V52" s="3"/>
    </row>
    <row r="53" spans="1:22" s="560" customFormat="1" ht="12.75" customHeight="1">
      <c r="A53" s="559" t="s">
        <v>2</v>
      </c>
      <c r="B53" s="582" t="s">
        <v>613</v>
      </c>
      <c r="C53" s="803" t="s">
        <v>450</v>
      </c>
      <c r="D53" s="803"/>
      <c r="E53" s="837" t="s">
        <v>817</v>
      </c>
      <c r="F53" s="835" t="str">
        <f>"Design values F2,Rd for "&amp;F50&amp;" [kN]"</f>
        <v>Design values F2,Rd for GL24h [kN]</v>
      </c>
      <c r="G53" s="836"/>
      <c r="H53" s="836"/>
      <c r="I53" s="836"/>
      <c r="J53" s="836"/>
      <c r="K53" s="603" t="s">
        <v>691</v>
      </c>
      <c r="L53" s="660"/>
      <c r="M53" s="655"/>
      <c r="N53" s="834"/>
      <c r="O53" s="834"/>
      <c r="P53" s="834"/>
      <c r="Q53" s="834"/>
      <c r="R53" s="834"/>
      <c r="S53" s="834"/>
      <c r="T53" s="834"/>
      <c r="U53" s="655"/>
      <c r="V53" s="655"/>
    </row>
    <row r="54" spans="1:22" s="560" customFormat="1" ht="18">
      <c r="A54" s="561" t="s">
        <v>337</v>
      </c>
      <c r="B54" s="586" t="s">
        <v>612</v>
      </c>
      <c r="C54" s="610" t="s">
        <v>816</v>
      </c>
      <c r="D54" s="610" t="s">
        <v>751</v>
      </c>
      <c r="E54" s="838"/>
      <c r="F54" s="562">
        <f>IF(OR($F$51=1,$F$51=2),0.6,0.5)</f>
        <v>0.6</v>
      </c>
      <c r="G54" s="562">
        <f>IF(OR($F$51=1,$F$51=2),0.7,0.55)</f>
        <v>0.7</v>
      </c>
      <c r="H54" s="562">
        <f>IF(OR($F$51=1,$F$51=2),0.8,0.65)</f>
        <v>0.8</v>
      </c>
      <c r="I54" s="562">
        <f>IF(OR($F$51=1,$F$51=2),0.9,0.7)</f>
        <v>0.9</v>
      </c>
      <c r="J54" s="562">
        <f>IF(OR($F$51=1,$F$51=2),1,0.8)</f>
        <v>1</v>
      </c>
      <c r="K54" s="562">
        <f>IF(OR($F$51=1,$F$51=2),1.1,0.9)</f>
        <v>1.1000000000000001</v>
      </c>
      <c r="L54" s="661"/>
      <c r="M54" s="655"/>
      <c r="N54" s="655"/>
      <c r="O54" s="655"/>
      <c r="P54" s="669"/>
      <c r="Q54" s="669"/>
      <c r="R54" s="669"/>
      <c r="S54" s="669"/>
      <c r="T54" s="669"/>
      <c r="U54" s="655"/>
      <c r="V54" s="655"/>
    </row>
    <row r="55" spans="1:22" s="560" customFormat="1" ht="38.25" hidden="1">
      <c r="A55" s="564" t="s">
        <v>535</v>
      </c>
      <c r="B55" s="565" t="s">
        <v>491</v>
      </c>
      <c r="C55" s="566">
        <f>RICON_Edelstahl!C123</f>
        <v>4.5</v>
      </c>
      <c r="D55" s="566">
        <f>RICON_Edelstahl!F123</f>
        <v>5.1804296195027444</v>
      </c>
      <c r="F55" s="567">
        <f t="shared" ref="F55:K82" si="3">MIN($C55/1,$D55*F$54/1.3)</f>
        <v>2.3909675166935744</v>
      </c>
      <c r="G55" s="567">
        <f t="shared" si="3"/>
        <v>2.7894621028091695</v>
      </c>
      <c r="H55" s="567">
        <f t="shared" si="3"/>
        <v>3.1879566889247655</v>
      </c>
      <c r="I55" s="567">
        <f t="shared" si="3"/>
        <v>3.5864512750403614</v>
      </c>
      <c r="J55" s="567">
        <f t="shared" si="3"/>
        <v>3.9849458611559569</v>
      </c>
      <c r="L55" s="655"/>
      <c r="M55" s="670"/>
      <c r="N55" s="671"/>
      <c r="O55" s="671"/>
      <c r="P55" s="671"/>
      <c r="Q55" s="671"/>
      <c r="R55" s="671"/>
      <c r="S55" s="671"/>
      <c r="T55" s="671"/>
      <c r="U55" s="655"/>
      <c r="V55" s="655"/>
    </row>
    <row r="56" spans="1:22" s="560" customFormat="1" ht="54" customHeight="1">
      <c r="A56" s="703" t="s">
        <v>831</v>
      </c>
      <c r="B56" s="565" t="s">
        <v>912</v>
      </c>
      <c r="C56" s="566">
        <f>RICON_Edelstahl!C124</f>
        <v>8.1999999999999993</v>
      </c>
      <c r="D56" s="566">
        <f>IF(AND($F$50='RICON_RICON-S-EK_GIGANT_WALCO '!$V$18,'Load bearing values_RICON_EN'!$F$51=3),0,RICON_Edelstahl!F124)</f>
        <v>7.5161100233272613</v>
      </c>
      <c r="E56" s="627">
        <f>C56/1</f>
        <v>8.1999999999999993</v>
      </c>
      <c r="F56" s="567">
        <f t="shared" si="3"/>
        <v>3.4689738569202739</v>
      </c>
      <c r="G56" s="567">
        <f t="shared" si="3"/>
        <v>4.0471361664069869</v>
      </c>
      <c r="H56" s="567">
        <f t="shared" si="3"/>
        <v>4.6252984758936995</v>
      </c>
      <c r="I56" s="567">
        <f t="shared" si="3"/>
        <v>5.203460785380412</v>
      </c>
      <c r="J56" s="567">
        <f t="shared" si="3"/>
        <v>5.7816230948671237</v>
      </c>
      <c r="K56" s="567">
        <f t="shared" si="3"/>
        <v>6.3597854043538362</v>
      </c>
      <c r="L56" s="662"/>
      <c r="M56" s="670"/>
      <c r="N56" s="671"/>
      <c r="O56" s="671"/>
      <c r="P56" s="671"/>
      <c r="Q56" s="671"/>
      <c r="R56" s="671"/>
      <c r="S56" s="671"/>
      <c r="T56" s="671"/>
      <c r="U56" s="655"/>
      <c r="V56" s="655"/>
    </row>
    <row r="57" spans="1:22" s="560" customFormat="1" ht="54" hidden="1" customHeight="1">
      <c r="A57" s="703" t="s">
        <v>539</v>
      </c>
      <c r="B57" s="565" t="s">
        <v>495</v>
      </c>
      <c r="C57" s="566">
        <f>RICON_Edelstahl!C125</f>
        <v>10.4</v>
      </c>
      <c r="D57" s="566">
        <f>IF(AND($F$50='RICON_RICON-S-EK_GIGANT_WALCO '!$V$18,'Load bearing values_RICON_EN'!$F$51=3),0,RICON_Edelstahl!F125)</f>
        <v>10.360859239005489</v>
      </c>
      <c r="E57" s="627">
        <f t="shared" ref="E57:E82" si="4">C57/1</f>
        <v>10.4</v>
      </c>
      <c r="F57" s="567">
        <f t="shared" si="3"/>
        <v>4.7819350333871489</v>
      </c>
      <c r="G57" s="567">
        <f t="shared" si="3"/>
        <v>5.578924205618339</v>
      </c>
      <c r="H57" s="567">
        <f t="shared" si="3"/>
        <v>6.3759133778495309</v>
      </c>
      <c r="I57" s="567">
        <f t="shared" si="3"/>
        <v>7.1729025500807229</v>
      </c>
      <c r="J57" s="567">
        <f t="shared" si="3"/>
        <v>7.9698917223119139</v>
      </c>
      <c r="K57" s="567">
        <f t="shared" si="3"/>
        <v>8.7668808945431067</v>
      </c>
      <c r="L57" s="662"/>
      <c r="M57" s="670"/>
      <c r="N57" s="671"/>
      <c r="O57" s="671"/>
      <c r="P57" s="671"/>
      <c r="Q57" s="671"/>
      <c r="R57" s="671"/>
      <c r="S57" s="671"/>
      <c r="T57" s="671"/>
      <c r="U57" s="655"/>
      <c r="V57" s="655"/>
    </row>
    <row r="58" spans="1:22" s="560" customFormat="1" ht="54" hidden="1" customHeight="1">
      <c r="A58" s="703" t="s">
        <v>541</v>
      </c>
      <c r="B58" s="565" t="s">
        <v>496</v>
      </c>
      <c r="C58" s="566">
        <f>RICON_Edelstahl!C126</f>
        <v>13.4</v>
      </c>
      <c r="D58" s="566">
        <f>IF(AND($F$50='RICON_RICON-S-EK_GIGANT_WALCO '!$V$18,'Load bearing values_RICON_EN'!$F$51=3),0,RICON_Edelstahl!F126)</f>
        <v>13.205608454683714</v>
      </c>
      <c r="E58" s="627">
        <f t="shared" si="4"/>
        <v>13.4</v>
      </c>
      <c r="F58" s="567">
        <f t="shared" si="3"/>
        <v>6.0948962098540216</v>
      </c>
      <c r="G58" s="567">
        <f t="shared" si="3"/>
        <v>7.1107122448296911</v>
      </c>
      <c r="H58" s="567">
        <f t="shared" si="3"/>
        <v>8.1265282798053633</v>
      </c>
      <c r="I58" s="567">
        <f t="shared" si="3"/>
        <v>9.1423443147810328</v>
      </c>
      <c r="J58" s="567">
        <f t="shared" si="3"/>
        <v>10.158160349756702</v>
      </c>
      <c r="K58" s="567">
        <f t="shared" si="3"/>
        <v>11.173976384732375</v>
      </c>
      <c r="L58" s="662"/>
      <c r="M58" s="670"/>
      <c r="N58" s="671"/>
      <c r="O58" s="671"/>
      <c r="P58" s="671"/>
      <c r="Q58" s="671"/>
      <c r="R58" s="671"/>
      <c r="S58" s="671"/>
      <c r="T58" s="671"/>
      <c r="U58" s="655"/>
      <c r="V58" s="655"/>
    </row>
    <row r="59" spans="1:22" s="560" customFormat="1" ht="54" hidden="1" customHeight="1">
      <c r="A59" s="703" t="s">
        <v>543</v>
      </c>
      <c r="B59" s="565" t="s">
        <v>497</v>
      </c>
      <c r="C59" s="566">
        <f>RICON_Edelstahl!C127</f>
        <v>13.4</v>
      </c>
      <c r="D59" s="566">
        <f>IF(AND($F$50='RICON_RICON-S-EK_GIGANT_WALCO '!$V$18,'Load bearing values_RICON_EN'!$F$51=3),0,RICON_Edelstahl!F127)</f>
        <v>16.05035767036194</v>
      </c>
      <c r="E59" s="627">
        <f t="shared" si="4"/>
        <v>13.4</v>
      </c>
      <c r="F59" s="567">
        <f t="shared" si="3"/>
        <v>7.4078573863208952</v>
      </c>
      <c r="G59" s="567">
        <f t="shared" si="3"/>
        <v>8.6425002840410432</v>
      </c>
      <c r="H59" s="567">
        <f t="shared" si="3"/>
        <v>9.8771431817611948</v>
      </c>
      <c r="I59" s="567">
        <f t="shared" si="3"/>
        <v>11.111786079481343</v>
      </c>
      <c r="J59" s="567">
        <f t="shared" si="3"/>
        <v>12.346428977201493</v>
      </c>
      <c r="K59" s="567">
        <f t="shared" si="3"/>
        <v>13.4</v>
      </c>
      <c r="L59" s="662"/>
      <c r="M59" s="670"/>
      <c r="N59" s="671"/>
      <c r="O59" s="671"/>
      <c r="P59" s="671"/>
      <c r="Q59" s="671"/>
      <c r="R59" s="671"/>
      <c r="S59" s="671"/>
      <c r="T59" s="671"/>
      <c r="U59" s="655"/>
      <c r="V59" s="655"/>
    </row>
    <row r="60" spans="1:22" s="560" customFormat="1" ht="54" customHeight="1" thickBot="1">
      <c r="A60" s="704" t="s">
        <v>832</v>
      </c>
      <c r="B60" s="569" t="s">
        <v>916</v>
      </c>
      <c r="C60" s="570">
        <f>RICON_Edelstahl!C128</f>
        <v>13.4</v>
      </c>
      <c r="D60" s="570">
        <f>IF(AND($F$50='RICON_RICON-S-EK_GIGANT_WALCO '!$V$18,'Load bearing values_RICON_EN'!$F$51=3),0,RICON_Edelstahl!F128)</f>
        <v>18.895106886040168</v>
      </c>
      <c r="E60" s="628">
        <f t="shared" si="4"/>
        <v>13.4</v>
      </c>
      <c r="F60" s="571">
        <f t="shared" si="3"/>
        <v>8.7208185627877697</v>
      </c>
      <c r="G60" s="571">
        <f t="shared" si="3"/>
        <v>10.174288323252396</v>
      </c>
      <c r="H60" s="571">
        <f t="shared" si="3"/>
        <v>11.627758083717026</v>
      </c>
      <c r="I60" s="571">
        <f t="shared" si="3"/>
        <v>13.081227844181655</v>
      </c>
      <c r="J60" s="571">
        <f t="shared" si="3"/>
        <v>13.4</v>
      </c>
      <c r="K60" s="571">
        <f t="shared" si="3"/>
        <v>13.4</v>
      </c>
      <c r="L60" s="662"/>
      <c r="M60" s="670"/>
      <c r="N60" s="671"/>
      <c r="O60" s="671"/>
      <c r="P60" s="671"/>
      <c r="Q60" s="671"/>
      <c r="R60" s="671"/>
      <c r="S60" s="671"/>
      <c r="T60" s="671"/>
      <c r="U60" s="655"/>
      <c r="V60" s="655"/>
    </row>
    <row r="61" spans="1:22" s="560" customFormat="1" ht="54" customHeight="1" thickTop="1">
      <c r="A61" s="705" t="s">
        <v>833</v>
      </c>
      <c r="B61" s="575" t="s">
        <v>916</v>
      </c>
      <c r="C61" s="573">
        <f>RICON_Edelstahl!C129</f>
        <v>8.1999999999999993</v>
      </c>
      <c r="D61" s="573">
        <f>IF(AND($F$50='RICON_RICON-S-EK_GIGANT_WALCO '!$V$18,'Load bearing values_RICON_EN'!$F$51=3),0,RICON_Edelstahl!F129)</f>
        <v>12.696539642830006</v>
      </c>
      <c r="E61" s="629">
        <f t="shared" si="4"/>
        <v>8.1999999999999993</v>
      </c>
      <c r="F61" s="574">
        <f t="shared" si="3"/>
        <v>5.8599413736138484</v>
      </c>
      <c r="G61" s="574">
        <f t="shared" si="3"/>
        <v>6.8365982692161564</v>
      </c>
      <c r="H61" s="574">
        <f t="shared" si="3"/>
        <v>7.8132551648184654</v>
      </c>
      <c r="I61" s="574">
        <f t="shared" si="3"/>
        <v>8.1999999999999993</v>
      </c>
      <c r="J61" s="574">
        <f t="shared" si="3"/>
        <v>8.1999999999999993</v>
      </c>
      <c r="K61" s="574">
        <f t="shared" si="3"/>
        <v>8.1999999999999993</v>
      </c>
      <c r="L61" s="662"/>
      <c r="M61" s="670"/>
      <c r="N61" s="671"/>
      <c r="O61" s="671"/>
      <c r="P61" s="671"/>
      <c r="Q61" s="671"/>
      <c r="R61" s="671"/>
      <c r="S61" s="671"/>
      <c r="T61" s="671"/>
      <c r="U61" s="655"/>
      <c r="V61" s="655"/>
    </row>
    <row r="62" spans="1:22" s="560" customFormat="1" ht="54" hidden="1" customHeight="1">
      <c r="A62" s="703" t="s">
        <v>549</v>
      </c>
      <c r="B62" s="565" t="s">
        <v>483</v>
      </c>
      <c r="C62" s="566">
        <f>RICON_Edelstahl!C130</f>
        <v>10.4</v>
      </c>
      <c r="D62" s="566">
        <f>IF(AND($F$50='RICON_RICON-S-EK_GIGANT_WALCO '!$V$18,'Load bearing values_RICON_EN'!$F$51=3),0,RICON_Edelstahl!F130)</f>
        <v>18.386038074186459</v>
      </c>
      <c r="E62" s="627">
        <f t="shared" si="4"/>
        <v>10.4</v>
      </c>
      <c r="F62" s="567">
        <f t="shared" si="3"/>
        <v>8.4858637265475956</v>
      </c>
      <c r="G62" s="567">
        <f t="shared" si="3"/>
        <v>9.9001743476388615</v>
      </c>
      <c r="H62" s="567">
        <f t="shared" si="3"/>
        <v>10.4</v>
      </c>
      <c r="I62" s="567">
        <f t="shared" si="3"/>
        <v>10.4</v>
      </c>
      <c r="J62" s="567">
        <f t="shared" si="3"/>
        <v>10.4</v>
      </c>
      <c r="K62" s="567">
        <f t="shared" si="3"/>
        <v>10.4</v>
      </c>
      <c r="L62" s="662"/>
      <c r="M62" s="670"/>
      <c r="N62" s="671"/>
      <c r="O62" s="671"/>
      <c r="P62" s="671"/>
      <c r="Q62" s="671"/>
      <c r="R62" s="671"/>
      <c r="S62" s="671"/>
      <c r="T62" s="671"/>
      <c r="U62" s="655"/>
      <c r="V62" s="655"/>
    </row>
    <row r="63" spans="1:22" s="560" customFormat="1" ht="54" hidden="1" customHeight="1">
      <c r="A63" s="703" t="s">
        <v>551</v>
      </c>
      <c r="B63" s="565" t="s">
        <v>484</v>
      </c>
      <c r="C63" s="566">
        <f>RICON_Edelstahl!C131</f>
        <v>13.4</v>
      </c>
      <c r="D63" s="566">
        <f>IF(AND($F$50='RICON_RICON-S-EK_GIGANT_WALCO '!$V$18,'Load bearing values_RICON_EN'!$F$51=3),0,RICON_Edelstahl!F131)</f>
        <v>24.07553650554291</v>
      </c>
      <c r="E63" s="627">
        <f t="shared" si="4"/>
        <v>13.4</v>
      </c>
      <c r="F63" s="567">
        <f t="shared" si="3"/>
        <v>11.111786079481341</v>
      </c>
      <c r="G63" s="567">
        <f t="shared" si="3"/>
        <v>12.963750426061566</v>
      </c>
      <c r="H63" s="567">
        <f t="shared" si="3"/>
        <v>13.4</v>
      </c>
      <c r="I63" s="567">
        <f t="shared" si="3"/>
        <v>13.4</v>
      </c>
      <c r="J63" s="567">
        <f t="shared" si="3"/>
        <v>13.4</v>
      </c>
      <c r="K63" s="567">
        <f t="shared" si="3"/>
        <v>13.4</v>
      </c>
      <c r="L63" s="662"/>
      <c r="M63" s="670"/>
      <c r="N63" s="671"/>
      <c r="O63" s="671"/>
      <c r="P63" s="671"/>
      <c r="Q63" s="671"/>
      <c r="R63" s="671"/>
      <c r="S63" s="671"/>
      <c r="T63" s="671"/>
      <c r="U63" s="655"/>
      <c r="V63" s="655"/>
    </row>
    <row r="64" spans="1:22" s="560" customFormat="1" ht="54" hidden="1" customHeight="1">
      <c r="A64" s="703" t="s">
        <v>553</v>
      </c>
      <c r="B64" s="565" t="s">
        <v>485</v>
      </c>
      <c r="C64" s="566">
        <f>RICON_Edelstahl!C132</f>
        <v>13.4</v>
      </c>
      <c r="D64" s="566">
        <f>IF(AND($F$50='RICON_RICON-S-EK_GIGANT_WALCO '!$V$18,'Load bearing values_RICON_EN'!$F$51=3),0,RICON_Edelstahl!F132)</f>
        <v>29.765034936899362</v>
      </c>
      <c r="E64" s="627">
        <f t="shared" si="4"/>
        <v>13.4</v>
      </c>
      <c r="F64" s="567">
        <f t="shared" si="3"/>
        <v>13.4</v>
      </c>
      <c r="G64" s="567">
        <f t="shared" si="3"/>
        <v>13.4</v>
      </c>
      <c r="H64" s="567">
        <f t="shared" si="3"/>
        <v>13.4</v>
      </c>
      <c r="I64" s="567">
        <f t="shared" si="3"/>
        <v>13.4</v>
      </c>
      <c r="J64" s="567">
        <f t="shared" si="3"/>
        <v>13.4</v>
      </c>
      <c r="K64" s="567">
        <f t="shared" si="3"/>
        <v>13.4</v>
      </c>
      <c r="L64" s="662"/>
      <c r="M64" s="670"/>
      <c r="N64" s="671"/>
      <c r="O64" s="671"/>
      <c r="P64" s="671"/>
      <c r="Q64" s="671"/>
      <c r="R64" s="671"/>
      <c r="S64" s="671"/>
      <c r="T64" s="671"/>
      <c r="U64" s="655"/>
      <c r="V64" s="655"/>
    </row>
    <row r="65" spans="1:22" s="560" customFormat="1" ht="54" customHeight="1" thickBot="1">
      <c r="A65" s="706" t="s">
        <v>834</v>
      </c>
      <c r="B65" s="616" t="s">
        <v>920</v>
      </c>
      <c r="C65" s="617">
        <f>RICON_Edelstahl!C133</f>
        <v>13.4</v>
      </c>
      <c r="D65" s="617">
        <f>IF(AND($F$50='RICON_RICON-S-EK_GIGANT_WALCO '!$V$18,'Load bearing values_RICON_EN'!$F$51=3),0,RICON_Edelstahl!F133)</f>
        <v>35.454533368255817</v>
      </c>
      <c r="E65" s="633">
        <f t="shared" si="4"/>
        <v>13.4</v>
      </c>
      <c r="F65" s="618">
        <f t="shared" si="3"/>
        <v>13.4</v>
      </c>
      <c r="G65" s="618">
        <f t="shared" si="3"/>
        <v>13.4</v>
      </c>
      <c r="H65" s="618">
        <f t="shared" si="3"/>
        <v>13.4</v>
      </c>
      <c r="I65" s="618">
        <f t="shared" si="3"/>
        <v>13.4</v>
      </c>
      <c r="J65" s="618">
        <f t="shared" si="3"/>
        <v>13.4</v>
      </c>
      <c r="K65" s="618">
        <f t="shared" si="3"/>
        <v>13.4</v>
      </c>
      <c r="L65" s="662"/>
      <c r="M65" s="670"/>
      <c r="N65" s="671"/>
      <c r="O65" s="671"/>
      <c r="P65" s="671"/>
      <c r="Q65" s="671"/>
      <c r="R65" s="671"/>
      <c r="S65" s="671"/>
      <c r="T65" s="671"/>
      <c r="U65" s="655"/>
      <c r="V65" s="655"/>
    </row>
    <row r="66" spans="1:22" s="560" customFormat="1" ht="54" customHeight="1">
      <c r="A66" s="705" t="s">
        <v>835</v>
      </c>
      <c r="B66" s="575" t="s">
        <v>911</v>
      </c>
      <c r="C66" s="573">
        <f>RICON_Edelstahl!C134</f>
        <v>4.5</v>
      </c>
      <c r="D66" s="573">
        <f>IF(AND($F$50='RICON_RICON-S-EK_GIGANT_WALCO '!$V$18,'Load bearing values_RICON_EN'!$F$51=3),0,RICON_Edelstahl!F134)</f>
        <v>5.1804296195027444</v>
      </c>
      <c r="E66" s="629">
        <f t="shared" si="4"/>
        <v>4.5</v>
      </c>
      <c r="F66" s="574">
        <f t="shared" si="3"/>
        <v>2.3909675166935744</v>
      </c>
      <c r="G66" s="574">
        <f t="shared" si="3"/>
        <v>2.7894621028091695</v>
      </c>
      <c r="H66" s="574">
        <f t="shared" si="3"/>
        <v>3.1879566889247655</v>
      </c>
      <c r="I66" s="574">
        <f t="shared" si="3"/>
        <v>3.5864512750403614</v>
      </c>
      <c r="J66" s="574">
        <f t="shared" si="3"/>
        <v>3.9849458611559569</v>
      </c>
      <c r="K66" s="574">
        <f t="shared" si="3"/>
        <v>4.3834404472715534</v>
      </c>
      <c r="L66" s="662"/>
      <c r="M66" s="670"/>
      <c r="N66" s="671"/>
      <c r="O66" s="671"/>
      <c r="P66" s="671"/>
      <c r="Q66" s="671"/>
      <c r="R66" s="671"/>
      <c r="S66" s="671"/>
      <c r="T66" s="671"/>
      <c r="U66" s="655"/>
      <c r="V66" s="655"/>
    </row>
    <row r="67" spans="1:22" s="560" customFormat="1" ht="54" customHeight="1">
      <c r="A67" s="703" t="s">
        <v>836</v>
      </c>
      <c r="B67" s="565" t="s">
        <v>923</v>
      </c>
      <c r="C67" s="566">
        <f>RICON_Edelstahl!C135</f>
        <v>8.1999999999999993</v>
      </c>
      <c r="D67" s="566">
        <f>IF(AND($F$50='RICON_RICON-S-EK_GIGANT_WALCO '!$V$18,'Load bearing values_RICON_EN'!$F$51=3),0,RICON_Edelstahl!F135)</f>
        <v>7.5161100233272613</v>
      </c>
      <c r="E67" s="627">
        <f t="shared" si="4"/>
        <v>8.1999999999999993</v>
      </c>
      <c r="F67" s="567">
        <f t="shared" si="3"/>
        <v>3.4689738569202739</v>
      </c>
      <c r="G67" s="567">
        <f t="shared" si="3"/>
        <v>4.0471361664069869</v>
      </c>
      <c r="H67" s="567">
        <f t="shared" si="3"/>
        <v>4.6252984758936995</v>
      </c>
      <c r="I67" s="567">
        <f t="shared" si="3"/>
        <v>5.203460785380412</v>
      </c>
      <c r="J67" s="567">
        <f t="shared" si="3"/>
        <v>5.7816230948671237</v>
      </c>
      <c r="K67" s="567">
        <f t="shared" si="3"/>
        <v>6.3597854043538362</v>
      </c>
      <c r="L67" s="662"/>
      <c r="M67" s="670"/>
      <c r="N67" s="671"/>
      <c r="O67" s="671"/>
      <c r="P67" s="671"/>
      <c r="Q67" s="671"/>
      <c r="R67" s="671"/>
      <c r="S67" s="671"/>
      <c r="T67" s="671"/>
      <c r="U67" s="655"/>
      <c r="V67" s="655"/>
    </row>
    <row r="68" spans="1:22" s="560" customFormat="1" ht="54" customHeight="1">
      <c r="A68" s="703" t="s">
        <v>837</v>
      </c>
      <c r="B68" s="565" t="s">
        <v>913</v>
      </c>
      <c r="C68" s="566">
        <f>RICON_Edelstahl!C136</f>
        <v>10.4</v>
      </c>
      <c r="D68" s="566">
        <f>IF(AND($F$50='RICON_RICON-S-EK_GIGANT_WALCO '!$V$18,'Load bearing values_RICON_EN'!$F$51=3),0,RICON_Edelstahl!F136)</f>
        <v>10.360859239005489</v>
      </c>
      <c r="E68" s="627">
        <f t="shared" si="4"/>
        <v>10.4</v>
      </c>
      <c r="F68" s="567">
        <f t="shared" si="3"/>
        <v>4.7819350333871489</v>
      </c>
      <c r="G68" s="567">
        <f t="shared" si="3"/>
        <v>5.578924205618339</v>
      </c>
      <c r="H68" s="567">
        <f t="shared" si="3"/>
        <v>6.3759133778495309</v>
      </c>
      <c r="I68" s="567">
        <f t="shared" si="3"/>
        <v>7.1729025500807229</v>
      </c>
      <c r="J68" s="567">
        <f t="shared" si="3"/>
        <v>7.9698917223119139</v>
      </c>
      <c r="K68" s="567">
        <f t="shared" si="3"/>
        <v>8.7668808945431067</v>
      </c>
      <c r="L68" s="662"/>
      <c r="M68" s="670"/>
      <c r="N68" s="671"/>
      <c r="O68" s="671"/>
      <c r="P68" s="671"/>
      <c r="Q68" s="671"/>
      <c r="R68" s="671"/>
      <c r="S68" s="671"/>
      <c r="T68" s="671"/>
      <c r="U68" s="655"/>
      <c r="V68" s="655"/>
    </row>
    <row r="69" spans="1:22" s="560" customFormat="1" ht="54" customHeight="1">
      <c r="A69" s="703" t="s">
        <v>838</v>
      </c>
      <c r="B69" s="565" t="s">
        <v>914</v>
      </c>
      <c r="C69" s="566">
        <f>RICON_Edelstahl!C137</f>
        <v>13.4</v>
      </c>
      <c r="D69" s="566">
        <f>IF(AND($F$50='RICON_RICON-S-EK_GIGANT_WALCO '!$V$18,'Load bearing values_RICON_EN'!$F$51=3),0,RICON_Edelstahl!F137)</f>
        <v>13.205608454683714</v>
      </c>
      <c r="E69" s="627">
        <f t="shared" si="4"/>
        <v>13.4</v>
      </c>
      <c r="F69" s="567">
        <f t="shared" si="3"/>
        <v>6.0948962098540216</v>
      </c>
      <c r="G69" s="567">
        <f t="shared" si="3"/>
        <v>7.1107122448296911</v>
      </c>
      <c r="H69" s="567">
        <f t="shared" si="3"/>
        <v>8.1265282798053633</v>
      </c>
      <c r="I69" s="567">
        <f t="shared" si="3"/>
        <v>9.1423443147810328</v>
      </c>
      <c r="J69" s="567">
        <f t="shared" si="3"/>
        <v>10.158160349756702</v>
      </c>
      <c r="K69" s="567">
        <f t="shared" si="3"/>
        <v>11.173976384732375</v>
      </c>
      <c r="L69" s="662"/>
      <c r="M69" s="670"/>
      <c r="N69" s="671"/>
      <c r="O69" s="671"/>
      <c r="P69" s="671"/>
      <c r="Q69" s="671"/>
      <c r="R69" s="671"/>
      <c r="S69" s="671"/>
      <c r="T69" s="671"/>
      <c r="U69" s="655"/>
      <c r="V69" s="655"/>
    </row>
    <row r="70" spans="1:22" s="560" customFormat="1" ht="54" customHeight="1">
      <c r="A70" s="703" t="s">
        <v>839</v>
      </c>
      <c r="B70" s="565" t="s">
        <v>915</v>
      </c>
      <c r="C70" s="566">
        <f>RICON_Edelstahl!C138</f>
        <v>13.4</v>
      </c>
      <c r="D70" s="566">
        <f>IF(AND($F$50='RICON_RICON-S-EK_GIGANT_WALCO '!$V$18,'Load bearing values_RICON_EN'!$F$51=3),0,RICON_Edelstahl!F138)</f>
        <v>16.05035767036194</v>
      </c>
      <c r="E70" s="627">
        <f t="shared" si="4"/>
        <v>13.4</v>
      </c>
      <c r="F70" s="567">
        <f t="shared" si="3"/>
        <v>7.4078573863208952</v>
      </c>
      <c r="G70" s="567">
        <f t="shared" si="3"/>
        <v>8.6425002840410432</v>
      </c>
      <c r="H70" s="567">
        <f t="shared" si="3"/>
        <v>9.8771431817611948</v>
      </c>
      <c r="I70" s="567">
        <f t="shared" si="3"/>
        <v>11.111786079481343</v>
      </c>
      <c r="J70" s="567">
        <f t="shared" si="3"/>
        <v>12.346428977201493</v>
      </c>
      <c r="K70" s="567">
        <f t="shared" si="3"/>
        <v>13.4</v>
      </c>
      <c r="L70" s="662"/>
      <c r="M70" s="670"/>
      <c r="N70" s="671"/>
      <c r="O70" s="671"/>
      <c r="P70" s="671"/>
      <c r="Q70" s="671"/>
      <c r="R70" s="671"/>
      <c r="S70" s="671"/>
      <c r="T70" s="671"/>
      <c r="U70" s="655"/>
      <c r="V70" s="655"/>
    </row>
    <row r="71" spans="1:22" s="560" customFormat="1" ht="54" customHeight="1" thickBot="1">
      <c r="A71" s="704" t="s">
        <v>840</v>
      </c>
      <c r="B71" s="569" t="s">
        <v>916</v>
      </c>
      <c r="C71" s="570">
        <f>RICON_Edelstahl!C139</f>
        <v>13.4</v>
      </c>
      <c r="D71" s="570">
        <f>IF(AND($F$50='RICON_RICON-S-EK_GIGANT_WALCO '!$V$18,'Load bearing values_RICON_EN'!$F$51=3),0,RICON_Edelstahl!F139)</f>
        <v>18.895106886040168</v>
      </c>
      <c r="E71" s="628">
        <f t="shared" si="4"/>
        <v>13.4</v>
      </c>
      <c r="F71" s="571">
        <f t="shared" si="3"/>
        <v>8.7208185627877697</v>
      </c>
      <c r="G71" s="571">
        <f t="shared" si="3"/>
        <v>10.174288323252396</v>
      </c>
      <c r="H71" s="571">
        <f t="shared" si="3"/>
        <v>11.627758083717026</v>
      </c>
      <c r="I71" s="571">
        <f t="shared" si="3"/>
        <v>13.081227844181655</v>
      </c>
      <c r="J71" s="571">
        <f t="shared" si="3"/>
        <v>13.4</v>
      </c>
      <c r="K71" s="571">
        <f t="shared" si="3"/>
        <v>13.4</v>
      </c>
      <c r="L71" s="662"/>
      <c r="M71" s="670"/>
      <c r="N71" s="671"/>
      <c r="O71" s="671"/>
      <c r="P71" s="671"/>
      <c r="Q71" s="671"/>
      <c r="R71" s="671"/>
      <c r="S71" s="671"/>
      <c r="T71" s="671"/>
      <c r="U71" s="655"/>
      <c r="V71" s="655"/>
    </row>
    <row r="72" spans="1:22" s="560" customFormat="1" ht="54" customHeight="1" thickTop="1">
      <c r="A72" s="705" t="s">
        <v>841</v>
      </c>
      <c r="B72" s="575" t="s">
        <v>916</v>
      </c>
      <c r="C72" s="573">
        <f>RICON_Edelstahl!C140</f>
        <v>8.1999999999999993</v>
      </c>
      <c r="D72" s="573">
        <f>IF(AND($F$50='RICON_RICON-S-EK_GIGANT_WALCO '!$V$18,'Load bearing values_RICON_EN'!$F$51=3),0,RICON_Edelstahl!F140)</f>
        <v>12.696539642830006</v>
      </c>
      <c r="E72" s="629">
        <f t="shared" si="4"/>
        <v>8.1999999999999993</v>
      </c>
      <c r="F72" s="574">
        <f t="shared" si="3"/>
        <v>5.8599413736138484</v>
      </c>
      <c r="G72" s="574">
        <f t="shared" si="3"/>
        <v>6.8365982692161564</v>
      </c>
      <c r="H72" s="574">
        <f t="shared" si="3"/>
        <v>7.8132551648184654</v>
      </c>
      <c r="I72" s="574">
        <f t="shared" si="3"/>
        <v>8.1999999999999993</v>
      </c>
      <c r="J72" s="574">
        <f t="shared" si="3"/>
        <v>8.1999999999999993</v>
      </c>
      <c r="K72" s="574">
        <f t="shared" si="3"/>
        <v>8.1999999999999993</v>
      </c>
      <c r="L72" s="662"/>
      <c r="M72" s="670"/>
      <c r="N72" s="671"/>
      <c r="O72" s="671"/>
      <c r="P72" s="671"/>
      <c r="Q72" s="671"/>
      <c r="R72" s="671"/>
      <c r="S72" s="671"/>
      <c r="T72" s="671"/>
      <c r="U72" s="655"/>
      <c r="V72" s="655"/>
    </row>
    <row r="73" spans="1:22" s="560" customFormat="1" ht="54" customHeight="1">
      <c r="A73" s="703" t="s">
        <v>842</v>
      </c>
      <c r="B73" s="565" t="s">
        <v>918</v>
      </c>
      <c r="C73" s="566">
        <f>RICON_Edelstahl!C141</f>
        <v>10.4</v>
      </c>
      <c r="D73" s="566">
        <f>IF(AND($F$50='RICON_RICON-S-EK_GIGANT_WALCO '!$V$18,'Load bearing values_RICON_EN'!$F$51=3),0,RICON_Edelstahl!F141)</f>
        <v>18.386038074186459</v>
      </c>
      <c r="E73" s="627">
        <f t="shared" si="4"/>
        <v>10.4</v>
      </c>
      <c r="F73" s="567">
        <f t="shared" si="3"/>
        <v>8.4858637265475956</v>
      </c>
      <c r="G73" s="567">
        <f t="shared" si="3"/>
        <v>9.9001743476388615</v>
      </c>
      <c r="H73" s="567">
        <f t="shared" si="3"/>
        <v>10.4</v>
      </c>
      <c r="I73" s="567">
        <f t="shared" si="3"/>
        <v>10.4</v>
      </c>
      <c r="J73" s="567">
        <f t="shared" si="3"/>
        <v>10.4</v>
      </c>
      <c r="K73" s="567">
        <f t="shared" si="3"/>
        <v>10.4</v>
      </c>
      <c r="L73" s="662"/>
      <c r="M73" s="670"/>
      <c r="N73" s="671"/>
      <c r="O73" s="671"/>
      <c r="P73" s="671"/>
      <c r="Q73" s="671"/>
      <c r="R73" s="671"/>
      <c r="S73" s="671"/>
      <c r="T73" s="671"/>
      <c r="U73" s="655"/>
      <c r="V73" s="655"/>
    </row>
    <row r="74" spans="1:22" s="560" customFormat="1" ht="54" customHeight="1">
      <c r="A74" s="703" t="s">
        <v>843</v>
      </c>
      <c r="B74" s="565" t="s">
        <v>917</v>
      </c>
      <c r="C74" s="566">
        <f>RICON_Edelstahl!C142</f>
        <v>13.4</v>
      </c>
      <c r="D74" s="566">
        <f>IF(AND($F$50='RICON_RICON-S-EK_GIGANT_WALCO '!$V$18,'Load bearing values_RICON_EN'!$F$51=3),0,RICON_Edelstahl!F142)</f>
        <v>24.07553650554291</v>
      </c>
      <c r="E74" s="627">
        <f t="shared" si="4"/>
        <v>13.4</v>
      </c>
      <c r="F74" s="567">
        <f t="shared" si="3"/>
        <v>11.111786079481341</v>
      </c>
      <c r="G74" s="567">
        <f t="shared" si="3"/>
        <v>12.963750426061566</v>
      </c>
      <c r="H74" s="567">
        <f t="shared" si="3"/>
        <v>13.4</v>
      </c>
      <c r="I74" s="567">
        <f t="shared" si="3"/>
        <v>13.4</v>
      </c>
      <c r="J74" s="567">
        <f t="shared" si="3"/>
        <v>13.4</v>
      </c>
      <c r="K74" s="567">
        <f t="shared" si="3"/>
        <v>13.4</v>
      </c>
      <c r="L74" s="662"/>
      <c r="M74" s="670"/>
      <c r="N74" s="671"/>
      <c r="O74" s="671"/>
      <c r="P74" s="671"/>
      <c r="Q74" s="671"/>
      <c r="R74" s="671"/>
      <c r="S74" s="671"/>
      <c r="T74" s="671"/>
      <c r="U74" s="655"/>
      <c r="V74" s="655"/>
    </row>
    <row r="75" spans="1:22" s="560" customFormat="1" ht="54" customHeight="1">
      <c r="A75" s="703" t="s">
        <v>844</v>
      </c>
      <c r="B75" s="565" t="s">
        <v>919</v>
      </c>
      <c r="C75" s="566">
        <f>RICON_Edelstahl!C143</f>
        <v>13.4</v>
      </c>
      <c r="D75" s="566">
        <f>IF(AND($F$50='RICON_RICON-S-EK_GIGANT_WALCO '!$V$18,'Load bearing values_RICON_EN'!$F$51=3),0,RICON_Edelstahl!F143)</f>
        <v>29.765034936899362</v>
      </c>
      <c r="E75" s="627">
        <f t="shared" si="4"/>
        <v>13.4</v>
      </c>
      <c r="F75" s="567">
        <f t="shared" si="3"/>
        <v>13.4</v>
      </c>
      <c r="G75" s="567">
        <f t="shared" si="3"/>
        <v>13.4</v>
      </c>
      <c r="H75" s="567">
        <f t="shared" si="3"/>
        <v>13.4</v>
      </c>
      <c r="I75" s="567">
        <f t="shared" si="3"/>
        <v>13.4</v>
      </c>
      <c r="J75" s="567">
        <f t="shared" si="3"/>
        <v>13.4</v>
      </c>
      <c r="K75" s="567">
        <f t="shared" si="3"/>
        <v>13.4</v>
      </c>
      <c r="L75" s="662"/>
      <c r="M75" s="670"/>
      <c r="N75" s="671"/>
      <c r="O75" s="671"/>
      <c r="P75" s="671"/>
      <c r="Q75" s="671"/>
      <c r="R75" s="671"/>
      <c r="S75" s="671"/>
      <c r="T75" s="671"/>
      <c r="U75" s="655"/>
      <c r="V75" s="655"/>
    </row>
    <row r="76" spans="1:22" s="560" customFormat="1" ht="54" customHeight="1" thickBot="1">
      <c r="A76" s="706" t="s">
        <v>845</v>
      </c>
      <c r="B76" s="616" t="s">
        <v>920</v>
      </c>
      <c r="C76" s="617">
        <f>RICON_Edelstahl!C144</f>
        <v>13.4</v>
      </c>
      <c r="D76" s="617">
        <f>IF(AND($F$50='RICON_RICON-S-EK_GIGANT_WALCO '!$V$18,'Load bearing values_RICON_EN'!$F$51=3),0,RICON_Edelstahl!F144)</f>
        <v>35.454533368255817</v>
      </c>
      <c r="E76" s="633">
        <f t="shared" si="4"/>
        <v>13.4</v>
      </c>
      <c r="F76" s="618">
        <f t="shared" si="3"/>
        <v>13.4</v>
      </c>
      <c r="G76" s="618">
        <f t="shared" si="3"/>
        <v>13.4</v>
      </c>
      <c r="H76" s="618">
        <f t="shared" si="3"/>
        <v>13.4</v>
      </c>
      <c r="I76" s="618">
        <f t="shared" si="3"/>
        <v>13.4</v>
      </c>
      <c r="J76" s="618">
        <f t="shared" si="3"/>
        <v>13.4</v>
      </c>
      <c r="K76" s="618">
        <f t="shared" si="3"/>
        <v>13.4</v>
      </c>
      <c r="L76" s="662"/>
      <c r="M76" s="670"/>
      <c r="N76" s="671"/>
      <c r="O76" s="671"/>
      <c r="P76" s="671"/>
      <c r="Q76" s="671"/>
      <c r="R76" s="671"/>
      <c r="S76" s="671"/>
      <c r="T76" s="671"/>
      <c r="U76" s="655"/>
      <c r="V76" s="655"/>
    </row>
    <row r="77" spans="1:22" s="560" customFormat="1" ht="54" hidden="1" customHeight="1">
      <c r="A77" s="707" t="s">
        <v>830</v>
      </c>
      <c r="B77" s="565" t="s">
        <v>794</v>
      </c>
      <c r="C77" s="566">
        <f>RICON_Edelstahl!C145</f>
        <v>10</v>
      </c>
      <c r="D77" s="566">
        <f>IF(AND($F$50='RICON_RICON-S-EK_GIGANT_WALCO '!$V$18,'Load bearing values_RICON_EN'!$F$51=3),0,RICON_Edelstahl!F145)</f>
        <v>7.5161100233272613</v>
      </c>
      <c r="E77" s="634">
        <f t="shared" ref="E77:E80" si="5">C77/1</f>
        <v>10</v>
      </c>
      <c r="F77" s="567">
        <f t="shared" si="3"/>
        <v>3.4689738569202739</v>
      </c>
      <c r="G77" s="567">
        <f t="shared" si="3"/>
        <v>4.0471361664069869</v>
      </c>
      <c r="H77" s="567">
        <f t="shared" si="3"/>
        <v>4.6252984758936995</v>
      </c>
      <c r="I77" s="567">
        <f t="shared" si="3"/>
        <v>5.203460785380412</v>
      </c>
      <c r="J77" s="567">
        <f t="shared" si="3"/>
        <v>5.7816230948671237</v>
      </c>
      <c r="K77" s="567">
        <f t="shared" si="3"/>
        <v>6.3597854043538362</v>
      </c>
      <c r="L77" s="662"/>
      <c r="M77" s="670"/>
      <c r="N77" s="671"/>
      <c r="O77" s="671"/>
      <c r="P77" s="671"/>
      <c r="Q77" s="671"/>
      <c r="R77" s="671"/>
      <c r="S77" s="671"/>
      <c r="T77" s="671"/>
      <c r="U77" s="655"/>
      <c r="V77" s="655"/>
    </row>
    <row r="78" spans="1:22" s="560" customFormat="1" ht="54" customHeight="1">
      <c r="A78" s="707" t="s">
        <v>846</v>
      </c>
      <c r="B78" s="565" t="s">
        <v>795</v>
      </c>
      <c r="C78" s="566">
        <f>RICON_Edelstahl!C146</f>
        <v>10</v>
      </c>
      <c r="D78" s="566">
        <f>IF(AND($F$50='RICON_RICON-S-EK_GIGANT_WALCO '!$V$18,'Load bearing values_RICON_EN'!$F$51=3),0,RICON_Edelstahl!F146)</f>
        <v>8.938484631166375</v>
      </c>
      <c r="E78" s="634">
        <f t="shared" si="5"/>
        <v>10</v>
      </c>
      <c r="F78" s="567">
        <f t="shared" si="3"/>
        <v>4.1254544451537116</v>
      </c>
      <c r="G78" s="567">
        <f t="shared" si="3"/>
        <v>4.8130301860126625</v>
      </c>
      <c r="H78" s="567">
        <f t="shared" si="3"/>
        <v>5.5006059268716152</v>
      </c>
      <c r="I78" s="567">
        <f t="shared" si="3"/>
        <v>6.1881816677305679</v>
      </c>
      <c r="J78" s="567">
        <f t="shared" si="3"/>
        <v>6.8757574085895188</v>
      </c>
      <c r="K78" s="567">
        <f t="shared" si="3"/>
        <v>7.5633331494484715</v>
      </c>
      <c r="L78" s="662"/>
      <c r="M78" s="670"/>
      <c r="N78" s="671"/>
      <c r="O78" s="671"/>
      <c r="P78" s="671"/>
      <c r="Q78" s="671"/>
      <c r="R78" s="671"/>
      <c r="S78" s="671"/>
      <c r="T78" s="671"/>
      <c r="U78" s="655"/>
      <c r="V78" s="655"/>
    </row>
    <row r="79" spans="1:22" s="560" customFormat="1" ht="54" hidden="1" customHeight="1">
      <c r="A79" s="707" t="s">
        <v>847</v>
      </c>
      <c r="B79" s="565" t="s">
        <v>796</v>
      </c>
      <c r="C79" s="566">
        <f>RICON_Edelstahl!C147</f>
        <v>10</v>
      </c>
      <c r="D79" s="566">
        <f>IF(AND($F$50='RICON_RICON-S-EK_GIGANT_WALCO '!$V$18,'Load bearing values_RICON_EN'!$F$51=3),0,RICON_Edelstahl!F147)</f>
        <v>8.938484631166375</v>
      </c>
      <c r="E79" s="634">
        <f t="shared" si="5"/>
        <v>10</v>
      </c>
      <c r="F79" s="567">
        <f t="shared" si="3"/>
        <v>4.1254544451537116</v>
      </c>
      <c r="G79" s="567">
        <f t="shared" si="3"/>
        <v>4.8130301860126625</v>
      </c>
      <c r="H79" s="567">
        <f t="shared" si="3"/>
        <v>5.5006059268716152</v>
      </c>
      <c r="I79" s="567">
        <f t="shared" si="3"/>
        <v>6.1881816677305679</v>
      </c>
      <c r="J79" s="567">
        <f t="shared" si="3"/>
        <v>6.8757574085895188</v>
      </c>
      <c r="K79" s="567">
        <f t="shared" si="3"/>
        <v>7.5633331494484715</v>
      </c>
      <c r="L79" s="662"/>
      <c r="M79" s="670"/>
      <c r="N79" s="671"/>
      <c r="O79" s="671"/>
      <c r="P79" s="671"/>
      <c r="Q79" s="671"/>
      <c r="R79" s="671"/>
      <c r="S79" s="671"/>
      <c r="T79" s="671"/>
      <c r="U79" s="655"/>
      <c r="V79" s="655"/>
    </row>
    <row r="80" spans="1:22" s="560" customFormat="1" ht="54" customHeight="1" thickBot="1">
      <c r="A80" s="708" t="s">
        <v>848</v>
      </c>
      <c r="B80" s="569" t="s">
        <v>797</v>
      </c>
      <c r="C80" s="570">
        <f>RICON_Edelstahl!C148</f>
        <v>10</v>
      </c>
      <c r="D80" s="570">
        <f>IF(AND($F$50='RICON_RICON-S-EK_GIGANT_WALCO '!$V$18,'Load bearing values_RICON_EN'!$F$51=3),0,RICON_Edelstahl!F148)</f>
        <v>10.360859239005489</v>
      </c>
      <c r="E80" s="642">
        <f t="shared" si="5"/>
        <v>10</v>
      </c>
      <c r="F80" s="571">
        <f t="shared" si="3"/>
        <v>4.7819350333871489</v>
      </c>
      <c r="G80" s="571">
        <f t="shared" si="3"/>
        <v>5.578924205618339</v>
      </c>
      <c r="H80" s="571">
        <f t="shared" si="3"/>
        <v>6.3759133778495309</v>
      </c>
      <c r="I80" s="571">
        <f t="shared" si="3"/>
        <v>7.1729025500807229</v>
      </c>
      <c r="J80" s="571">
        <f t="shared" si="3"/>
        <v>7.9698917223119139</v>
      </c>
      <c r="K80" s="571">
        <f t="shared" si="3"/>
        <v>8.7668808945431067</v>
      </c>
      <c r="L80" s="662"/>
      <c r="M80" s="670"/>
      <c r="N80" s="671"/>
      <c r="O80" s="671"/>
      <c r="P80" s="671"/>
      <c r="Q80" s="671"/>
      <c r="R80" s="671"/>
      <c r="S80" s="671"/>
      <c r="T80" s="671"/>
      <c r="U80" s="655"/>
      <c r="V80" s="655"/>
    </row>
    <row r="81" spans="1:22" s="560" customFormat="1" ht="54" customHeight="1" thickTop="1">
      <c r="A81" s="705" t="s">
        <v>849</v>
      </c>
      <c r="B81" s="575" t="s">
        <v>616</v>
      </c>
      <c r="C81" s="573">
        <f>RICON_Edelstahl!C149</f>
        <v>3.7</v>
      </c>
      <c r="D81" s="573">
        <f>IF(AND($F$50='RICON_RICON-S-EK_GIGANT_WALCO '!$V$18,'Load bearing values_RICON_EN'!$F$51=3),0,RICON_Edelstahl!F149)</f>
        <v>5.0646478158177981</v>
      </c>
      <c r="E81" s="629">
        <f t="shared" si="4"/>
        <v>3.7</v>
      </c>
      <c r="F81" s="574">
        <f t="shared" si="3"/>
        <v>2.3375297611466759</v>
      </c>
      <c r="G81" s="574">
        <f t="shared" si="3"/>
        <v>2.7271180546711218</v>
      </c>
      <c r="H81" s="574">
        <f t="shared" si="3"/>
        <v>3.1167063481955686</v>
      </c>
      <c r="I81" s="574">
        <f t="shared" si="3"/>
        <v>3.5062946417200136</v>
      </c>
      <c r="J81" s="574">
        <f t="shared" si="3"/>
        <v>3.7</v>
      </c>
      <c r="K81" s="574">
        <f t="shared" si="3"/>
        <v>3.7</v>
      </c>
      <c r="L81" s="662"/>
      <c r="M81" s="670"/>
      <c r="N81" s="671"/>
      <c r="O81" s="671"/>
      <c r="P81" s="671"/>
      <c r="Q81" s="671"/>
      <c r="R81" s="671"/>
      <c r="S81" s="671"/>
      <c r="T81" s="671"/>
      <c r="U81" s="655"/>
      <c r="V81" s="655"/>
    </row>
    <row r="82" spans="1:22" s="560" customFormat="1" ht="54" customHeight="1">
      <c r="A82" s="705" t="s">
        <v>850</v>
      </c>
      <c r="B82" s="565" t="s">
        <v>615</v>
      </c>
      <c r="C82" s="566">
        <f>RICON_Edelstahl!C150</f>
        <v>3.7</v>
      </c>
      <c r="D82" s="566">
        <f>IF(AND($F$50='RICON_RICON-S-EK_GIGANT_WALCO '!$V$18,'Load bearing values_RICON_EN'!$F$51=3),0,RICON_Edelstahl!F150)</f>
        <v>5.0646478158177981</v>
      </c>
      <c r="E82" s="627">
        <f t="shared" si="4"/>
        <v>3.7</v>
      </c>
      <c r="F82" s="567">
        <f t="shared" si="3"/>
        <v>2.3375297611466759</v>
      </c>
      <c r="G82" s="567">
        <f t="shared" si="3"/>
        <v>2.7271180546711218</v>
      </c>
      <c r="H82" s="567">
        <f t="shared" si="3"/>
        <v>3.1167063481955686</v>
      </c>
      <c r="I82" s="567">
        <f t="shared" si="3"/>
        <v>3.5062946417200136</v>
      </c>
      <c r="J82" s="567">
        <f t="shared" si="3"/>
        <v>3.7</v>
      </c>
      <c r="K82" s="567">
        <f t="shared" si="3"/>
        <v>3.7</v>
      </c>
      <c r="L82" s="662"/>
      <c r="M82" s="670"/>
      <c r="N82" s="671"/>
      <c r="O82" s="671"/>
      <c r="P82" s="671"/>
      <c r="Q82" s="671"/>
      <c r="R82" s="671"/>
      <c r="S82" s="671"/>
      <c r="T82" s="671"/>
      <c r="U82" s="655"/>
      <c r="V82" s="655"/>
    </row>
    <row r="83" spans="1:22" s="560" customFormat="1">
      <c r="A83" s="670"/>
      <c r="B83" s="682"/>
      <c r="C83" s="683"/>
      <c r="D83" s="683"/>
      <c r="E83" s="631"/>
      <c r="F83" s="671"/>
      <c r="G83" s="671"/>
      <c r="H83" s="671"/>
      <c r="I83" s="671"/>
      <c r="J83" s="671"/>
      <c r="K83" s="671"/>
      <c r="L83" s="671"/>
      <c r="M83" s="670"/>
      <c r="N83" s="671"/>
      <c r="O83" s="671"/>
      <c r="P83" s="671"/>
      <c r="Q83" s="671"/>
      <c r="R83" s="671"/>
      <c r="S83" s="671"/>
      <c r="T83" s="671"/>
      <c r="U83" s="655"/>
      <c r="V83" s="655"/>
    </row>
    <row r="84" spans="1:22" s="560" customFormat="1">
      <c r="A84" s="681" t="s">
        <v>829</v>
      </c>
      <c r="B84" s="680" t="s">
        <v>898</v>
      </c>
      <c r="C84" s="683"/>
      <c r="D84" s="683"/>
      <c r="E84" s="631"/>
      <c r="F84" s="671"/>
      <c r="G84" s="671"/>
      <c r="H84" s="671"/>
      <c r="I84" s="671"/>
      <c r="J84" s="671"/>
      <c r="K84" s="671"/>
      <c r="L84" s="671"/>
      <c r="M84" s="670"/>
      <c r="N84" s="671"/>
      <c r="O84" s="671"/>
      <c r="P84" s="671"/>
      <c r="Q84" s="671"/>
      <c r="R84" s="671"/>
      <c r="S84" s="671"/>
      <c r="T84" s="671"/>
      <c r="U84" s="655"/>
      <c r="V84" s="655"/>
    </row>
    <row r="85" spans="1:22" s="560" customFormat="1">
      <c r="A85" s="681"/>
      <c r="B85" s="680"/>
      <c r="C85" s="683"/>
      <c r="D85" s="683"/>
      <c r="E85" s="631"/>
      <c r="F85" s="671"/>
      <c r="G85" s="671"/>
      <c r="H85" s="671"/>
      <c r="I85" s="671"/>
      <c r="J85" s="671"/>
      <c r="K85" s="671"/>
      <c r="L85" s="671"/>
      <c r="M85" s="670"/>
      <c r="N85" s="671"/>
      <c r="O85" s="671"/>
      <c r="P85" s="671"/>
      <c r="Q85" s="671"/>
      <c r="R85" s="671"/>
      <c r="S85" s="671"/>
      <c r="T85" s="671"/>
      <c r="U85" s="655"/>
      <c r="V85" s="655"/>
    </row>
    <row r="86" spans="1:22" s="560" customFormat="1" ht="21" customHeight="1">
      <c r="A86" s="829" t="s">
        <v>896</v>
      </c>
      <c r="B86" s="829"/>
      <c r="C86" s="829"/>
      <c r="D86" s="829"/>
      <c r="E86" s="829"/>
      <c r="F86" s="829"/>
      <c r="G86" s="829"/>
      <c r="H86" s="829"/>
      <c r="I86" s="829"/>
      <c r="J86" s="829"/>
      <c r="K86" s="829"/>
      <c r="L86" s="671"/>
      <c r="M86" s="670"/>
      <c r="N86" s="671"/>
      <c r="O86" s="671"/>
      <c r="P86" s="671"/>
      <c r="Q86" s="671"/>
      <c r="R86" s="671"/>
      <c r="S86" s="671"/>
      <c r="T86" s="671"/>
      <c r="U86" s="655"/>
      <c r="V86" s="655"/>
    </row>
    <row r="87" spans="1:22" s="560" customFormat="1" ht="13.5" thickBot="1">
      <c r="A87" s="807"/>
      <c r="B87" s="807"/>
      <c r="C87" s="807"/>
      <c r="D87" s="807"/>
      <c r="E87" s="807"/>
      <c r="F87" s="807"/>
      <c r="G87" s="807"/>
      <c r="H87" s="807"/>
      <c r="I87" s="807"/>
      <c r="J87" s="807"/>
      <c r="K87" s="807"/>
      <c r="L87" s="671"/>
      <c r="M87" s="670"/>
      <c r="N87" s="671"/>
      <c r="O87" s="671"/>
      <c r="P87" s="671"/>
      <c r="Q87" s="671"/>
      <c r="R87" s="671"/>
      <c r="S87" s="671"/>
      <c r="T87" s="671"/>
      <c r="U87" s="655"/>
      <c r="V87" s="655"/>
    </row>
    <row r="88" spans="1:22" ht="33.75">
      <c r="A88" s="811" t="s">
        <v>745</v>
      </c>
      <c r="B88" s="811"/>
      <c r="C88" s="805" t="s">
        <v>903</v>
      </c>
      <c r="D88" s="805"/>
      <c r="E88" s="805"/>
      <c r="F88" s="805"/>
      <c r="G88" s="805"/>
      <c r="H88" s="805"/>
      <c r="I88" s="805"/>
      <c r="J88" s="805"/>
      <c r="K88" s="805"/>
      <c r="L88" s="659"/>
      <c r="M88" s="833"/>
      <c r="N88" s="833"/>
      <c r="O88" s="833"/>
      <c r="P88" s="833"/>
      <c r="Q88" s="833"/>
      <c r="R88" s="833"/>
      <c r="S88" s="833"/>
      <c r="T88" s="833"/>
      <c r="U88" s="3"/>
      <c r="V88" s="3"/>
    </row>
    <row r="89" spans="1:22" ht="21">
      <c r="A89" s="556" t="s">
        <v>673</v>
      </c>
      <c r="B89" s="541"/>
      <c r="C89" s="541"/>
      <c r="D89" s="541" t="s">
        <v>892</v>
      </c>
      <c r="E89" s="541"/>
      <c r="F89" s="599" t="s">
        <v>25</v>
      </c>
      <c r="H89" s="580" t="str">
        <f>VLOOKUP(F89,'RICON_RICON-S-EK_GIGANT_WALCO '!P632:S639,4,FALSE)</f>
        <v>Glued laminated timber - homogenous</v>
      </c>
      <c r="I89" s="541"/>
      <c r="L89" s="3"/>
      <c r="M89" s="833"/>
      <c r="N89" s="833"/>
      <c r="O89" s="833"/>
      <c r="P89" s="833"/>
      <c r="Q89" s="833"/>
      <c r="R89" s="833"/>
      <c r="S89" s="833"/>
      <c r="T89" s="833"/>
      <c r="U89" s="3"/>
      <c r="V89" s="3"/>
    </row>
    <row r="90" spans="1:22" ht="21">
      <c r="A90" s="556" t="s">
        <v>674</v>
      </c>
      <c r="D90" s="578" t="s">
        <v>672</v>
      </c>
      <c r="E90" s="578"/>
      <c r="F90" s="599">
        <v>1</v>
      </c>
      <c r="H90" s="579" t="str">
        <f>'RICON_RICON-S-EK_GIGANT_WALCO '!X21</f>
        <v>Indoor</v>
      </c>
      <c r="L90" s="3"/>
      <c r="M90" s="654"/>
      <c r="N90" s="3"/>
      <c r="O90" s="3"/>
      <c r="P90" s="3"/>
      <c r="Q90" s="3"/>
      <c r="R90" s="3"/>
      <c r="S90" s="3"/>
      <c r="T90" s="3"/>
      <c r="U90" s="3"/>
      <c r="V90" s="3"/>
    </row>
    <row r="91" spans="1:22" ht="18.75">
      <c r="B91" s="541"/>
      <c r="C91" s="541"/>
      <c r="D91" s="541"/>
      <c r="E91" s="541"/>
      <c r="F91" s="541"/>
      <c r="G91" s="541"/>
      <c r="H91" s="541"/>
      <c r="I91" s="541"/>
      <c r="J91" s="541"/>
      <c r="L91" s="3"/>
      <c r="M91" s="654"/>
      <c r="N91" s="3"/>
      <c r="O91" s="3"/>
      <c r="P91" s="3"/>
      <c r="Q91" s="3"/>
      <c r="R91" s="3"/>
      <c r="S91" s="3"/>
      <c r="T91" s="3"/>
      <c r="U91" s="3"/>
      <c r="V91" s="3"/>
    </row>
    <row r="92" spans="1:22" ht="18.75">
      <c r="A92" s="509"/>
      <c r="B92" s="509"/>
      <c r="L92" s="3"/>
      <c r="M92" s="654"/>
      <c r="N92" s="3"/>
      <c r="O92" s="3"/>
      <c r="P92" s="3"/>
      <c r="Q92" s="3"/>
      <c r="R92" s="3"/>
      <c r="S92" s="3"/>
      <c r="T92" s="3"/>
      <c r="U92" s="3"/>
      <c r="V92" s="3"/>
    </row>
    <row r="93" spans="1:22" ht="18.75">
      <c r="A93" s="509"/>
      <c r="B93" s="509"/>
      <c r="L93" s="3"/>
      <c r="M93" s="654"/>
      <c r="N93" s="3"/>
      <c r="O93" s="3"/>
      <c r="P93" s="3"/>
      <c r="Q93" s="3"/>
      <c r="R93" s="3"/>
      <c r="S93" s="3"/>
      <c r="T93" s="3"/>
      <c r="U93" s="3"/>
      <c r="V93" s="3"/>
    </row>
    <row r="94" spans="1:22" ht="18.75">
      <c r="A94" s="509"/>
      <c r="B94" s="509"/>
      <c r="L94" s="3"/>
      <c r="M94" s="654"/>
      <c r="N94" s="3"/>
      <c r="O94" s="3"/>
      <c r="P94" s="3"/>
      <c r="Q94" s="3"/>
      <c r="R94" s="3"/>
      <c r="S94" s="3"/>
      <c r="T94" s="3"/>
      <c r="U94" s="3"/>
      <c r="V94" s="3"/>
    </row>
    <row r="95" spans="1:22" ht="18.75">
      <c r="A95" s="509"/>
      <c r="B95" s="509"/>
      <c r="L95" s="3"/>
      <c r="M95" s="654"/>
      <c r="N95" s="3"/>
      <c r="O95" s="3"/>
      <c r="P95" s="3"/>
      <c r="Q95" s="3"/>
      <c r="R95" s="3"/>
      <c r="S95" s="3"/>
      <c r="T95" s="3"/>
      <c r="U95" s="3"/>
      <c r="V95" s="3"/>
    </row>
    <row r="96" spans="1:22" ht="18.75">
      <c r="A96" s="509"/>
      <c r="B96" s="509"/>
      <c r="L96" s="3"/>
      <c r="M96" s="654"/>
      <c r="N96" s="3"/>
      <c r="O96" s="3"/>
      <c r="P96" s="3"/>
      <c r="Q96" s="3"/>
      <c r="R96" s="3"/>
      <c r="S96" s="3"/>
      <c r="T96" s="3"/>
      <c r="U96" s="3"/>
      <c r="V96" s="3"/>
    </row>
    <row r="97" spans="1:22" ht="18.75">
      <c r="A97" s="509"/>
      <c r="B97" s="509"/>
      <c r="L97" s="3"/>
      <c r="M97" s="654"/>
      <c r="N97" s="3"/>
      <c r="O97" s="3"/>
      <c r="P97" s="3"/>
      <c r="Q97" s="3"/>
      <c r="R97" s="3"/>
      <c r="S97" s="3"/>
      <c r="T97" s="3"/>
      <c r="U97" s="3"/>
      <c r="V97" s="3"/>
    </row>
    <row r="98" spans="1:22" ht="18.75">
      <c r="A98" s="509"/>
      <c r="B98" s="509"/>
      <c r="L98" s="3"/>
      <c r="M98" s="654"/>
      <c r="N98" s="3"/>
      <c r="O98" s="3"/>
      <c r="P98" s="3"/>
      <c r="Q98" s="3"/>
      <c r="R98" s="3"/>
      <c r="S98" s="3"/>
      <c r="T98" s="3"/>
      <c r="U98" s="3"/>
      <c r="V98" s="3"/>
    </row>
    <row r="99" spans="1:22" ht="18.75">
      <c r="A99" s="509"/>
      <c r="B99" s="509"/>
      <c r="L99" s="3"/>
      <c r="M99" s="654"/>
      <c r="N99" s="3"/>
      <c r="O99" s="3"/>
      <c r="P99" s="3"/>
      <c r="Q99" s="3"/>
      <c r="R99" s="3"/>
      <c r="S99" s="3"/>
      <c r="T99" s="3"/>
      <c r="U99" s="3"/>
      <c r="V99" s="3"/>
    </row>
    <row r="100" spans="1:22" ht="18.75">
      <c r="A100" s="509"/>
      <c r="B100" s="509"/>
      <c r="L100" s="3"/>
      <c r="M100" s="654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8.75">
      <c r="A101" s="509"/>
      <c r="B101" s="509"/>
      <c r="L101" s="3"/>
      <c r="M101" s="654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8.75">
      <c r="A102" s="509"/>
      <c r="B102" s="509"/>
      <c r="L102" s="3"/>
      <c r="M102" s="654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21">
      <c r="A103" s="506"/>
      <c r="B103" s="506"/>
      <c r="L103" s="3"/>
      <c r="M103" s="665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21">
      <c r="A104" s="699" t="s">
        <v>899</v>
      </c>
      <c r="B104" s="506"/>
      <c r="C104" s="830" t="s">
        <v>900</v>
      </c>
      <c r="D104" s="830"/>
      <c r="E104" s="828" t="s">
        <v>901</v>
      </c>
      <c r="F104" s="828"/>
      <c r="G104" s="828"/>
      <c r="L104" s="3"/>
      <c r="M104" s="665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21">
      <c r="A105" s="506"/>
      <c r="B105" s="506"/>
      <c r="C105" s="831"/>
      <c r="D105" s="831"/>
      <c r="E105" s="832"/>
      <c r="F105" s="832"/>
      <c r="G105" s="832"/>
      <c r="L105" s="3"/>
      <c r="M105" s="665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8">
      <c r="A106" s="4" t="s">
        <v>2</v>
      </c>
      <c r="B106" s="799" t="s">
        <v>614</v>
      </c>
      <c r="C106" s="840" t="s">
        <v>450</v>
      </c>
      <c r="D106" s="840"/>
      <c r="E106" s="813" t="str">
        <f>"Design values F2,Rd for "&amp;F89&amp;" [kN]"</f>
        <v>Design values F2,Rd for GL24h [kN]</v>
      </c>
      <c r="F106" s="814"/>
      <c r="G106" s="814"/>
      <c r="H106" s="602" t="s">
        <v>690</v>
      </c>
      <c r="I106" s="844" t="s">
        <v>783</v>
      </c>
      <c r="J106" s="845"/>
      <c r="L106" s="3"/>
      <c r="M106" s="3"/>
      <c r="N106" s="834"/>
      <c r="O106" s="834"/>
      <c r="P106" s="762"/>
      <c r="Q106" s="762"/>
      <c r="R106" s="762"/>
      <c r="S106" s="388"/>
      <c r="T106" s="846"/>
      <c r="U106" s="846"/>
      <c r="V106" s="3"/>
    </row>
    <row r="107" spans="1:22" ht="15" customHeight="1">
      <c r="A107" s="511" t="s">
        <v>728</v>
      </c>
      <c r="B107" s="800"/>
      <c r="C107" s="587" t="s">
        <v>456</v>
      </c>
      <c r="D107" s="587" t="s">
        <v>457</v>
      </c>
      <c r="E107" s="749" t="s">
        <v>456</v>
      </c>
      <c r="F107" s="751"/>
      <c r="G107" s="750" t="s">
        <v>457</v>
      </c>
      <c r="H107" s="751"/>
      <c r="I107" s="847" t="s">
        <v>454</v>
      </c>
      <c r="J107" s="847" t="s">
        <v>910</v>
      </c>
      <c r="L107" s="3"/>
      <c r="M107" s="3"/>
      <c r="N107" s="619"/>
      <c r="O107" s="619"/>
      <c r="P107" s="762"/>
      <c r="Q107" s="762"/>
      <c r="R107" s="762"/>
      <c r="S107" s="762"/>
      <c r="T107" s="846"/>
      <c r="U107" s="846"/>
      <c r="V107" s="3"/>
    </row>
    <row r="108" spans="1:22" ht="18">
      <c r="A108" s="8"/>
      <c r="B108" s="801"/>
      <c r="C108" s="587" t="s">
        <v>752</v>
      </c>
      <c r="D108" s="587" t="s">
        <v>752</v>
      </c>
      <c r="E108" s="588">
        <v>0.6</v>
      </c>
      <c r="F108" s="588">
        <v>0.9</v>
      </c>
      <c r="G108" s="588">
        <v>0.6</v>
      </c>
      <c r="H108" s="588">
        <v>0.9</v>
      </c>
      <c r="I108" s="847"/>
      <c r="J108" s="847"/>
      <c r="L108" s="3"/>
      <c r="M108" s="3"/>
      <c r="N108" s="3"/>
      <c r="O108" s="3"/>
      <c r="P108" s="666"/>
      <c r="Q108" s="666"/>
      <c r="R108" s="666"/>
      <c r="S108" s="666"/>
      <c r="T108" s="846"/>
      <c r="U108" s="846"/>
      <c r="V108" s="3"/>
    </row>
    <row r="109" spans="1:22" ht="45">
      <c r="A109" s="396" t="s">
        <v>818</v>
      </c>
      <c r="B109" s="523" t="s">
        <v>492</v>
      </c>
      <c r="C109" s="549">
        <f>'RICON_RICON-S-EK_GIGANT_WALCO '!H717</f>
        <v>0.68556196386955359</v>
      </c>
      <c r="D109" s="549">
        <f>'RICON_RICON-S-EK_GIGANT_WALCO '!I717</f>
        <v>4.6855619638695538</v>
      </c>
      <c r="E109" s="498">
        <f t="shared" ref="E109:F123" si="6">$C109*E$108/1.3</f>
        <v>0.31641321409364009</v>
      </c>
      <c r="F109" s="498">
        <f t="shared" si="6"/>
        <v>0.4746198211404602</v>
      </c>
      <c r="G109" s="498">
        <f t="shared" ref="G109:H123" si="7">$D109*G$108/1.3</f>
        <v>2.1625670602474862</v>
      </c>
      <c r="H109" s="498">
        <f t="shared" si="7"/>
        <v>3.2438505903712298</v>
      </c>
      <c r="I109" s="608">
        <f>E109*200/1.35</f>
        <v>46.876031717576311</v>
      </c>
      <c r="J109" s="608">
        <f t="shared" ref="J109:J123" si="8">G109*200/1.35</f>
        <v>320.38030522184977</v>
      </c>
      <c r="L109" s="3"/>
      <c r="M109" s="418"/>
      <c r="N109" s="508"/>
      <c r="O109" s="508"/>
      <c r="P109" s="508"/>
      <c r="Q109" s="508"/>
      <c r="R109" s="508"/>
      <c r="S109" s="508"/>
      <c r="T109" s="672"/>
      <c r="U109" s="672"/>
      <c r="V109" s="3"/>
    </row>
    <row r="110" spans="1:22" ht="45">
      <c r="A110" s="396" t="s">
        <v>819</v>
      </c>
      <c r="B110" s="523" t="s">
        <v>493</v>
      </c>
      <c r="C110" s="549">
        <f>'RICON_RICON-S-EK_GIGANT_WALCO '!H718</f>
        <v>0.93004458531057144</v>
      </c>
      <c r="D110" s="549">
        <f>'RICON_RICON-S-EK_GIGANT_WALCO '!I718</f>
        <v>4.9300445853105712</v>
      </c>
      <c r="E110" s="498">
        <f t="shared" si="6"/>
        <v>0.42925134706641754</v>
      </c>
      <c r="F110" s="498">
        <f t="shared" si="6"/>
        <v>0.64387702059962637</v>
      </c>
      <c r="G110" s="498">
        <f t="shared" si="7"/>
        <v>2.2754051932202635</v>
      </c>
      <c r="H110" s="498">
        <f t="shared" si="7"/>
        <v>3.4131077898303959</v>
      </c>
      <c r="I110" s="608">
        <f t="shared" ref="I110:I123" si="9">E110*200/1.35</f>
        <v>63.59279215798778</v>
      </c>
      <c r="J110" s="608">
        <f t="shared" si="8"/>
        <v>337.09706566226123</v>
      </c>
      <c r="L110" s="3"/>
      <c r="M110" s="418"/>
      <c r="N110" s="508"/>
      <c r="O110" s="508"/>
      <c r="P110" s="508"/>
      <c r="Q110" s="508"/>
      <c r="R110" s="508"/>
      <c r="S110" s="508"/>
      <c r="T110" s="672"/>
      <c r="U110" s="672"/>
      <c r="V110" s="3"/>
    </row>
    <row r="111" spans="1:22" ht="45">
      <c r="A111" s="396" t="s">
        <v>820</v>
      </c>
      <c r="B111" s="523" t="s">
        <v>503</v>
      </c>
      <c r="C111" s="549">
        <f>'RICON_RICON-S-EK_GIGANT_WALCO '!H719</f>
        <v>1.4937800644343464</v>
      </c>
      <c r="D111" s="549">
        <f>'RICON_RICON-S-EK_GIGANT_WALCO '!I719</f>
        <v>5.4937800644343469</v>
      </c>
      <c r="E111" s="498">
        <f t="shared" si="6"/>
        <v>0.68943695281585216</v>
      </c>
      <c r="F111" s="498">
        <f t="shared" si="6"/>
        <v>1.0341554292237782</v>
      </c>
      <c r="G111" s="498">
        <f t="shared" si="7"/>
        <v>2.5355907989696984</v>
      </c>
      <c r="H111" s="498">
        <f t="shared" si="7"/>
        <v>3.8033861984545481</v>
      </c>
      <c r="I111" s="608">
        <f t="shared" si="9"/>
        <v>102.13880782457069</v>
      </c>
      <c r="J111" s="608">
        <f t="shared" si="8"/>
        <v>375.64308132884418</v>
      </c>
      <c r="L111" s="3"/>
      <c r="M111" s="418"/>
      <c r="N111" s="508"/>
      <c r="O111" s="508"/>
      <c r="P111" s="508"/>
      <c r="Q111" s="508"/>
      <c r="R111" s="508"/>
      <c r="S111" s="508"/>
      <c r="T111" s="672"/>
      <c r="U111" s="672"/>
      <c r="V111" s="3"/>
    </row>
    <row r="112" spans="1:22" ht="45">
      <c r="A112" s="396" t="s">
        <v>821</v>
      </c>
      <c r="B112" s="523" t="s">
        <v>504</v>
      </c>
      <c r="C112" s="549">
        <f>'RICON_RICON-S-EK_GIGANT_WALCO '!H720</f>
        <v>2.0699476121956257</v>
      </c>
      <c r="D112" s="549">
        <f>'RICON_RICON-S-EK_GIGANT_WALCO '!I720</f>
        <v>6.0699476121956257</v>
      </c>
      <c r="E112" s="498">
        <f t="shared" si="6"/>
        <v>0.95536043639798107</v>
      </c>
      <c r="F112" s="498">
        <f t="shared" si="6"/>
        <v>1.4330406545969716</v>
      </c>
      <c r="G112" s="498">
        <f t="shared" si="7"/>
        <v>2.8015142825518269</v>
      </c>
      <c r="H112" s="498">
        <f t="shared" si="7"/>
        <v>4.2022714238277405</v>
      </c>
      <c r="I112" s="608">
        <f t="shared" si="9"/>
        <v>141.53487946636756</v>
      </c>
      <c r="J112" s="608">
        <f t="shared" si="8"/>
        <v>415.039152970641</v>
      </c>
      <c r="L112" s="3"/>
      <c r="M112" s="418"/>
      <c r="N112" s="508"/>
      <c r="O112" s="508"/>
      <c r="P112" s="508"/>
      <c r="Q112" s="508"/>
      <c r="R112" s="508"/>
      <c r="S112" s="508"/>
      <c r="T112" s="672"/>
      <c r="U112" s="672"/>
      <c r="V112" s="3"/>
    </row>
    <row r="113" spans="1:22" ht="45">
      <c r="A113" s="396" t="s">
        <v>822</v>
      </c>
      <c r="B113" s="523" t="s">
        <v>505</v>
      </c>
      <c r="C113" s="549">
        <f>'RICON_RICON-S-EK_GIGANT_WALCO '!H721</f>
        <v>2.6785451403230303</v>
      </c>
      <c r="D113" s="549">
        <f>'RICON_RICON-S-EK_GIGANT_WALCO '!I721</f>
        <v>6.6785451403230303</v>
      </c>
      <c r="E113" s="498">
        <f t="shared" si="6"/>
        <v>1.2362516032260138</v>
      </c>
      <c r="F113" s="498">
        <f t="shared" si="6"/>
        <v>1.8543774048390211</v>
      </c>
      <c r="G113" s="498">
        <f t="shared" si="7"/>
        <v>3.0824054493798596</v>
      </c>
      <c r="H113" s="498">
        <f t="shared" si="7"/>
        <v>4.6236081740697896</v>
      </c>
      <c r="I113" s="608">
        <f t="shared" si="9"/>
        <v>183.14838566311315</v>
      </c>
      <c r="J113" s="608">
        <f t="shared" si="8"/>
        <v>456.65265916738662</v>
      </c>
      <c r="L113" s="3"/>
      <c r="M113" s="418"/>
      <c r="N113" s="508"/>
      <c r="O113" s="508"/>
      <c r="P113" s="508"/>
      <c r="Q113" s="508"/>
      <c r="R113" s="508"/>
      <c r="S113" s="508"/>
      <c r="T113" s="672"/>
      <c r="U113" s="672"/>
      <c r="V113" s="3"/>
    </row>
    <row r="114" spans="1:22" ht="45.75" thickBot="1">
      <c r="A114" s="438" t="s">
        <v>823</v>
      </c>
      <c r="B114" s="535" t="s">
        <v>506</v>
      </c>
      <c r="C114" s="612">
        <f>'RICON_RICON-S-EK_GIGANT_WALCO '!H722</f>
        <v>3.3245358298367984</v>
      </c>
      <c r="D114" s="612">
        <f>'RICON_RICON-S-EK_GIGANT_WALCO '!I722</f>
        <v>7.3245358298367984</v>
      </c>
      <c r="E114" s="500">
        <f t="shared" si="6"/>
        <v>1.5344011522323684</v>
      </c>
      <c r="F114" s="500">
        <f t="shared" si="6"/>
        <v>2.3016017283485528</v>
      </c>
      <c r="G114" s="500">
        <f t="shared" si="7"/>
        <v>3.3805549983862146</v>
      </c>
      <c r="H114" s="500">
        <f t="shared" si="7"/>
        <v>5.070832497579322</v>
      </c>
      <c r="I114" s="614">
        <f t="shared" si="9"/>
        <v>227.31868921961009</v>
      </c>
      <c r="J114" s="614">
        <f t="shared" si="8"/>
        <v>500.82296272388362</v>
      </c>
      <c r="L114" s="3"/>
      <c r="M114" s="418"/>
      <c r="N114" s="508"/>
      <c r="O114" s="508"/>
      <c r="P114" s="508"/>
      <c r="Q114" s="508"/>
      <c r="R114" s="508"/>
      <c r="S114" s="508"/>
      <c r="T114" s="672"/>
      <c r="U114" s="672"/>
      <c r="V114" s="3"/>
    </row>
    <row r="115" spans="1:22" ht="45.75" thickTop="1">
      <c r="A115" s="411" t="s">
        <v>789</v>
      </c>
      <c r="B115" s="534" t="s">
        <v>503</v>
      </c>
      <c r="C115" s="611">
        <f>'RICON_RICON-S-EK_GIGANT_WALCO '!H723</f>
        <v>2.2940224981557469</v>
      </c>
      <c r="D115" s="611">
        <f>'RICON_RICON-S-EK_GIGANT_WALCO '!I723</f>
        <v>6.2940224981557469</v>
      </c>
      <c r="E115" s="499">
        <f t="shared" si="6"/>
        <v>1.0587796145334214</v>
      </c>
      <c r="F115" s="499">
        <f t="shared" si="6"/>
        <v>1.5881694218001323</v>
      </c>
      <c r="G115" s="499">
        <f t="shared" si="7"/>
        <v>2.9049334606872677</v>
      </c>
      <c r="H115" s="499">
        <f t="shared" si="7"/>
        <v>4.3574001910309015</v>
      </c>
      <c r="I115" s="613">
        <f t="shared" si="9"/>
        <v>156.85623919013648</v>
      </c>
      <c r="J115" s="613">
        <f t="shared" si="8"/>
        <v>430.36051269440998</v>
      </c>
      <c r="L115" s="3"/>
      <c r="M115" s="418"/>
      <c r="N115" s="508"/>
      <c r="O115" s="508"/>
      <c r="P115" s="508"/>
      <c r="Q115" s="508"/>
      <c r="R115" s="508"/>
      <c r="S115" s="508"/>
      <c r="T115" s="672"/>
      <c r="U115" s="672"/>
      <c r="V115" s="3"/>
    </row>
    <row r="116" spans="1:22" ht="45">
      <c r="A116" s="411" t="s">
        <v>753</v>
      </c>
      <c r="B116" s="534" t="s">
        <v>504</v>
      </c>
      <c r="C116" s="611">
        <f>'RICON_RICON-S-EK_GIGANT_WALCO '!H724</f>
        <v>3.1789097314502079</v>
      </c>
      <c r="D116" s="611">
        <f>'RICON_RICON-S-EK_GIGANT_WALCO '!I724</f>
        <v>7.1789097314502079</v>
      </c>
      <c r="E116" s="499">
        <f t="shared" si="6"/>
        <v>1.4671891068231728</v>
      </c>
      <c r="F116" s="499">
        <f t="shared" si="6"/>
        <v>2.2007836602347592</v>
      </c>
      <c r="G116" s="499">
        <f t="shared" si="7"/>
        <v>3.3133429529770186</v>
      </c>
      <c r="H116" s="499">
        <f t="shared" si="7"/>
        <v>4.9700144294655288</v>
      </c>
      <c r="I116" s="613">
        <f t="shared" ref="I116" si="10">E116*200/1.35</f>
        <v>217.36134915898853</v>
      </c>
      <c r="J116" s="613">
        <f t="shared" ref="J116" si="11">G116*200/1.35</f>
        <v>490.865622663262</v>
      </c>
      <c r="L116" s="3"/>
      <c r="M116" s="418"/>
      <c r="N116" s="508"/>
      <c r="O116" s="508"/>
      <c r="P116" s="508"/>
      <c r="Q116" s="508"/>
      <c r="R116" s="508"/>
      <c r="S116" s="508"/>
      <c r="T116" s="672"/>
      <c r="U116" s="672"/>
      <c r="V116" s="3"/>
    </row>
    <row r="117" spans="1:22" ht="45">
      <c r="A117" s="396" t="s">
        <v>749</v>
      </c>
      <c r="B117" s="523" t="s">
        <v>505</v>
      </c>
      <c r="C117" s="549">
        <f>'RICON_RICON-S-EK_GIGANT_WALCO '!H725</f>
        <v>4.1135329443476287</v>
      </c>
      <c r="D117" s="549">
        <f>'RICON_RICON-S-EK_GIGANT_WALCO '!I725</f>
        <v>8.1135329443476287</v>
      </c>
      <c r="E117" s="498">
        <f t="shared" si="6"/>
        <v>1.8985536666219824</v>
      </c>
      <c r="F117" s="498">
        <f t="shared" si="6"/>
        <v>2.8478304999329738</v>
      </c>
      <c r="G117" s="498">
        <f t="shared" si="7"/>
        <v>3.744707512775828</v>
      </c>
      <c r="H117" s="498">
        <f t="shared" si="7"/>
        <v>5.6170612691637434</v>
      </c>
      <c r="I117" s="608">
        <f t="shared" si="9"/>
        <v>281.26720986992331</v>
      </c>
      <c r="J117" s="608">
        <f t="shared" si="8"/>
        <v>554.77148337419669</v>
      </c>
      <c r="L117" s="3"/>
      <c r="M117" s="667"/>
      <c r="N117" s="508"/>
      <c r="O117" s="508"/>
      <c r="P117" s="508"/>
      <c r="Q117" s="508"/>
      <c r="R117" s="508"/>
      <c r="S117" s="508"/>
      <c r="T117" s="672"/>
      <c r="U117" s="672"/>
      <c r="V117" s="3"/>
    </row>
    <row r="118" spans="1:22" ht="45.75" thickBot="1">
      <c r="A118" s="438" t="s">
        <v>750</v>
      </c>
      <c r="B118" s="535" t="s">
        <v>506</v>
      </c>
      <c r="C118" s="612">
        <f>'RICON_RICON-S-EK_GIGANT_WALCO '!H726</f>
        <v>5.1055236549138909</v>
      </c>
      <c r="D118" s="612">
        <f>'RICON_RICON-S-EK_GIGANT_WALCO '!I726</f>
        <v>9.1055236549138918</v>
      </c>
      <c r="E118" s="500">
        <f t="shared" si="6"/>
        <v>2.3563955330371802</v>
      </c>
      <c r="F118" s="500">
        <f t="shared" si="6"/>
        <v>3.5345932995557705</v>
      </c>
      <c r="G118" s="500">
        <f t="shared" si="7"/>
        <v>4.2025493791910264</v>
      </c>
      <c r="H118" s="500">
        <f t="shared" si="7"/>
        <v>6.3038240687865406</v>
      </c>
      <c r="I118" s="614">
        <f t="shared" si="9"/>
        <v>349.09563452402671</v>
      </c>
      <c r="J118" s="614">
        <f t="shared" si="8"/>
        <v>622.59990802830021</v>
      </c>
      <c r="L118" s="3"/>
      <c r="M118" s="667"/>
      <c r="N118" s="508"/>
      <c r="O118" s="508"/>
      <c r="P118" s="508"/>
      <c r="Q118" s="508"/>
      <c r="R118" s="508"/>
      <c r="S118" s="508"/>
      <c r="T118" s="672"/>
      <c r="U118" s="672"/>
      <c r="V118" s="3"/>
    </row>
    <row r="119" spans="1:22" ht="45.75" thickTop="1">
      <c r="A119" s="411" t="s">
        <v>824</v>
      </c>
      <c r="B119" s="534" t="s">
        <v>625</v>
      </c>
      <c r="C119" s="611">
        <f>'RICON_RICON-S-EK_GIGANT_WALCO '!H727</f>
        <v>2.8454065427374902</v>
      </c>
      <c r="D119" s="611">
        <f>'RICON_RICON-S-EK_GIGANT_WALCO '!I727</f>
        <v>6.8454065427374902</v>
      </c>
      <c r="E119" s="499">
        <f t="shared" si="6"/>
        <v>1.3132645581865339</v>
      </c>
      <c r="F119" s="499">
        <f t="shared" si="6"/>
        <v>1.9698968372798009</v>
      </c>
      <c r="G119" s="499">
        <f t="shared" si="7"/>
        <v>3.1594184043403799</v>
      </c>
      <c r="H119" s="499">
        <f t="shared" si="7"/>
        <v>4.7391276065105696</v>
      </c>
      <c r="I119" s="613">
        <f t="shared" si="9"/>
        <v>194.55771232393093</v>
      </c>
      <c r="J119" s="613">
        <f t="shared" si="8"/>
        <v>468.0619858282044</v>
      </c>
      <c r="L119" s="3"/>
      <c r="M119" s="418"/>
      <c r="N119" s="508"/>
      <c r="O119" s="508"/>
      <c r="P119" s="508"/>
      <c r="Q119" s="508"/>
      <c r="R119" s="508"/>
      <c r="S119" s="508"/>
      <c r="T119" s="672"/>
      <c r="U119" s="672"/>
      <c r="V119" s="3"/>
    </row>
    <row r="120" spans="1:22" ht="45">
      <c r="A120" s="396" t="s">
        <v>851</v>
      </c>
      <c r="B120" s="523" t="s">
        <v>626</v>
      </c>
      <c r="C120" s="549">
        <f>'RICON_RICON-S-EK_GIGANT_WALCO '!H728</f>
        <v>4.2725432285353833</v>
      </c>
      <c r="D120" s="549">
        <f>'RICON_RICON-S-EK_GIGANT_WALCO '!I728</f>
        <v>8.2725432285353833</v>
      </c>
      <c r="E120" s="498">
        <f t="shared" si="6"/>
        <v>1.9719430285547921</v>
      </c>
      <c r="F120" s="498">
        <f t="shared" si="6"/>
        <v>2.9579145428321882</v>
      </c>
      <c r="G120" s="498">
        <f t="shared" si="7"/>
        <v>3.8180968747086386</v>
      </c>
      <c r="H120" s="498">
        <f t="shared" si="7"/>
        <v>5.727145312062957</v>
      </c>
      <c r="I120" s="608">
        <f t="shared" si="9"/>
        <v>292.13970793404326</v>
      </c>
      <c r="J120" s="608">
        <f t="shared" si="8"/>
        <v>565.64398143831681</v>
      </c>
      <c r="L120" s="3"/>
      <c r="M120" s="418"/>
      <c r="N120" s="508"/>
      <c r="O120" s="508"/>
      <c r="P120" s="508"/>
      <c r="Q120" s="508"/>
      <c r="R120" s="508"/>
      <c r="S120" s="508"/>
      <c r="T120" s="672"/>
      <c r="U120" s="672"/>
      <c r="V120" s="3"/>
    </row>
    <row r="121" spans="1:22" ht="45">
      <c r="A121" s="396" t="s">
        <v>826</v>
      </c>
      <c r="B121" s="523" t="s">
        <v>627</v>
      </c>
      <c r="C121" s="549">
        <f>'RICON_RICON-S-EK_GIGANT_WALCO '!H729</f>
        <v>5.6346405643713657</v>
      </c>
      <c r="D121" s="549">
        <f>'RICON_RICON-S-EK_GIGANT_WALCO '!I729</f>
        <v>9.6346405643713666</v>
      </c>
      <c r="E121" s="498">
        <f t="shared" si="6"/>
        <v>2.6006033374021684</v>
      </c>
      <c r="F121" s="498">
        <f t="shared" si="6"/>
        <v>3.9009050061032533</v>
      </c>
      <c r="G121" s="498">
        <f t="shared" si="7"/>
        <v>4.4467571835560156</v>
      </c>
      <c r="H121" s="498">
        <f t="shared" si="7"/>
        <v>6.6701357753340238</v>
      </c>
      <c r="I121" s="608">
        <f t="shared" si="9"/>
        <v>385.2745685040249</v>
      </c>
      <c r="J121" s="608">
        <f t="shared" si="8"/>
        <v>658.77884200829851</v>
      </c>
      <c r="L121" s="3"/>
      <c r="M121" s="418"/>
      <c r="N121" s="508"/>
      <c r="O121" s="508"/>
      <c r="P121" s="508"/>
      <c r="Q121" s="508"/>
      <c r="R121" s="508"/>
      <c r="S121" s="508"/>
      <c r="T121" s="672"/>
      <c r="U121" s="672"/>
      <c r="V121" s="3"/>
    </row>
    <row r="122" spans="1:22" ht="45">
      <c r="A122" s="396" t="s">
        <v>827</v>
      </c>
      <c r="B122" s="523" t="s">
        <v>628</v>
      </c>
      <c r="C122" s="549">
        <f>'RICON_RICON-S-EK_GIGANT_WALCO '!H730</f>
        <v>5.1169638723882258</v>
      </c>
      <c r="D122" s="549">
        <f>'RICON_RICON-S-EK_GIGANT_WALCO '!I730</f>
        <v>9.1169638723882258</v>
      </c>
      <c r="E122" s="498">
        <f t="shared" si="6"/>
        <v>2.3616756334099502</v>
      </c>
      <c r="F122" s="498">
        <f t="shared" si="6"/>
        <v>3.5425134501149258</v>
      </c>
      <c r="G122" s="498">
        <f t="shared" si="7"/>
        <v>4.207829479563796</v>
      </c>
      <c r="H122" s="498">
        <f t="shared" si="7"/>
        <v>6.3117442193456954</v>
      </c>
      <c r="I122" s="608">
        <f t="shared" si="9"/>
        <v>349.87787161628893</v>
      </c>
      <c r="J122" s="608">
        <f t="shared" si="8"/>
        <v>623.38214512056231</v>
      </c>
      <c r="L122" s="3"/>
      <c r="M122" s="418"/>
      <c r="N122" s="508"/>
      <c r="O122" s="508"/>
      <c r="P122" s="508"/>
      <c r="Q122" s="508"/>
      <c r="R122" s="508"/>
      <c r="S122" s="508"/>
      <c r="T122" s="672"/>
      <c r="U122" s="672"/>
      <c r="V122" s="3"/>
    </row>
    <row r="123" spans="1:22" ht="45">
      <c r="A123" s="396" t="s">
        <v>852</v>
      </c>
      <c r="B123" s="523" t="s">
        <v>629</v>
      </c>
      <c r="C123" s="549">
        <f>'RICON_RICON-S-EK_GIGANT_WALCO '!H731</f>
        <v>4.6863960027681477</v>
      </c>
      <c r="D123" s="549">
        <f>'RICON_RICON-S-EK_GIGANT_WALCO '!I731</f>
        <v>8.6863960027681486</v>
      </c>
      <c r="E123" s="498">
        <f t="shared" si="6"/>
        <v>2.1629520012776062</v>
      </c>
      <c r="F123" s="498">
        <f t="shared" si="6"/>
        <v>3.2444280019164102</v>
      </c>
      <c r="G123" s="498">
        <f t="shared" si="7"/>
        <v>4.0091058474314529</v>
      </c>
      <c r="H123" s="498">
        <f t="shared" si="7"/>
        <v>6.0136587711471794</v>
      </c>
      <c r="I123" s="608">
        <f t="shared" si="9"/>
        <v>320.4373335226083</v>
      </c>
      <c r="J123" s="608">
        <f t="shared" si="8"/>
        <v>593.94160702688191</v>
      </c>
      <c r="L123" s="3"/>
      <c r="M123" s="418"/>
      <c r="N123" s="508"/>
      <c r="O123" s="508"/>
      <c r="P123" s="508"/>
      <c r="Q123" s="508"/>
      <c r="R123" s="508"/>
      <c r="S123" s="508"/>
      <c r="T123" s="672"/>
      <c r="U123" s="672"/>
      <c r="V123" s="3"/>
    </row>
    <row r="124" spans="1:22">
      <c r="L124" s="3"/>
    </row>
    <row r="125" spans="1:22">
      <c r="A125" s="681" t="s">
        <v>829</v>
      </c>
      <c r="B125" s="680" t="s">
        <v>898</v>
      </c>
      <c r="L125" s="3"/>
    </row>
    <row r="126" spans="1:22">
      <c r="L126" s="3"/>
    </row>
    <row r="127" spans="1:22" ht="18">
      <c r="A127" t="s">
        <v>902</v>
      </c>
      <c r="L127" s="3"/>
    </row>
    <row r="128" spans="1:22">
      <c r="L128" s="3"/>
    </row>
    <row r="129" spans="12:12">
      <c r="L129" s="3"/>
    </row>
    <row r="130" spans="12:12">
      <c r="L130" s="3"/>
    </row>
    <row r="131" spans="12:12">
      <c r="L131" s="3"/>
    </row>
    <row r="132" spans="12:12">
      <c r="L132" s="3"/>
    </row>
    <row r="133" spans="12:12">
      <c r="L133" s="3"/>
    </row>
    <row r="134" spans="12:12">
      <c r="L134" s="3"/>
    </row>
    <row r="135" spans="12:12">
      <c r="L135" s="3"/>
    </row>
    <row r="136" spans="12:12">
      <c r="L136" s="3"/>
    </row>
    <row r="137" spans="12:12">
      <c r="L137" s="3"/>
    </row>
    <row r="138" spans="12:12">
      <c r="L138" s="3"/>
    </row>
    <row r="139" spans="12:12">
      <c r="L139" s="3"/>
    </row>
    <row r="140" spans="12:12">
      <c r="L140" s="3"/>
    </row>
    <row r="141" spans="12:12">
      <c r="L141" s="3"/>
    </row>
    <row r="142" spans="12:12">
      <c r="L142" s="3"/>
    </row>
    <row r="143" spans="12:12">
      <c r="L143" s="3"/>
    </row>
    <row r="144" spans="12:12">
      <c r="L144" s="3"/>
    </row>
    <row r="145" spans="12:12">
      <c r="L145" s="3"/>
    </row>
  </sheetData>
  <sheetProtection algorithmName="SHA-512" hashValue="VsXvXu6/Y3JO8MDojQsoqs2kcKaQN/FPoAizItjNZfb976EA0iOa4O+Rz1RGCnqRXoV2C9gxO0W87AV4qBk2+A==" saltValue="11xMpHbS7cCgsdl88uHAOA==" spinCount="100000" sheet="1" objects="1" scenarios="1" selectLockedCells="1"/>
  <mergeCells count="44">
    <mergeCell ref="M88:T88"/>
    <mergeCell ref="M89:T89"/>
    <mergeCell ref="B106:B108"/>
    <mergeCell ref="C106:D106"/>
    <mergeCell ref="I106:J106"/>
    <mergeCell ref="T106:U106"/>
    <mergeCell ref="T107:T108"/>
    <mergeCell ref="U107:U108"/>
    <mergeCell ref="I107:I108"/>
    <mergeCell ref="J107:J108"/>
    <mergeCell ref="P107:Q107"/>
    <mergeCell ref="A1:K2"/>
    <mergeCell ref="M1:T2"/>
    <mergeCell ref="M5:T5"/>
    <mergeCell ref="C21:D21"/>
    <mergeCell ref="N21:O21"/>
    <mergeCell ref="P21:T21"/>
    <mergeCell ref="H3:I3"/>
    <mergeCell ref="J3:K3"/>
    <mergeCell ref="A19:B19"/>
    <mergeCell ref="C19:E19"/>
    <mergeCell ref="E21:E22"/>
    <mergeCell ref="F21:J21"/>
    <mergeCell ref="F53:J53"/>
    <mergeCell ref="E53:E54"/>
    <mergeCell ref="A47:K48"/>
    <mergeCell ref="A49:B49"/>
    <mergeCell ref="C53:D53"/>
    <mergeCell ref="D41:I42"/>
    <mergeCell ref="D43:I44"/>
    <mergeCell ref="R107:S107"/>
    <mergeCell ref="E107:F107"/>
    <mergeCell ref="G107:H107"/>
    <mergeCell ref="A86:K87"/>
    <mergeCell ref="C104:D105"/>
    <mergeCell ref="E104:G105"/>
    <mergeCell ref="M49:T49"/>
    <mergeCell ref="N53:O53"/>
    <mergeCell ref="P53:T53"/>
    <mergeCell ref="A88:B88"/>
    <mergeCell ref="C88:K88"/>
    <mergeCell ref="E106:G106"/>
    <mergeCell ref="N106:O106"/>
    <mergeCell ref="P106:R106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7" orientation="portrait" horizontalDpi="1200" verticalDpi="1200" r:id="rId1"/>
  <headerFooter scaleWithDoc="0">
    <oddHeader>&amp;L&amp;G</oddHeader>
    <oddFooter>&amp;L&amp;G</oddFooter>
  </headerFooter>
  <rowBreaks count="2" manualBreakCount="2">
    <brk id="46" max="10" man="1"/>
    <brk id="85" max="10" man="1"/>
  </rowBreaks>
  <colBreaks count="1" manualBreakCount="1">
    <brk id="11" max="104857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'RICON_RICON-S-EK_GIGANT_WALCO '!$P$632:$P$639</xm:f>
          </x14:formula1>
          <xm:sqref>F89</xm:sqref>
        </x14:dataValidation>
        <x14:dataValidation type="list" allowBlank="1" showInputMessage="1" showErrorMessage="1" xr:uid="{00000000-0002-0000-0700-000001000000}">
          <x14:formula1>
            <xm:f>'RICON_RICON-S-EK_GIGANT_WALCO '!$V$7:$V$18</xm:f>
          </x14:formula1>
          <xm:sqref>F50 F5</xm:sqref>
        </x14:dataValidation>
        <x14:dataValidation type="list" allowBlank="1" showInputMessage="1" showErrorMessage="1" xr:uid="{00000000-0002-0000-0700-000002000000}">
          <x14:formula1>
            <xm:f>'RICON_RICON-S-EK_GIGANT_WALCO '!$V$21:$V$23</xm:f>
          </x14:formula1>
          <xm:sqref>F51</xm:sqref>
        </x14:dataValidation>
        <x14:dataValidation type="list" allowBlank="1" showInputMessage="1" showErrorMessage="1" xr:uid="{00000000-0002-0000-0700-000003000000}">
          <x14:formula1>
            <xm:f>'RICON_RICON-S-EK_GIGANT_WALCO '!$V$21:$V$22</xm:f>
          </x14:formula1>
          <xm:sqref>F6</xm:sqref>
        </x14:dataValidation>
        <x14:dataValidation type="list" allowBlank="1" showInputMessage="1" showErrorMessage="1" xr:uid="{00000000-0002-0000-0700-000004000000}">
          <x14:formula1>
            <xm:f>'RICON_RICON-S-EK_GIGANT_WALCO '!$V$21</xm:f>
          </x14:formula1>
          <xm:sqref>F90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1"/>
  <sheetViews>
    <sheetView showGridLines="0" showRowColHeaders="0" showWhiteSpace="0" view="pageLayout" zoomScaleNormal="100" workbookViewId="0">
      <selection activeCell="E5" sqref="E5"/>
    </sheetView>
  </sheetViews>
  <sheetFormatPr baseColWidth="10" defaultRowHeight="15"/>
  <cols>
    <col min="1" max="1" width="27.42578125" customWidth="1"/>
    <col min="2" max="2" width="24.85546875" bestFit="1" customWidth="1"/>
    <col min="4" max="4" width="25" customWidth="1"/>
    <col min="10" max="10" width="13.140625" customWidth="1"/>
    <col min="12" max="12" width="27.42578125" hidden="1" customWidth="1"/>
    <col min="13" max="13" width="0" hidden="1" customWidth="1"/>
    <col min="14" max="14" width="13.7109375" hidden="1" customWidth="1"/>
    <col min="15" max="20" width="0" hidden="1" customWidth="1"/>
  </cols>
  <sheetData>
    <row r="1" spans="1:19" ht="21" customHeight="1">
      <c r="A1" s="806" t="s">
        <v>785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4" t="s">
        <v>444</v>
      </c>
      <c r="M1" s="804"/>
      <c r="N1" s="804"/>
      <c r="O1" s="804"/>
      <c r="P1" s="804"/>
      <c r="Q1" s="804"/>
      <c r="R1" s="804"/>
      <c r="S1" s="804"/>
    </row>
    <row r="2" spans="1:19" ht="21.6" customHeight="1" thickBot="1">
      <c r="A2" s="807"/>
      <c r="B2" s="807"/>
      <c r="C2" s="807"/>
      <c r="D2" s="807"/>
      <c r="E2" s="807"/>
      <c r="F2" s="807"/>
      <c r="G2" s="807"/>
      <c r="H2" s="807"/>
      <c r="I2" s="807"/>
      <c r="J2" s="807"/>
      <c r="K2" s="807"/>
      <c r="L2" s="804"/>
      <c r="M2" s="804"/>
      <c r="N2" s="804"/>
      <c r="O2" s="804"/>
      <c r="P2" s="804"/>
      <c r="Q2" s="804"/>
      <c r="R2" s="804"/>
      <c r="S2" s="804"/>
    </row>
    <row r="3" spans="1:19" ht="21.6" customHeight="1">
      <c r="A3" s="585"/>
      <c r="B3" s="585"/>
      <c r="C3" s="585"/>
      <c r="D3" s="585"/>
      <c r="E3" s="585"/>
      <c r="F3" s="585"/>
      <c r="H3" s="850" t="s">
        <v>798</v>
      </c>
      <c r="I3" s="850"/>
      <c r="J3" s="849">
        <v>44284</v>
      </c>
      <c r="K3" s="849"/>
      <c r="L3" s="585"/>
      <c r="M3" s="585"/>
      <c r="N3" s="585"/>
      <c r="O3" s="585"/>
      <c r="P3" s="585"/>
      <c r="Q3" s="585"/>
      <c r="R3" s="585"/>
      <c r="S3" s="585"/>
    </row>
    <row r="4" spans="1:19" ht="33.75">
      <c r="A4" s="554" t="s">
        <v>415</v>
      </c>
      <c r="B4" s="555"/>
      <c r="C4" s="555"/>
      <c r="D4" s="555"/>
      <c r="E4" s="555"/>
      <c r="F4" s="555"/>
      <c r="G4" s="555"/>
      <c r="H4" s="555"/>
      <c r="I4" s="555"/>
      <c r="J4" s="553"/>
      <c r="K4" s="553"/>
      <c r="L4" s="585"/>
      <c r="M4" s="585"/>
      <c r="N4" s="585"/>
      <c r="O4" s="585"/>
      <c r="P4" s="585"/>
      <c r="Q4" s="585"/>
      <c r="R4" s="585"/>
      <c r="S4" s="585"/>
    </row>
    <row r="5" spans="1:19" ht="21">
      <c r="A5" s="556" t="s">
        <v>671</v>
      </c>
      <c r="B5" s="541"/>
      <c r="C5" s="541"/>
      <c r="D5" s="541" t="s">
        <v>892</v>
      </c>
      <c r="E5" s="599" t="s">
        <v>25</v>
      </c>
      <c r="G5" s="580" t="str">
        <f>VLOOKUP(E5,'RICON_RICON-S-EK_GIGANT_WALCO '!V7:Y16,4,FALSE)</f>
        <v>Glued laminated timber - homogeneous</v>
      </c>
      <c r="H5" s="580"/>
      <c r="L5" s="802" t="s">
        <v>473</v>
      </c>
      <c r="M5" s="802"/>
      <c r="N5" s="802"/>
      <c r="O5" s="802"/>
      <c r="P5" s="802"/>
      <c r="Q5" s="802"/>
      <c r="R5" s="802"/>
      <c r="S5" s="802"/>
    </row>
    <row r="6" spans="1:19" ht="18.75">
      <c r="D6" s="578" t="s">
        <v>672</v>
      </c>
      <c r="E6" s="599">
        <v>1</v>
      </c>
      <c r="G6" s="579" t="str">
        <f>VLOOKUP(E6,'RICON_RICON-S-EK_GIGANT_WALCO '!V21:X22,3,FALSE)</f>
        <v>Indoor</v>
      </c>
      <c r="H6" s="581"/>
      <c r="L6" s="509" t="s">
        <v>445</v>
      </c>
    </row>
    <row r="7" spans="1:19" ht="21.6" customHeight="1">
      <c r="A7" s="585"/>
      <c r="B7" s="585"/>
      <c r="C7" s="585"/>
      <c r="I7" s="585"/>
      <c r="L7" s="585"/>
      <c r="M7" s="585"/>
      <c r="N7" s="585"/>
      <c r="O7" s="585"/>
      <c r="P7" s="585"/>
      <c r="Q7" s="585"/>
      <c r="R7" s="585"/>
      <c r="S7" s="585"/>
    </row>
    <row r="8" spans="1:19" ht="18.75">
      <c r="A8" s="509"/>
      <c r="B8" s="509"/>
      <c r="L8" s="509"/>
    </row>
    <row r="9" spans="1:19" ht="18.75">
      <c r="A9" s="509"/>
      <c r="B9" s="509"/>
      <c r="L9" s="509"/>
    </row>
    <row r="10" spans="1:19" ht="18.75">
      <c r="A10" s="509"/>
      <c r="B10" s="509"/>
      <c r="L10" s="509"/>
    </row>
    <row r="11" spans="1:19" ht="18.75">
      <c r="A11" s="509"/>
      <c r="B11" s="509"/>
      <c r="L11" s="509"/>
    </row>
    <row r="12" spans="1:19" ht="18.75">
      <c r="A12" s="509"/>
      <c r="B12" s="509"/>
      <c r="L12" s="509"/>
    </row>
    <row r="13" spans="1:19" ht="18.75">
      <c r="A13" s="509"/>
      <c r="B13" s="509"/>
      <c r="L13" s="509"/>
    </row>
    <row r="14" spans="1:19" ht="18.75">
      <c r="A14" s="509"/>
      <c r="B14" s="509"/>
      <c r="L14" s="509"/>
    </row>
    <row r="15" spans="1:19" ht="18.75">
      <c r="A15" s="509"/>
      <c r="B15" s="509"/>
      <c r="L15" s="509"/>
    </row>
    <row r="16" spans="1:19" ht="18.75">
      <c r="A16" s="700" t="s">
        <v>904</v>
      </c>
      <c r="B16" s="509"/>
      <c r="L16" s="509"/>
    </row>
    <row r="17" spans="1:19" ht="21">
      <c r="A17" s="505"/>
      <c r="B17" s="505"/>
      <c r="L17" s="505" t="s">
        <v>471</v>
      </c>
    </row>
    <row r="18" spans="1:19" ht="15" customHeight="1">
      <c r="A18" s="590" t="s">
        <v>2</v>
      </c>
      <c r="B18" s="591" t="s">
        <v>613</v>
      </c>
      <c r="C18" s="840" t="s">
        <v>450</v>
      </c>
      <c r="D18" s="840"/>
      <c r="E18" s="837" t="s">
        <v>817</v>
      </c>
      <c r="F18" s="848" t="str">
        <f>"Design values F2,Rd for "&amp;E5&amp;" [kN]"</f>
        <v>Design values F2,Rd for GL24h [kN]</v>
      </c>
      <c r="G18" s="814"/>
      <c r="H18" s="814"/>
      <c r="I18" s="814"/>
      <c r="J18" s="814"/>
      <c r="K18" s="602" t="s">
        <v>690</v>
      </c>
      <c r="L18" s="4" t="s">
        <v>413</v>
      </c>
      <c r="M18" s="803" t="s">
        <v>450</v>
      </c>
      <c r="N18" s="803"/>
      <c r="O18" s="710" t="s">
        <v>448</v>
      </c>
      <c r="P18" s="711"/>
      <c r="Q18" s="711"/>
      <c r="R18" s="711"/>
      <c r="S18" s="712"/>
    </row>
    <row r="19" spans="1:19" ht="18">
      <c r="A19" s="592"/>
      <c r="B19" s="593" t="s">
        <v>612</v>
      </c>
      <c r="C19" s="589" t="s">
        <v>816</v>
      </c>
      <c r="D19" s="589" t="s">
        <v>751</v>
      </c>
      <c r="E19" s="838"/>
      <c r="F19" s="597">
        <v>0.6</v>
      </c>
      <c r="G19" s="597">
        <v>0.7</v>
      </c>
      <c r="H19" s="597">
        <v>0.8</v>
      </c>
      <c r="I19" s="597">
        <v>0.9</v>
      </c>
      <c r="J19" s="597">
        <v>1</v>
      </c>
      <c r="K19" s="597">
        <v>1.1000000000000001</v>
      </c>
      <c r="L19" s="8"/>
      <c r="M19" s="44" t="s">
        <v>411</v>
      </c>
      <c r="N19" s="44" t="s">
        <v>412</v>
      </c>
      <c r="O19" s="95">
        <v>0.6</v>
      </c>
      <c r="P19" s="95">
        <v>0.7</v>
      </c>
      <c r="Q19" s="95">
        <v>0.8</v>
      </c>
      <c r="R19" s="95">
        <v>0.9</v>
      </c>
      <c r="S19" s="95">
        <v>1</v>
      </c>
    </row>
    <row r="20" spans="1:19" ht="45">
      <c r="A20" s="68" t="s">
        <v>855</v>
      </c>
      <c r="B20" s="525" t="s">
        <v>617</v>
      </c>
      <c r="C20" s="549">
        <f>'RICON_RICON-S-EK_GIGANT_WALCO '!C101</f>
        <v>17</v>
      </c>
      <c r="D20" s="549">
        <f>'RICON_RICON-S-EK_GIGANT_WALCO '!F101</f>
        <v>12.49450681193213</v>
      </c>
      <c r="E20" s="634">
        <f>C20/1</f>
        <v>17</v>
      </c>
      <c r="F20" s="498">
        <f t="shared" ref="F20:K26" si="0">MIN($C20/1,$D20*F$19/1.3)</f>
        <v>5.7666954516609827</v>
      </c>
      <c r="G20" s="498">
        <f t="shared" si="0"/>
        <v>6.7278113602711462</v>
      </c>
      <c r="H20" s="498">
        <f t="shared" si="0"/>
        <v>7.6889272688813115</v>
      </c>
      <c r="I20" s="498">
        <f t="shared" si="0"/>
        <v>8.6500431774914741</v>
      </c>
      <c r="J20" s="498">
        <f t="shared" si="0"/>
        <v>9.6111590861016385</v>
      </c>
      <c r="K20" s="498">
        <f t="shared" si="0"/>
        <v>10.572274994711803</v>
      </c>
      <c r="L20" s="68" t="s">
        <v>372</v>
      </c>
      <c r="M20" s="498">
        <f>'RICON_RICON-S-EK_GIGANT_WALCO '!C101</f>
        <v>17</v>
      </c>
      <c r="N20" s="498">
        <f>'RICON_RICON-S-EK_GIGANT_WALCO '!F101</f>
        <v>12.49450681193213</v>
      </c>
      <c r="O20" s="498">
        <f>MIN($C20/1,$D20*O$19/1.3)</f>
        <v>5.7666954516609827</v>
      </c>
      <c r="P20" s="498">
        <f t="shared" ref="P20:S26" si="1">MIN($C20/1,$D20*P$19/1.3)</f>
        <v>6.7278113602711462</v>
      </c>
      <c r="Q20" s="498">
        <f t="shared" si="1"/>
        <v>7.6889272688813115</v>
      </c>
      <c r="R20" s="498">
        <f t="shared" si="1"/>
        <v>8.6500431774914741</v>
      </c>
      <c r="S20" s="498">
        <f t="shared" si="1"/>
        <v>9.6111590861016385</v>
      </c>
    </row>
    <row r="21" spans="1:19" ht="60">
      <c r="A21" s="67" t="s">
        <v>856</v>
      </c>
      <c r="B21" s="525" t="s">
        <v>631</v>
      </c>
      <c r="C21" s="549">
        <f>'RICON_RICON-S-EK_GIGANT_WALCO '!C103</f>
        <v>24</v>
      </c>
      <c r="D21" s="549">
        <f>'RICON_RICON-S-EK_GIGANT_WALCO '!F103</f>
        <v>16.659342415909506</v>
      </c>
      <c r="E21" s="634">
        <f t="shared" ref="E21:E26" si="2">C21/1</f>
        <v>24</v>
      </c>
      <c r="F21" s="498">
        <f t="shared" si="0"/>
        <v>7.6889272688813097</v>
      </c>
      <c r="G21" s="498">
        <f t="shared" si="0"/>
        <v>8.970415147028195</v>
      </c>
      <c r="H21" s="498">
        <f t="shared" si="0"/>
        <v>10.251903025175082</v>
      </c>
      <c r="I21" s="498">
        <f t="shared" si="0"/>
        <v>11.533390903321965</v>
      </c>
      <c r="J21" s="498">
        <f t="shared" si="0"/>
        <v>12.814878781468851</v>
      </c>
      <c r="K21" s="498">
        <f t="shared" si="0"/>
        <v>14.096366659615738</v>
      </c>
      <c r="L21" s="67" t="s">
        <v>476</v>
      </c>
      <c r="M21" s="498">
        <f>'RICON_RICON-S-EK_GIGANT_WALCO '!C103</f>
        <v>24</v>
      </c>
      <c r="N21" s="498">
        <f>'RICON_RICON-S-EK_GIGANT_WALCO '!F103</f>
        <v>16.659342415909506</v>
      </c>
      <c r="O21" s="498">
        <f>MIN($C21/1,$D21*O$19/1.3)</f>
        <v>7.6889272688813097</v>
      </c>
      <c r="P21" s="498">
        <f t="shared" si="1"/>
        <v>8.970415147028195</v>
      </c>
      <c r="Q21" s="498">
        <f t="shared" si="1"/>
        <v>10.251903025175082</v>
      </c>
      <c r="R21" s="498">
        <f t="shared" si="1"/>
        <v>11.533390903321965</v>
      </c>
      <c r="S21" s="498">
        <f t="shared" si="1"/>
        <v>12.814878781468851</v>
      </c>
    </row>
    <row r="22" spans="1:19" ht="60">
      <c r="A22" s="67" t="s">
        <v>857</v>
      </c>
      <c r="B22" s="525" t="s">
        <v>631</v>
      </c>
      <c r="C22" s="549">
        <f>'RICON_RICON-S-EK_GIGANT_WALCO '!C104</f>
        <v>24</v>
      </c>
      <c r="D22" s="549">
        <f>'RICON_RICON-S-EK_GIGANT_WALCO '!F104</f>
        <v>19.193549266365359</v>
      </c>
      <c r="E22" s="634">
        <f t="shared" si="2"/>
        <v>24</v>
      </c>
      <c r="F22" s="498">
        <f t="shared" si="0"/>
        <v>8.858561199860933</v>
      </c>
      <c r="G22" s="498">
        <f t="shared" si="0"/>
        <v>10.334988066504424</v>
      </c>
      <c r="H22" s="498">
        <f t="shared" si="0"/>
        <v>11.811414933147914</v>
      </c>
      <c r="I22" s="498">
        <f t="shared" si="0"/>
        <v>13.287841799791401</v>
      </c>
      <c r="J22" s="498">
        <f t="shared" si="0"/>
        <v>14.764268666434891</v>
      </c>
      <c r="K22" s="498">
        <f t="shared" si="0"/>
        <v>16.24069553307838</v>
      </c>
      <c r="L22" s="67"/>
      <c r="M22" s="498"/>
      <c r="N22" s="498"/>
      <c r="O22" s="498"/>
      <c r="P22" s="498"/>
      <c r="Q22" s="498"/>
      <c r="R22" s="498"/>
      <c r="S22" s="498"/>
    </row>
    <row r="23" spans="1:19" ht="60">
      <c r="A23" s="67" t="s">
        <v>858</v>
      </c>
      <c r="B23" s="525" t="s">
        <v>630</v>
      </c>
      <c r="C23" s="549">
        <f>'RICON_RICON-S-EK_GIGANT_WALCO '!C105</f>
        <v>24</v>
      </c>
      <c r="D23" s="549">
        <f>'RICON_RICON-S-EK_GIGANT_WALCO '!F105</f>
        <v>16.659342415909506</v>
      </c>
      <c r="E23" s="634">
        <f t="shared" si="2"/>
        <v>24</v>
      </c>
      <c r="F23" s="498">
        <f t="shared" si="0"/>
        <v>7.6889272688813097</v>
      </c>
      <c r="G23" s="498">
        <f t="shared" si="0"/>
        <v>8.970415147028195</v>
      </c>
      <c r="H23" s="498">
        <f t="shared" si="0"/>
        <v>10.251903025175082</v>
      </c>
      <c r="I23" s="498">
        <f t="shared" si="0"/>
        <v>11.533390903321965</v>
      </c>
      <c r="J23" s="498">
        <f t="shared" si="0"/>
        <v>12.814878781468851</v>
      </c>
      <c r="K23" s="498">
        <f t="shared" si="0"/>
        <v>14.096366659615738</v>
      </c>
      <c r="L23" s="67" t="s">
        <v>374</v>
      </c>
      <c r="M23" s="498">
        <f>'RICON_RICON-S-EK_GIGANT_WALCO '!C105</f>
        <v>24</v>
      </c>
      <c r="N23" s="498">
        <f>'RICON_RICON-S-EK_GIGANT_WALCO '!F105</f>
        <v>16.659342415909506</v>
      </c>
      <c r="O23" s="498">
        <f>MIN($C23/1,$D23*O$19/1.3)</f>
        <v>7.6889272688813097</v>
      </c>
      <c r="P23" s="498">
        <f t="shared" si="1"/>
        <v>8.970415147028195</v>
      </c>
      <c r="Q23" s="498">
        <f t="shared" si="1"/>
        <v>10.251903025175082</v>
      </c>
      <c r="R23" s="498">
        <f t="shared" si="1"/>
        <v>11.533390903321965</v>
      </c>
      <c r="S23" s="498">
        <f t="shared" si="1"/>
        <v>12.814878781468851</v>
      </c>
    </row>
    <row r="24" spans="1:19" ht="60">
      <c r="A24" s="67" t="s">
        <v>859</v>
      </c>
      <c r="B24" s="525" t="s">
        <v>633</v>
      </c>
      <c r="C24" s="549">
        <f>'RICON_RICON-S-EK_GIGANT_WALCO '!C106</f>
        <v>33</v>
      </c>
      <c r="D24" s="549">
        <f>'RICON_RICON-S-EK_GIGANT_WALCO '!F106</f>
        <v>24.98901362386426</v>
      </c>
      <c r="E24" s="634">
        <f t="shared" si="2"/>
        <v>33</v>
      </c>
      <c r="F24" s="498">
        <f t="shared" si="0"/>
        <v>11.533390903321965</v>
      </c>
      <c r="G24" s="498">
        <f t="shared" si="0"/>
        <v>13.455622720542292</v>
      </c>
      <c r="H24" s="498">
        <f t="shared" si="0"/>
        <v>15.377854537762623</v>
      </c>
      <c r="I24" s="498">
        <f t="shared" si="0"/>
        <v>17.300086354982948</v>
      </c>
      <c r="J24" s="498">
        <f t="shared" si="0"/>
        <v>19.222318172203277</v>
      </c>
      <c r="K24" s="498">
        <f t="shared" si="0"/>
        <v>21.144549989423606</v>
      </c>
      <c r="L24" s="67" t="s">
        <v>477</v>
      </c>
      <c r="M24" s="498">
        <f>'RICON_RICON-S-EK_GIGANT_WALCO '!C106</f>
        <v>33</v>
      </c>
      <c r="N24" s="498">
        <f>'RICON_RICON-S-EK_GIGANT_WALCO '!F106</f>
        <v>24.98901362386426</v>
      </c>
      <c r="O24" s="498">
        <f>MIN($C24/1,$D24*O$19/1.3)</f>
        <v>11.533390903321965</v>
      </c>
      <c r="P24" s="498">
        <f t="shared" si="1"/>
        <v>13.455622720542292</v>
      </c>
      <c r="Q24" s="498">
        <f t="shared" si="1"/>
        <v>15.377854537762623</v>
      </c>
      <c r="R24" s="498">
        <f t="shared" si="1"/>
        <v>17.300086354982948</v>
      </c>
      <c r="S24" s="498">
        <f t="shared" si="1"/>
        <v>19.222318172203277</v>
      </c>
    </row>
    <row r="25" spans="1:19" ht="60">
      <c r="A25" s="67" t="s">
        <v>860</v>
      </c>
      <c r="B25" s="525" t="s">
        <v>633</v>
      </c>
      <c r="C25" s="549">
        <f>'RICON_RICON-S-EK_GIGANT_WALCO '!C107</f>
        <v>33</v>
      </c>
      <c r="D25" s="549">
        <f>'RICON_RICON-S-EK_GIGANT_WALCO '!F107</f>
        <v>30.673435303237074</v>
      </c>
      <c r="E25" s="634">
        <f t="shared" si="2"/>
        <v>33</v>
      </c>
      <c r="F25" s="498">
        <f t="shared" si="0"/>
        <v>14.156970139955572</v>
      </c>
      <c r="G25" s="498">
        <f t="shared" si="0"/>
        <v>16.516465163281499</v>
      </c>
      <c r="H25" s="498">
        <f t="shared" si="0"/>
        <v>18.875960186607433</v>
      </c>
      <c r="I25" s="498">
        <f t="shared" si="0"/>
        <v>21.23545520993336</v>
      </c>
      <c r="J25" s="498">
        <f t="shared" si="0"/>
        <v>23.594950233259286</v>
      </c>
      <c r="K25" s="498">
        <f t="shared" si="0"/>
        <v>25.954445256585217</v>
      </c>
      <c r="L25" s="67"/>
      <c r="M25" s="498"/>
      <c r="N25" s="498"/>
      <c r="O25" s="498"/>
      <c r="P25" s="498"/>
      <c r="Q25" s="498"/>
      <c r="R25" s="498"/>
      <c r="S25" s="498"/>
    </row>
    <row r="26" spans="1:19" ht="60">
      <c r="A26" s="67" t="s">
        <v>861</v>
      </c>
      <c r="B26" s="525" t="s">
        <v>632</v>
      </c>
      <c r="C26" s="549">
        <f>'RICON_RICON-S-EK_GIGANT_WALCO '!C108</f>
        <v>33</v>
      </c>
      <c r="D26" s="549">
        <f>'RICON_RICON-S-EK_GIGANT_WALCO '!F108</f>
        <v>20.824178019886883</v>
      </c>
      <c r="E26" s="634">
        <f t="shared" si="2"/>
        <v>33</v>
      </c>
      <c r="F26" s="498">
        <f t="shared" si="0"/>
        <v>9.6111590861016385</v>
      </c>
      <c r="G26" s="498">
        <f t="shared" si="0"/>
        <v>11.213018933785243</v>
      </c>
      <c r="H26" s="498">
        <f t="shared" si="0"/>
        <v>12.814878781468851</v>
      </c>
      <c r="I26" s="498">
        <f t="shared" si="0"/>
        <v>14.416738629152459</v>
      </c>
      <c r="J26" s="498">
        <f t="shared" si="0"/>
        <v>16.018598476836065</v>
      </c>
      <c r="K26" s="498">
        <f t="shared" si="0"/>
        <v>17.620458324519671</v>
      </c>
      <c r="L26" s="67" t="s">
        <v>376</v>
      </c>
      <c r="M26" s="498">
        <f>'RICON_RICON-S-EK_GIGANT_WALCO '!C108</f>
        <v>33</v>
      </c>
      <c r="N26" s="498">
        <f>'RICON_RICON-S-EK_GIGANT_WALCO '!F108</f>
        <v>20.824178019886883</v>
      </c>
      <c r="O26" s="498">
        <f>MIN($C26/1,$D26*O$19/1.3)</f>
        <v>9.6111590861016385</v>
      </c>
      <c r="P26" s="498">
        <f t="shared" si="1"/>
        <v>11.213018933785243</v>
      </c>
      <c r="Q26" s="498">
        <f t="shared" si="1"/>
        <v>12.814878781468851</v>
      </c>
      <c r="R26" s="498">
        <f t="shared" si="1"/>
        <v>14.416738629152459</v>
      </c>
      <c r="S26" s="498">
        <f t="shared" si="1"/>
        <v>16.018598476836065</v>
      </c>
    </row>
    <row r="27" spans="1:19">
      <c r="A27" s="501"/>
      <c r="B27" s="526"/>
      <c r="C27" s="508"/>
      <c r="D27" s="508"/>
      <c r="E27" s="508"/>
      <c r="F27" s="508"/>
      <c r="G27" s="508"/>
      <c r="H27" s="508"/>
      <c r="I27" s="508"/>
      <c r="L27" s="501"/>
      <c r="M27" s="508"/>
      <c r="N27" s="508"/>
      <c r="O27" s="508"/>
      <c r="P27" s="508"/>
      <c r="Q27" s="508"/>
      <c r="R27" s="508"/>
      <c r="S27" s="508"/>
    </row>
    <row r="28" spans="1:19">
      <c r="A28" s="501"/>
      <c r="B28" s="526"/>
      <c r="C28" s="508"/>
      <c r="D28" s="508"/>
      <c r="E28" s="508"/>
      <c r="F28" s="508"/>
      <c r="G28" s="508"/>
      <c r="H28" s="508"/>
      <c r="I28" s="508"/>
      <c r="L28" s="501"/>
      <c r="M28" s="508"/>
      <c r="N28" s="508"/>
      <c r="O28" s="508"/>
      <c r="P28" s="508"/>
      <c r="Q28" s="508"/>
      <c r="R28" s="508"/>
      <c r="S28" s="508"/>
    </row>
    <row r="29" spans="1:19">
      <c r="A29" s="501"/>
      <c r="B29" s="526"/>
      <c r="C29" s="508"/>
      <c r="D29" s="508"/>
      <c r="E29" s="508"/>
      <c r="F29" s="508"/>
      <c r="G29" s="508"/>
      <c r="H29" s="508"/>
      <c r="I29" s="508"/>
      <c r="L29" s="501"/>
      <c r="M29" s="508"/>
      <c r="N29" s="508"/>
      <c r="O29" s="508"/>
      <c r="P29" s="508"/>
      <c r="Q29" s="508"/>
      <c r="R29" s="508"/>
      <c r="S29" s="508"/>
    </row>
    <row r="30" spans="1:19">
      <c r="A30" s="501"/>
      <c r="B30" s="526"/>
      <c r="C30" s="508"/>
      <c r="D30" s="508"/>
      <c r="E30" s="508"/>
      <c r="F30" s="508"/>
      <c r="G30" s="508"/>
      <c r="H30" s="508"/>
      <c r="I30" s="508"/>
      <c r="L30" s="501"/>
      <c r="M30" s="508"/>
      <c r="N30" s="508"/>
      <c r="O30" s="508"/>
      <c r="P30" s="508"/>
      <c r="Q30" s="508"/>
      <c r="R30" s="508"/>
      <c r="S30" s="508"/>
    </row>
    <row r="31" spans="1:19">
      <c r="A31" s="501"/>
      <c r="B31" s="501"/>
      <c r="C31" s="508"/>
      <c r="D31" s="508"/>
      <c r="E31" s="508"/>
      <c r="F31" s="508"/>
      <c r="G31" s="508"/>
      <c r="H31" s="508"/>
      <c r="I31" s="508"/>
      <c r="L31" s="501"/>
      <c r="M31" s="508"/>
      <c r="N31" s="508"/>
      <c r="O31" s="508"/>
      <c r="P31" s="508"/>
      <c r="Q31" s="508"/>
      <c r="R31" s="508"/>
      <c r="S31" s="508"/>
    </row>
  </sheetData>
  <sheetProtection algorithmName="SHA-512" hashValue="JmCMqQBQIvocxTJTbSYrM5GuinzGhi0jf6SQK3q5TenCEmPfm5ulvaqL2nzxTs3BdTjIQW7JnnlGOVOEQ0SlTQ==" saltValue="obszR0tlSRH2xr9bxMt/OA==" spinCount="100000" sheet="1" objects="1" scenarios="1" selectLockedCells="1"/>
  <mergeCells count="10">
    <mergeCell ref="L1:S2"/>
    <mergeCell ref="L5:S5"/>
    <mergeCell ref="C18:D18"/>
    <mergeCell ref="M18:N18"/>
    <mergeCell ref="O18:S18"/>
    <mergeCell ref="E18:E19"/>
    <mergeCell ref="F18:J18"/>
    <mergeCell ref="J3:K3"/>
    <mergeCell ref="H3:I3"/>
    <mergeCell ref="A1:K2"/>
  </mergeCells>
  <printOptions horizontalCentered="1"/>
  <pageMargins left="0.19685039370078741" right="0.19685039370078741" top="1.1811023622047245" bottom="0.74803149606299213" header="0.31496062992125984" footer="0.31496062992125984"/>
  <pageSetup paperSize="9" scale="58" orientation="portrait" r:id="rId1"/>
  <headerFooter scaleWithDoc="0">
    <oddHeader>&amp;L&amp;G</oddHeader>
    <oddFooter>&amp;L&amp;G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'RICON_RICON-S-EK_GIGANT_WALCO '!$V$7:$V$16</xm:f>
          </x14:formula1>
          <xm:sqref>E5</xm:sqref>
        </x14:dataValidation>
        <x14:dataValidation type="list" allowBlank="1" showInputMessage="1" showErrorMessage="1" xr:uid="{00000000-0002-0000-0800-000001000000}">
          <x14:formula1>
            <xm:f>'RICON_RICON-S-EK_GIGANT_WALCO '!$V$21:$V$22</xm:f>
          </x14:formula1>
          <xm:sqref>E6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6</vt:i4>
      </vt:variant>
    </vt:vector>
  </HeadingPairs>
  <TitlesOfParts>
    <vt:vector size="16" baseType="lpstr">
      <vt:lpstr>RICON_RICON-S-EK_GIGANT_WALCO </vt:lpstr>
      <vt:lpstr>RICON-S-VS</vt:lpstr>
      <vt:lpstr>RICON_Edelstahl</vt:lpstr>
      <vt:lpstr>Belastungsblatt_ETA_neu_EN</vt:lpstr>
      <vt:lpstr>Belastungsblatt_RICON_DE</vt:lpstr>
      <vt:lpstr>Belastungsblatt_GIGANT_DE</vt:lpstr>
      <vt:lpstr>Belastungsblatt_RICON-S_DE</vt:lpstr>
      <vt:lpstr>Load bearing values_RICON_EN</vt:lpstr>
      <vt:lpstr>Load bearing values_GIGANT_EN</vt:lpstr>
      <vt:lpstr>Load bearing values_RICON-S_EN</vt:lpstr>
      <vt:lpstr>Belastungsblatt_ETA_neu_EN!Druckbereich</vt:lpstr>
      <vt:lpstr>'Load bearing values_RICON_EN'!Druckbereich</vt:lpstr>
      <vt:lpstr>'Load bearing values_RICON-S_EN'!Druckbereich</vt:lpstr>
      <vt:lpstr>Belastungsblatt_ETA_neu_EN!Print_Area</vt:lpstr>
      <vt:lpstr>Belastungsblatt_RICON_DE!Print_Area</vt:lpstr>
      <vt:lpstr>'Load bearing values_RICON_EN'!Print_Area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Load bearing values tables</dc:title>
  <dc:creator>Torsten Langejürgen</dc:creator>
  <cp:keywords>RICON, RICON S GIGANT</cp:keywords>
  <cp:lastModifiedBy>Torsten Langejürgen</cp:lastModifiedBy>
  <cp:lastPrinted>2021-04-07T07:21:34Z</cp:lastPrinted>
  <dcterms:created xsi:type="dcterms:W3CDTF">2018-08-22T14:09:04Z</dcterms:created>
  <dcterms:modified xsi:type="dcterms:W3CDTF">2021-04-15T09:37:08Z</dcterms:modified>
  <cp:category>Version 5 (26.01.2021)</cp:category>
</cp:coreProperties>
</file>