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embeddings/oleObject51.bin" ContentType="application/vnd.openxmlformats-officedocument.oleObject"/>
  <Override PartName="/xl/embeddings/oleObject52.bin" ContentType="application/vnd.openxmlformats-officedocument.oleObject"/>
  <Override PartName="/xl/embeddings/oleObject53.bin" ContentType="application/vnd.openxmlformats-officedocument.oleObject"/>
  <Override PartName="/xl/embeddings/oleObject54.bin" ContentType="application/vnd.openxmlformats-officedocument.oleObject"/>
  <Override PartName="/xl/embeddings/oleObject55.bin" ContentType="application/vnd.openxmlformats-officedocument.oleObject"/>
  <Override PartName="/xl/embeddings/oleObject56.bin" ContentType="application/vnd.openxmlformats-officedocument.oleObject"/>
  <Override PartName="/xl/embeddings/oleObject57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58.bin" ContentType="application/vnd.openxmlformats-officedocument.oleObject"/>
  <Override PartName="/xl/embeddings/oleObject59.bin" ContentType="application/vnd.openxmlformats-officedocument.oleObject"/>
  <Override PartName="/xl/embeddings/oleObject60.bin" ContentType="application/vnd.openxmlformats-officedocument.oleObject"/>
  <Override PartName="/xl/embeddings/oleObject61.bin" ContentType="application/vnd.openxmlformats-officedocument.oleObject"/>
  <Override PartName="/xl/embeddings/oleObject62.bin" ContentType="application/vnd.openxmlformats-officedocument.oleObject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embeddings/oleObject63.bin" ContentType="application/vnd.openxmlformats-officedocument.oleObject"/>
  <Override PartName="/xl/embeddings/oleObject64.bin" ContentType="application/vnd.openxmlformats-officedocument.oleObject"/>
  <Override PartName="/xl/embeddings/oleObject65.bin" ContentType="application/vnd.openxmlformats-officedocument.oleObject"/>
  <Override PartName="/xl/embeddings/oleObject66.bin" ContentType="application/vnd.openxmlformats-officedocument.oleObject"/>
  <Override PartName="/xl/embeddings/oleObject67.bin" ContentType="application/vnd.openxmlformats-officedocument.oleObject"/>
  <Override PartName="/xl/embeddings/oleObject68.bin" ContentType="application/vnd.openxmlformats-officedocument.oleObject"/>
  <Override PartName="/xl/embeddings/oleObject69.bin" ContentType="application/vnd.openxmlformats-officedocument.oleObject"/>
  <Override PartName="/xl/embeddings/oleObject70.bin" ContentType="application/vnd.openxmlformats-officedocument.oleObject"/>
  <Override PartName="/xl/embeddings/oleObject71.bin" ContentType="application/vnd.openxmlformats-officedocument.oleObject"/>
  <Override PartName="/xl/embeddings/oleObject72.bin" ContentType="application/vnd.openxmlformats-officedocument.oleObject"/>
  <Override PartName="/xl/embeddings/oleObject73.bin" ContentType="application/vnd.openxmlformats-officedocument.oleObject"/>
  <Override PartName="/xl/embeddings/oleObject74.bin" ContentType="application/vnd.openxmlformats-officedocument.oleObject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llgemeine.Daten\F &amp; E\Excel_Bemessungstools\Belastungsblatt\"/>
    </mc:Choice>
  </mc:AlternateContent>
  <xr:revisionPtr revIDLastSave="0" documentId="13_ncr:1_{71E31646-37A9-47F7-B068-521CB4637195}" xr6:coauthVersionLast="45" xr6:coauthVersionMax="45" xr10:uidLastSave="{00000000-0000-0000-0000-000000000000}"/>
  <workbookProtection workbookAlgorithmName="SHA-512" workbookHashValue="VMuwlgylklWsQE3yDIAQsENQzXLtsrHwrWfzeIL87SncXj+HOkduH5q6/hV27bWY79phxPvUPWWDWeINAqzTew==" workbookSaltValue="SYkKHeKVDSqVhoz24+1RhQ==" workbookSpinCount="100000" lockStructure="1"/>
  <bookViews>
    <workbookView xWindow="-120" yWindow="-120" windowWidth="29040" windowHeight="15840" firstSheet="7" activeTab="7" xr2:uid="{00000000-000D-0000-FFFF-FFFF00000000}"/>
  </bookViews>
  <sheets>
    <sheet name="RICON_RICON-S-EK_GIGANT_WALCO " sheetId="1" state="hidden" r:id="rId1"/>
    <sheet name="RICON-S-VS" sheetId="3" state="hidden" r:id="rId2"/>
    <sheet name="RICON_Edelstahl" sheetId="4" state="hidden" r:id="rId3"/>
    <sheet name="Belastungsblatt_ETA_neu_EN" sheetId="6" state="hidden" r:id="rId4"/>
    <sheet name="Belastungsblatt_RICON_DE" sheetId="5" state="hidden" r:id="rId5"/>
    <sheet name="Belastungsblatt_GIGANT_DE" sheetId="7" state="hidden" r:id="rId6"/>
    <sheet name="Belastungsblatt_RICON-S_DE" sheetId="8" state="hidden" r:id="rId7"/>
    <sheet name="Load bearing values_RICON_EN" sheetId="12" r:id="rId8"/>
    <sheet name="Load bearing values_GIGANT_EN" sheetId="13" r:id="rId9"/>
    <sheet name="Load bearing values_RICON-S_EN" sheetId="14" r:id="rId10"/>
  </sheets>
  <definedNames>
    <definedName name="_xlnm.Print_Area" localSheetId="3">Belastungsblatt_ETA_neu_EN!$K$1:$U$245</definedName>
    <definedName name="_xlnm.Print_Area" localSheetId="7">'Load bearing values_RICON_EN'!$A$1:$K$113</definedName>
    <definedName name="_xlnm.Print_Area" localSheetId="9">'Load bearing values_RICON-S_EN'!$A$1:$K$102</definedName>
    <definedName name="Print_Area" localSheetId="3">Belastungsblatt_ETA_neu_EN!$K$196:$T$235</definedName>
    <definedName name="Print_Area" localSheetId="4">Belastungsblatt_RICON_DE!$A$70:$J$107</definedName>
    <definedName name="Print_Area" localSheetId="7">'Load bearing values_RICON_EN'!$A$72:$K$111</definedName>
    <definedName name="Z_88029C9E_0AAA_4AEA_8FBA_3530118F01BF_.wvu.Cols" localSheetId="3" hidden="1">Belastungsblatt_ETA_neu_EN!$A:$J</definedName>
    <definedName name="Z_88029C9E_0AAA_4AEA_8FBA_3530118F01BF_.wvu.Cols" localSheetId="5" hidden="1">Belastungsblatt_GIGANT_DE!$L:$T</definedName>
    <definedName name="Z_88029C9E_0AAA_4AEA_8FBA_3530118F01BF_.wvu.Cols" localSheetId="4" hidden="1">Belastungsblatt_RICON_DE!$K:$S</definedName>
    <definedName name="Z_88029C9E_0AAA_4AEA_8FBA_3530118F01BF_.wvu.Cols" localSheetId="6" hidden="1">'Belastungsblatt_RICON-S_DE'!$K:$S</definedName>
    <definedName name="Z_88029C9E_0AAA_4AEA_8FBA_3530118F01BF_.wvu.Cols" localSheetId="8" hidden="1">'Load bearing values_GIGANT_EN'!$L:$T</definedName>
    <definedName name="Z_88029C9E_0AAA_4AEA_8FBA_3530118F01BF_.wvu.Cols" localSheetId="7" hidden="1">'Load bearing values_RICON_EN'!$M:$U</definedName>
    <definedName name="Z_88029C9E_0AAA_4AEA_8FBA_3530118F01BF_.wvu.Cols" localSheetId="9" hidden="1">'Load bearing values_RICON-S_EN'!$L:$T</definedName>
    <definedName name="Z_88029C9E_0AAA_4AEA_8FBA_3530118F01BF_.wvu.PrintArea" localSheetId="3" hidden="1">Belastungsblatt_ETA_neu_EN!$K$1:$U$245</definedName>
    <definedName name="Z_88029C9E_0AAA_4AEA_8FBA_3530118F01BF_.wvu.Rows" localSheetId="2" hidden="1">RICON_Edelstahl!$345:$381</definedName>
    <definedName name="Z_88029C9E_0AAA_4AEA_8FBA_3530118F01BF_.wvu.Rows" localSheetId="0" hidden="1">'RICON_RICON-S-EK_GIGANT_WALCO '!$195:$202,'RICON_RICON-S-EK_GIGANT_WALCO '!$213:$220,'RICON_RICON-S-EK_GIGANT_WALCO '!$232:$239,'RICON_RICON-S-EK_GIGANT_WALCO '!$494:$501,'RICON_RICON-S-EK_GIGANT_WALCO '!$512:$519,'RICON_RICON-S-EK_GIGANT_WALCO '!$531:$538,'RICON_RICON-S-EK_GIGANT_WALCO '!$780:$787,'RICON_RICON-S-EK_GIGANT_WALCO '!$799:$806,'RICON_RICON-S-EK_GIGANT_WALCO '!$817:$824,'RICON_RICON-S-EK_GIGANT_WALCO '!$835:$842,'RICON_RICON-S-EK_GIGANT_WALCO '!$853:$860</definedName>
  </definedNames>
  <calcPr calcId="191029"/>
  <customWorkbookViews>
    <customWorkbookView name="Olga Romanova - Persönliche Ansicht" guid="{88029C9E-0AAA-4AEA-8FBA-3530118F01BF}" mergeInterval="0" personalView="1" maximized="1" windowWidth="1909" windowHeight="842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" i="1" l="1"/>
  <c r="J9" i="1"/>
  <c r="J7" i="1"/>
  <c r="C96" i="12"/>
  <c r="F96" i="12" s="1"/>
  <c r="D96" i="12"/>
  <c r="R711" i="1"/>
  <c r="S711" i="1"/>
  <c r="T711" i="1"/>
  <c r="U711" i="1"/>
  <c r="V711" i="1"/>
  <c r="W711" i="1"/>
  <c r="K711" i="1"/>
  <c r="L711" i="1"/>
  <c r="M711" i="1"/>
  <c r="N711" i="1"/>
  <c r="O711" i="1"/>
  <c r="D711" i="1"/>
  <c r="E711" i="1"/>
  <c r="F711" i="1"/>
  <c r="G711" i="1"/>
  <c r="H711" i="1"/>
  <c r="I711" i="1"/>
  <c r="B711" i="1"/>
  <c r="I692" i="1"/>
  <c r="K654" i="1"/>
  <c r="H654" i="1" s="1"/>
  <c r="X654" i="1"/>
  <c r="D635" i="1"/>
  <c r="H96" i="12"/>
  <c r="C25" i="12"/>
  <c r="D131" i="1"/>
  <c r="E141" i="3"/>
  <c r="E142" i="3"/>
  <c r="E143" i="3"/>
  <c r="E144" i="3"/>
  <c r="E145" i="3"/>
  <c r="E140" i="3"/>
  <c r="E112" i="3"/>
  <c r="E113" i="3"/>
  <c r="E114" i="3"/>
  <c r="E115" i="3"/>
  <c r="E116" i="3"/>
  <c r="E111" i="3"/>
  <c r="E108" i="3"/>
  <c r="E109" i="3"/>
  <c r="E110" i="3"/>
  <c r="E107" i="3"/>
  <c r="E48" i="3"/>
  <c r="E64" i="3"/>
  <c r="E65" i="3"/>
  <c r="E66" i="3"/>
  <c r="E67" i="3"/>
  <c r="E68" i="3"/>
  <c r="E69" i="3"/>
  <c r="E70" i="3"/>
  <c r="E71" i="3"/>
  <c r="E63" i="3"/>
  <c r="H12" i="3"/>
  <c r="H13" i="3"/>
  <c r="H14" i="3"/>
  <c r="H15" i="3"/>
  <c r="H16" i="3"/>
  <c r="H11" i="3"/>
  <c r="I12" i="3"/>
  <c r="I13" i="3"/>
  <c r="I14" i="3"/>
  <c r="I15" i="3"/>
  <c r="I16" i="3"/>
  <c r="I11" i="3"/>
  <c r="I8" i="3"/>
  <c r="I9" i="3"/>
  <c r="I10" i="3"/>
  <c r="I7" i="3"/>
  <c r="E96" i="12" l="1"/>
  <c r="I96" i="12" s="1"/>
  <c r="J692" i="1"/>
  <c r="K692" i="1" s="1"/>
  <c r="G96" i="12"/>
  <c r="J96" i="12" s="1"/>
  <c r="E25" i="12"/>
  <c r="C83" i="14" l="1"/>
  <c r="C84" i="14"/>
  <c r="C85" i="14"/>
  <c r="C86" i="14"/>
  <c r="C87" i="14"/>
  <c r="C88" i="14"/>
  <c r="C89" i="14"/>
  <c r="C90" i="14"/>
  <c r="C91" i="14"/>
  <c r="C92" i="14"/>
  <c r="C93" i="14"/>
  <c r="C94" i="14"/>
  <c r="C95" i="14"/>
  <c r="C96" i="14"/>
  <c r="C82" i="14"/>
  <c r="E82" i="14" s="1"/>
  <c r="G5" i="14"/>
  <c r="G65" i="14"/>
  <c r="B251" i="1"/>
  <c r="B252" i="1" s="1"/>
  <c r="E271" i="1" s="1"/>
  <c r="D297" i="1"/>
  <c r="D296" i="1"/>
  <c r="D295" i="1"/>
  <c r="D294" i="1"/>
  <c r="D293" i="1"/>
  <c r="D292" i="1"/>
  <c r="D291" i="1"/>
  <c r="D290" i="1"/>
  <c r="I289" i="1"/>
  <c r="D289" i="1"/>
  <c r="E289" i="1" s="1"/>
  <c r="J288" i="1"/>
  <c r="I288" i="1"/>
  <c r="D288" i="1"/>
  <c r="E288" i="1" s="1"/>
  <c r="I287" i="1"/>
  <c r="J287" i="1" s="1"/>
  <c r="D287" i="1"/>
  <c r="I286" i="1"/>
  <c r="J286" i="1" s="1"/>
  <c r="D286" i="1"/>
  <c r="I285" i="1"/>
  <c r="D285" i="1"/>
  <c r="E285" i="1" s="1"/>
  <c r="F285" i="1" s="1"/>
  <c r="I284" i="1"/>
  <c r="D284" i="1"/>
  <c r="E284" i="1" s="1"/>
  <c r="F284" i="1" s="1"/>
  <c r="I283" i="1"/>
  <c r="E283" i="1"/>
  <c r="D283" i="1"/>
  <c r="I282" i="1"/>
  <c r="J282" i="1" s="1"/>
  <c r="K282" i="1" s="1"/>
  <c r="F282" i="1"/>
  <c r="D282" i="1"/>
  <c r="E282" i="1" s="1"/>
  <c r="I277" i="1"/>
  <c r="D277" i="1"/>
  <c r="D276" i="1"/>
  <c r="I275" i="1"/>
  <c r="D275" i="1"/>
  <c r="D274" i="1"/>
  <c r="I273" i="1"/>
  <c r="D273" i="1"/>
  <c r="I272" i="1"/>
  <c r="D272" i="1"/>
  <c r="I271" i="1"/>
  <c r="D271" i="1"/>
  <c r="I270" i="1"/>
  <c r="D270" i="1"/>
  <c r="J269" i="1"/>
  <c r="E269" i="1"/>
  <c r="J268" i="1"/>
  <c r="E268" i="1"/>
  <c r="J267" i="1"/>
  <c r="E267" i="1"/>
  <c r="J266" i="1"/>
  <c r="E266" i="1"/>
  <c r="J265" i="1"/>
  <c r="K265" i="1" s="1"/>
  <c r="E265" i="1"/>
  <c r="F265" i="1" s="1"/>
  <c r="J264" i="1"/>
  <c r="K264" i="1" s="1"/>
  <c r="E264" i="1"/>
  <c r="F264" i="1" s="1"/>
  <c r="J263" i="1"/>
  <c r="K263" i="1" s="1"/>
  <c r="E263" i="1"/>
  <c r="F263" i="1" s="1"/>
  <c r="J262" i="1"/>
  <c r="K262" i="1" s="1"/>
  <c r="E262" i="1"/>
  <c r="F262" i="1" s="1"/>
  <c r="F47" i="14"/>
  <c r="G34" i="14"/>
  <c r="G33" i="14"/>
  <c r="E56" i="14"/>
  <c r="E55" i="14"/>
  <c r="E54" i="14"/>
  <c r="E53" i="14"/>
  <c r="E52" i="14"/>
  <c r="E51" i="14"/>
  <c r="E50" i="14"/>
  <c r="E49" i="14"/>
  <c r="E60" i="3"/>
  <c r="E57" i="3"/>
  <c r="E50" i="3"/>
  <c r="E51" i="3"/>
  <c r="E49" i="3"/>
  <c r="E46" i="3"/>
  <c r="E47" i="3"/>
  <c r="E43" i="3"/>
  <c r="E45" i="3"/>
  <c r="E44" i="3"/>
  <c r="E40" i="3"/>
  <c r="E38" i="3"/>
  <c r="E39" i="3"/>
  <c r="E41" i="3"/>
  <c r="E42" i="3"/>
  <c r="E37" i="3"/>
  <c r="E94" i="14"/>
  <c r="J693" i="1"/>
  <c r="K693" i="1" s="1"/>
  <c r="G712" i="1" s="1"/>
  <c r="I693" i="1"/>
  <c r="D712" i="1" s="1"/>
  <c r="H655" i="1"/>
  <c r="K655" i="1"/>
  <c r="D636" i="1"/>
  <c r="C26" i="12"/>
  <c r="D132" i="1"/>
  <c r="C19" i="13"/>
  <c r="C20" i="13"/>
  <c r="C21" i="13"/>
  <c r="C22" i="13"/>
  <c r="C23" i="13"/>
  <c r="C24" i="13"/>
  <c r="C18" i="13"/>
  <c r="K46" i="12"/>
  <c r="L263" i="1" l="1"/>
  <c r="B303" i="1" s="1"/>
  <c r="F283" i="1"/>
  <c r="L264" i="1"/>
  <c r="B304" i="1" s="1"/>
  <c r="F304" i="1" s="1"/>
  <c r="L262" i="1"/>
  <c r="B302" i="1" s="1"/>
  <c r="F302" i="1" s="1"/>
  <c r="L265" i="1"/>
  <c r="B305" i="1" s="1"/>
  <c r="F305" i="1" s="1"/>
  <c r="J271" i="1"/>
  <c r="F303" i="1"/>
  <c r="E274" i="1"/>
  <c r="E290" i="1"/>
  <c r="E294" i="1"/>
  <c r="E296" i="1"/>
  <c r="E272" i="1"/>
  <c r="J275" i="1"/>
  <c r="E270" i="1"/>
  <c r="J284" i="1"/>
  <c r="K284" i="1" s="1"/>
  <c r="L284" i="1" s="1"/>
  <c r="E304" i="1" s="1"/>
  <c r="E286" i="1"/>
  <c r="J290" i="1"/>
  <c r="J292" i="1"/>
  <c r="J294" i="1"/>
  <c r="J296" i="1"/>
  <c r="C255" i="1"/>
  <c r="J273" i="1"/>
  <c r="E276" i="1"/>
  <c r="E291" i="1"/>
  <c r="E293" i="1"/>
  <c r="E295" i="1"/>
  <c r="E297" i="1"/>
  <c r="J276" i="1"/>
  <c r="J274" i="1"/>
  <c r="C256" i="1"/>
  <c r="E273" i="1"/>
  <c r="B256" i="1"/>
  <c r="J272" i="1"/>
  <c r="E275" i="1"/>
  <c r="L282" i="1"/>
  <c r="E302" i="1" s="1"/>
  <c r="T302" i="1" s="1"/>
  <c r="J277" i="1"/>
  <c r="E287" i="1"/>
  <c r="E292" i="1"/>
  <c r="B255" i="1"/>
  <c r="J270" i="1"/>
  <c r="E277" i="1"/>
  <c r="J283" i="1"/>
  <c r="K283" i="1" s="1"/>
  <c r="L283" i="1" s="1"/>
  <c r="E303" i="1" s="1"/>
  <c r="J289" i="1"/>
  <c r="J291" i="1"/>
  <c r="J293" i="1"/>
  <c r="J295" i="1"/>
  <c r="J297" i="1"/>
  <c r="J285" i="1"/>
  <c r="K285" i="1" s="1"/>
  <c r="L285" i="1" s="1"/>
  <c r="E305" i="1" s="1"/>
  <c r="E91" i="14"/>
  <c r="E88" i="14"/>
  <c r="E85" i="14"/>
  <c r="E26" i="12"/>
  <c r="E18" i="13"/>
  <c r="E23" i="13"/>
  <c r="E21" i="13"/>
  <c r="E19" i="13"/>
  <c r="E20" i="13"/>
  <c r="E22" i="13"/>
  <c r="E24" i="13"/>
  <c r="H44" i="12"/>
  <c r="H42" i="12"/>
  <c r="H5" i="12"/>
  <c r="B26" i="3"/>
  <c r="B27" i="3" s="1"/>
  <c r="B184" i="1"/>
  <c r="F80" i="14"/>
  <c r="F17" i="12"/>
  <c r="B66" i="1"/>
  <c r="B67" i="1" s="1"/>
  <c r="B619" i="1"/>
  <c r="J46" i="12"/>
  <c r="I46" i="12"/>
  <c r="H46" i="12"/>
  <c r="G46" i="12"/>
  <c r="F46" i="12"/>
  <c r="B45" i="4"/>
  <c r="B46" i="4" s="1"/>
  <c r="B115" i="1"/>
  <c r="B116" i="1" s="1"/>
  <c r="Q302" i="1" l="1"/>
  <c r="J152" i="1"/>
  <c r="E152" i="1"/>
  <c r="J131" i="1"/>
  <c r="E131" i="1"/>
  <c r="P302" i="1"/>
  <c r="K287" i="1"/>
  <c r="B185" i="1"/>
  <c r="K268" i="1" s="1"/>
  <c r="K289" i="1"/>
  <c r="F287" i="1"/>
  <c r="F288" i="1"/>
  <c r="K288" i="1"/>
  <c r="F286" i="1"/>
  <c r="K286" i="1"/>
  <c r="F289" i="1"/>
  <c r="R305" i="1"/>
  <c r="T305" i="1"/>
  <c r="Q305" i="1"/>
  <c r="S305" i="1"/>
  <c r="P305" i="1"/>
  <c r="Q304" i="1"/>
  <c r="T304" i="1"/>
  <c r="S304" i="1"/>
  <c r="P304" i="1"/>
  <c r="R304" i="1"/>
  <c r="R303" i="1"/>
  <c r="Q303" i="1"/>
  <c r="T303" i="1"/>
  <c r="P303" i="1"/>
  <c r="S303" i="1"/>
  <c r="R302" i="1"/>
  <c r="F271" i="1"/>
  <c r="K272" i="1"/>
  <c r="K271" i="1"/>
  <c r="K273" i="1"/>
  <c r="F270" i="1"/>
  <c r="F273" i="1"/>
  <c r="F272" i="1"/>
  <c r="K270" i="1"/>
  <c r="S302" i="1"/>
  <c r="K293" i="1"/>
  <c r="K292" i="1"/>
  <c r="K291" i="1"/>
  <c r="K290" i="1"/>
  <c r="F292" i="1"/>
  <c r="F290" i="1"/>
  <c r="F293" i="1"/>
  <c r="L293" i="1" s="1"/>
  <c r="E313" i="1" s="1"/>
  <c r="F291" i="1"/>
  <c r="K276" i="1"/>
  <c r="K275" i="1"/>
  <c r="F277" i="1"/>
  <c r="F276" i="1"/>
  <c r="F275" i="1"/>
  <c r="F274" i="1"/>
  <c r="K274" i="1"/>
  <c r="K277" i="1"/>
  <c r="K297" i="1"/>
  <c r="K296" i="1"/>
  <c r="K295" i="1"/>
  <c r="K294" i="1"/>
  <c r="F296" i="1"/>
  <c r="F294" i="1"/>
  <c r="F297" i="1"/>
  <c r="L297" i="1" s="1"/>
  <c r="E317" i="1" s="1"/>
  <c r="F295" i="1"/>
  <c r="E132" i="1"/>
  <c r="J132" i="1"/>
  <c r="J153" i="1"/>
  <c r="E153" i="1"/>
  <c r="H78" i="1"/>
  <c r="H90" i="1"/>
  <c r="D81" i="1"/>
  <c r="D76" i="1"/>
  <c r="H92" i="1"/>
  <c r="H76" i="1"/>
  <c r="D90" i="1"/>
  <c r="H95" i="1"/>
  <c r="D92" i="1"/>
  <c r="H81" i="1"/>
  <c r="D95" i="1"/>
  <c r="D78" i="1"/>
  <c r="E96" i="14"/>
  <c r="E95" i="14"/>
  <c r="E93" i="14"/>
  <c r="E92" i="14"/>
  <c r="E90" i="14"/>
  <c r="E89" i="14"/>
  <c r="E87" i="14"/>
  <c r="E86" i="14"/>
  <c r="E84" i="14"/>
  <c r="E83" i="14"/>
  <c r="G66" i="14"/>
  <c r="C26" i="14"/>
  <c r="E26" i="14" s="1"/>
  <c r="C25" i="14"/>
  <c r="E25" i="14" s="1"/>
  <c r="C24" i="14"/>
  <c r="E24" i="14" s="1"/>
  <c r="C23" i="14"/>
  <c r="E23" i="14" s="1"/>
  <c r="C22" i="14"/>
  <c r="E22" i="14" s="1"/>
  <c r="C21" i="14"/>
  <c r="E21" i="14" s="1"/>
  <c r="F19" i="14"/>
  <c r="G6" i="14"/>
  <c r="M24" i="13"/>
  <c r="M22" i="13"/>
  <c r="M21" i="13"/>
  <c r="M19" i="13"/>
  <c r="M18" i="13"/>
  <c r="F16" i="13"/>
  <c r="G6" i="13"/>
  <c r="G5" i="13"/>
  <c r="E87" i="12"/>
  <c r="H73" i="12"/>
  <c r="H72" i="12"/>
  <c r="C70" i="12"/>
  <c r="E70" i="12" s="1"/>
  <c r="C69" i="12"/>
  <c r="E69" i="12" s="1"/>
  <c r="C68" i="12"/>
  <c r="E68" i="12" s="1"/>
  <c r="C67" i="12"/>
  <c r="E67" i="12" s="1"/>
  <c r="C66" i="12"/>
  <c r="E66" i="12" s="1"/>
  <c r="C65" i="12"/>
  <c r="E65" i="12" s="1"/>
  <c r="C64" i="12"/>
  <c r="E64" i="12" s="1"/>
  <c r="C63" i="12"/>
  <c r="E63" i="12" s="1"/>
  <c r="C62" i="12"/>
  <c r="E62" i="12" s="1"/>
  <c r="C61" i="12"/>
  <c r="E61" i="12" s="1"/>
  <c r="C60" i="12"/>
  <c r="E60" i="12" s="1"/>
  <c r="C59" i="12"/>
  <c r="E59" i="12" s="1"/>
  <c r="C58" i="12"/>
  <c r="E58" i="12" s="1"/>
  <c r="C57" i="12"/>
  <c r="E57" i="12" s="1"/>
  <c r="C56" i="12"/>
  <c r="E56" i="12" s="1"/>
  <c r="C55" i="12"/>
  <c r="E55" i="12" s="1"/>
  <c r="C54" i="12"/>
  <c r="E54" i="12" s="1"/>
  <c r="C53" i="12"/>
  <c r="E53" i="12" s="1"/>
  <c r="C52" i="12"/>
  <c r="E52" i="12" s="1"/>
  <c r="C51" i="12"/>
  <c r="E51" i="12" s="1"/>
  <c r="C50" i="12"/>
  <c r="E50" i="12" s="1"/>
  <c r="C49" i="12"/>
  <c r="E49" i="12" s="1"/>
  <c r="C48" i="12"/>
  <c r="E48" i="12" s="1"/>
  <c r="C47" i="12"/>
  <c r="F45" i="12"/>
  <c r="H43" i="12"/>
  <c r="C33" i="12"/>
  <c r="E33" i="12" s="1"/>
  <c r="C32" i="12"/>
  <c r="E32" i="12" s="1"/>
  <c r="C31" i="12"/>
  <c r="E31" i="12" s="1"/>
  <c r="C30" i="12"/>
  <c r="E30" i="12" s="1"/>
  <c r="C29" i="12"/>
  <c r="E29" i="12" s="1"/>
  <c r="C28" i="12"/>
  <c r="E28" i="12" s="1"/>
  <c r="C27" i="12"/>
  <c r="E27" i="12" s="1"/>
  <c r="C24" i="12"/>
  <c r="E24" i="12" s="1"/>
  <c r="C23" i="12"/>
  <c r="E23" i="12" s="1"/>
  <c r="C22" i="12"/>
  <c r="E22" i="12" s="1"/>
  <c r="C21" i="12"/>
  <c r="E21" i="12" s="1"/>
  <c r="C20" i="12"/>
  <c r="E20" i="12" s="1"/>
  <c r="C19" i="12"/>
  <c r="E19" i="12" s="1"/>
  <c r="H6" i="12"/>
  <c r="M183" i="6"/>
  <c r="B183" i="6"/>
  <c r="M182" i="6"/>
  <c r="B182" i="6"/>
  <c r="M181" i="6"/>
  <c r="B181" i="6"/>
  <c r="M180" i="6"/>
  <c r="B180" i="6"/>
  <c r="M179" i="6"/>
  <c r="B179" i="6"/>
  <c r="M178" i="6"/>
  <c r="B178" i="6"/>
  <c r="M177" i="6"/>
  <c r="B177" i="6"/>
  <c r="M176" i="6"/>
  <c r="B176" i="6"/>
  <c r="M175" i="6"/>
  <c r="B175" i="6"/>
  <c r="M174" i="6"/>
  <c r="B174" i="6"/>
  <c r="M141" i="6"/>
  <c r="B141" i="6"/>
  <c r="M140" i="6"/>
  <c r="B140" i="6"/>
  <c r="M139" i="6"/>
  <c r="B139" i="6"/>
  <c r="M138" i="6"/>
  <c r="B138" i="6"/>
  <c r="M137" i="6"/>
  <c r="B137" i="6"/>
  <c r="M136" i="6"/>
  <c r="B136" i="6"/>
  <c r="M116" i="6"/>
  <c r="B116" i="6"/>
  <c r="M115" i="6"/>
  <c r="B115" i="6"/>
  <c r="M114" i="6"/>
  <c r="B114" i="6"/>
  <c r="M113" i="6"/>
  <c r="B113" i="6"/>
  <c r="M112" i="6"/>
  <c r="B112" i="6"/>
  <c r="M97" i="6"/>
  <c r="B97" i="6"/>
  <c r="M96" i="6"/>
  <c r="B96" i="6"/>
  <c r="M95" i="6"/>
  <c r="B95" i="6"/>
  <c r="M94" i="6"/>
  <c r="B94" i="6"/>
  <c r="M93" i="6"/>
  <c r="B93" i="6"/>
  <c r="M92" i="6"/>
  <c r="B92" i="6"/>
  <c r="M91" i="6"/>
  <c r="B91" i="6"/>
  <c r="M90" i="6"/>
  <c r="B90" i="6"/>
  <c r="M89" i="6"/>
  <c r="B89" i="6"/>
  <c r="M88" i="6"/>
  <c r="B88" i="6"/>
  <c r="M87" i="6"/>
  <c r="B87" i="6"/>
  <c r="M86" i="6"/>
  <c r="B86" i="6"/>
  <c r="M85" i="6"/>
  <c r="B85" i="6"/>
  <c r="M84" i="6"/>
  <c r="B84" i="6"/>
  <c r="M83" i="6"/>
  <c r="B83" i="6"/>
  <c r="M82" i="6"/>
  <c r="B82" i="6"/>
  <c r="M81" i="6"/>
  <c r="B81" i="6"/>
  <c r="M80" i="6"/>
  <c r="B80" i="6"/>
  <c r="M79" i="6"/>
  <c r="B79" i="6"/>
  <c r="M78" i="6"/>
  <c r="B78" i="6"/>
  <c r="M77" i="6"/>
  <c r="B77" i="6"/>
  <c r="M76" i="6"/>
  <c r="B76" i="6"/>
  <c r="M75" i="6"/>
  <c r="B75" i="6"/>
  <c r="M74" i="6"/>
  <c r="B74" i="6"/>
  <c r="M66" i="6"/>
  <c r="B66" i="6"/>
  <c r="M65" i="6"/>
  <c r="B65" i="6"/>
  <c r="M64" i="6"/>
  <c r="B64" i="6"/>
  <c r="M63" i="6"/>
  <c r="B63" i="6"/>
  <c r="M62" i="6"/>
  <c r="B62" i="6"/>
  <c r="M61" i="6"/>
  <c r="B61" i="6"/>
  <c r="M60" i="6"/>
  <c r="B60" i="6"/>
  <c r="M59" i="6"/>
  <c r="B59" i="6"/>
  <c r="M58" i="6"/>
  <c r="B58" i="6"/>
  <c r="M57" i="6"/>
  <c r="B57" i="6"/>
  <c r="M56" i="6"/>
  <c r="B56" i="6"/>
  <c r="M55" i="6"/>
  <c r="B55" i="6"/>
  <c r="M54" i="6"/>
  <c r="B54" i="6"/>
  <c r="M53" i="6"/>
  <c r="B53" i="6"/>
  <c r="M52" i="6"/>
  <c r="B52" i="6"/>
  <c r="M51" i="6"/>
  <c r="B51" i="6"/>
  <c r="M50" i="6"/>
  <c r="B50" i="6"/>
  <c r="M49" i="6"/>
  <c r="B49" i="6"/>
  <c r="M48" i="6"/>
  <c r="B48" i="6"/>
  <c r="M47" i="6"/>
  <c r="B47" i="6"/>
  <c r="M46" i="6"/>
  <c r="B46" i="6"/>
  <c r="M45" i="6"/>
  <c r="B45" i="6"/>
  <c r="M44" i="6"/>
  <c r="B44" i="6"/>
  <c r="M43" i="6"/>
  <c r="B43" i="6"/>
  <c r="M30" i="6"/>
  <c r="B30" i="6"/>
  <c r="M29" i="6"/>
  <c r="B29" i="6"/>
  <c r="M28" i="6"/>
  <c r="B28" i="6"/>
  <c r="M27" i="6"/>
  <c r="B27" i="6"/>
  <c r="M26" i="6"/>
  <c r="B26" i="6"/>
  <c r="M25" i="6"/>
  <c r="B25" i="6"/>
  <c r="M24" i="6"/>
  <c r="B24" i="6"/>
  <c r="M23" i="6"/>
  <c r="B23" i="6"/>
  <c r="M22" i="6"/>
  <c r="B22" i="6"/>
  <c r="M21" i="6"/>
  <c r="B21" i="6"/>
  <c r="M20" i="6"/>
  <c r="B20" i="6"/>
  <c r="M19" i="6"/>
  <c r="B19" i="6"/>
  <c r="M18" i="6"/>
  <c r="B18" i="6"/>
  <c r="L59" i="8"/>
  <c r="C59" i="8"/>
  <c r="L58" i="8"/>
  <c r="C58" i="8"/>
  <c r="L57" i="8"/>
  <c r="C57" i="8"/>
  <c r="L56" i="8"/>
  <c r="C56" i="8"/>
  <c r="L55" i="8"/>
  <c r="C55" i="8"/>
  <c r="L54" i="8"/>
  <c r="C54" i="8"/>
  <c r="L53" i="8"/>
  <c r="C53" i="8"/>
  <c r="L52" i="8"/>
  <c r="C52" i="8"/>
  <c r="L51" i="8"/>
  <c r="C51" i="8"/>
  <c r="L50" i="8"/>
  <c r="C50" i="8"/>
  <c r="E48" i="8"/>
  <c r="G34" i="8"/>
  <c r="G33" i="8"/>
  <c r="L26" i="8"/>
  <c r="C26" i="8"/>
  <c r="L25" i="8"/>
  <c r="C25" i="8"/>
  <c r="L24" i="8"/>
  <c r="C24" i="8"/>
  <c r="L23" i="8"/>
  <c r="C23" i="8"/>
  <c r="L22" i="8"/>
  <c r="C22" i="8"/>
  <c r="L21" i="8"/>
  <c r="C21" i="8"/>
  <c r="E19" i="8"/>
  <c r="G6" i="8"/>
  <c r="G5" i="8"/>
  <c r="M22" i="7"/>
  <c r="C22" i="7"/>
  <c r="M21" i="7"/>
  <c r="C21" i="7"/>
  <c r="M20" i="7"/>
  <c r="C20" i="7"/>
  <c r="M19" i="7"/>
  <c r="C19" i="7"/>
  <c r="M18" i="7"/>
  <c r="C18" i="7"/>
  <c r="E16" i="7"/>
  <c r="G6" i="7"/>
  <c r="G5" i="7"/>
  <c r="E85" i="5"/>
  <c r="G71" i="5"/>
  <c r="G70" i="5"/>
  <c r="L68" i="5"/>
  <c r="C68" i="5"/>
  <c r="L67" i="5"/>
  <c r="C67" i="5"/>
  <c r="L66" i="5"/>
  <c r="C66" i="5"/>
  <c r="L65" i="5"/>
  <c r="C65" i="5"/>
  <c r="L64" i="5"/>
  <c r="C64" i="5"/>
  <c r="L63" i="5"/>
  <c r="C63" i="5"/>
  <c r="L62" i="5"/>
  <c r="C62" i="5"/>
  <c r="L61" i="5"/>
  <c r="C61" i="5"/>
  <c r="L60" i="5"/>
  <c r="C60" i="5"/>
  <c r="L59" i="5"/>
  <c r="C59" i="5"/>
  <c r="L58" i="5"/>
  <c r="C58" i="5"/>
  <c r="L57" i="5"/>
  <c r="C57" i="5"/>
  <c r="L56" i="5"/>
  <c r="C56" i="5"/>
  <c r="L55" i="5"/>
  <c r="C55" i="5"/>
  <c r="L54" i="5"/>
  <c r="C54" i="5"/>
  <c r="L53" i="5"/>
  <c r="C53" i="5"/>
  <c r="L52" i="5"/>
  <c r="C52" i="5"/>
  <c r="L51" i="5"/>
  <c r="C51" i="5"/>
  <c r="L50" i="5"/>
  <c r="C50" i="5"/>
  <c r="L49" i="5"/>
  <c r="C49" i="5"/>
  <c r="L48" i="5"/>
  <c r="C48" i="5"/>
  <c r="L47" i="5"/>
  <c r="C47" i="5"/>
  <c r="L46" i="5"/>
  <c r="C46" i="5"/>
  <c r="L45" i="5"/>
  <c r="C45" i="5"/>
  <c r="I44" i="5"/>
  <c r="H44" i="5"/>
  <c r="G44" i="5"/>
  <c r="F44" i="5"/>
  <c r="E44" i="5"/>
  <c r="E43" i="5"/>
  <c r="G41" i="5"/>
  <c r="G40" i="5"/>
  <c r="L31" i="5"/>
  <c r="C31" i="5"/>
  <c r="L30" i="5"/>
  <c r="C30" i="5"/>
  <c r="L29" i="5"/>
  <c r="C29" i="5"/>
  <c r="L28" i="5"/>
  <c r="C28" i="5"/>
  <c r="L27" i="5"/>
  <c r="C27" i="5"/>
  <c r="L26" i="5"/>
  <c r="C26" i="5"/>
  <c r="L25" i="5"/>
  <c r="C25" i="5"/>
  <c r="L24" i="5"/>
  <c r="C24" i="5"/>
  <c r="L23" i="5"/>
  <c r="C23" i="5"/>
  <c r="L22" i="5"/>
  <c r="C22" i="5"/>
  <c r="L21" i="5"/>
  <c r="C21" i="5"/>
  <c r="L20" i="5"/>
  <c r="C20" i="5"/>
  <c r="L19" i="5"/>
  <c r="C19" i="5"/>
  <c r="E17" i="5"/>
  <c r="G6" i="5"/>
  <c r="G5" i="5"/>
  <c r="B410" i="4"/>
  <c r="E407" i="4"/>
  <c r="H406" i="4"/>
  <c r="D423" i="4" s="1"/>
  <c r="G406" i="4"/>
  <c r="E406" i="4"/>
  <c r="G404" i="4"/>
  <c r="E404" i="4"/>
  <c r="H404" i="4" s="1"/>
  <c r="D420" i="4" s="1"/>
  <c r="E403" i="4"/>
  <c r="G402" i="4"/>
  <c r="E402" i="4"/>
  <c r="E401" i="4"/>
  <c r="E400" i="4"/>
  <c r="I396" i="4"/>
  <c r="E396" i="4"/>
  <c r="I395" i="4"/>
  <c r="I393" i="4"/>
  <c r="F393" i="4" s="1"/>
  <c r="B421" i="4" s="1"/>
  <c r="E393" i="4"/>
  <c r="I392" i="4"/>
  <c r="I391" i="4"/>
  <c r="E391" i="4"/>
  <c r="F391" i="4" s="1"/>
  <c r="I390" i="4"/>
  <c r="I389" i="4"/>
  <c r="E389" i="4"/>
  <c r="F389" i="4" s="1"/>
  <c r="B417" i="4" s="1"/>
  <c r="I388" i="4"/>
  <c r="I387" i="4"/>
  <c r="E387" i="4"/>
  <c r="F387" i="4" s="1"/>
  <c r="B415" i="4" s="1"/>
  <c r="E376" i="4"/>
  <c r="F376" i="4" s="1"/>
  <c r="E374" i="4"/>
  <c r="F374" i="4" s="1"/>
  <c r="E373" i="4"/>
  <c r="F373" i="4" s="1"/>
  <c r="E371" i="4"/>
  <c r="F371" i="4" s="1"/>
  <c r="E370" i="4"/>
  <c r="F370" i="4" s="1"/>
  <c r="B365" i="4"/>
  <c r="E360" i="4"/>
  <c r="F360" i="4" s="1"/>
  <c r="E359" i="4"/>
  <c r="F359" i="4" s="1"/>
  <c r="F357" i="4"/>
  <c r="E357" i="4"/>
  <c r="E356" i="4"/>
  <c r="F356" i="4" s="1"/>
  <c r="E354" i="4"/>
  <c r="F354" i="4" s="1"/>
  <c r="B346" i="4"/>
  <c r="Q301" i="4"/>
  <c r="P301" i="4"/>
  <c r="O301" i="4"/>
  <c r="N301" i="4"/>
  <c r="Q300" i="4"/>
  <c r="P300" i="4"/>
  <c r="O300" i="4"/>
  <c r="N300" i="4"/>
  <c r="Q299" i="4"/>
  <c r="P299" i="4"/>
  <c r="O299" i="4"/>
  <c r="Q298" i="4"/>
  <c r="P298" i="4"/>
  <c r="O298" i="4"/>
  <c r="Q297" i="4"/>
  <c r="P297" i="4"/>
  <c r="O297" i="4"/>
  <c r="Q296" i="4"/>
  <c r="P296" i="4"/>
  <c r="O296" i="4"/>
  <c r="Q295" i="4"/>
  <c r="P295" i="4"/>
  <c r="O295" i="4"/>
  <c r="Q294" i="4"/>
  <c r="P294" i="4"/>
  <c r="O294" i="4"/>
  <c r="Q293" i="4"/>
  <c r="P293" i="4"/>
  <c r="O293" i="4"/>
  <c r="Q292" i="4"/>
  <c r="P292" i="4"/>
  <c r="O292" i="4"/>
  <c r="Q291" i="4"/>
  <c r="P291" i="4"/>
  <c r="O291" i="4"/>
  <c r="E286" i="4"/>
  <c r="E281" i="4"/>
  <c r="E279" i="4"/>
  <c r="E274" i="4"/>
  <c r="E272" i="4"/>
  <c r="E270" i="4"/>
  <c r="E267" i="4"/>
  <c r="E264" i="4"/>
  <c r="E263" i="4"/>
  <c r="H245" i="4"/>
  <c r="H244" i="4"/>
  <c r="Q243" i="4"/>
  <c r="P243" i="4"/>
  <c r="O243" i="4"/>
  <c r="Q242" i="4"/>
  <c r="P242" i="4"/>
  <c r="O242" i="4"/>
  <c r="Q241" i="4"/>
  <c r="P241" i="4"/>
  <c r="O241" i="4"/>
  <c r="Q240" i="4"/>
  <c r="P240" i="4"/>
  <c r="O240" i="4"/>
  <c r="Q239" i="4"/>
  <c r="P239" i="4"/>
  <c r="O239" i="4"/>
  <c r="Q238" i="4"/>
  <c r="P238" i="4"/>
  <c r="O238" i="4"/>
  <c r="Q237" i="4"/>
  <c r="P237" i="4"/>
  <c r="O237" i="4"/>
  <c r="Q236" i="4"/>
  <c r="P236" i="4"/>
  <c r="O236" i="4"/>
  <c r="Q235" i="4"/>
  <c r="P235" i="4"/>
  <c r="O235" i="4"/>
  <c r="E229" i="4"/>
  <c r="E226" i="4"/>
  <c r="E219" i="4"/>
  <c r="E208" i="4"/>
  <c r="B198" i="4"/>
  <c r="B190" i="4"/>
  <c r="C186" i="4"/>
  <c r="C185" i="4"/>
  <c r="D176" i="4"/>
  <c r="E176" i="4" s="1"/>
  <c r="C176" i="4"/>
  <c r="E175" i="4"/>
  <c r="D175" i="4"/>
  <c r="C175" i="4"/>
  <c r="D174" i="4"/>
  <c r="E174" i="4" s="1"/>
  <c r="C174" i="4"/>
  <c r="E173" i="4"/>
  <c r="D173" i="4"/>
  <c r="C173" i="4"/>
  <c r="B143" i="4"/>
  <c r="G149" i="4" s="1"/>
  <c r="I127" i="4"/>
  <c r="E63" i="4"/>
  <c r="B41" i="4"/>
  <c r="F38" i="4"/>
  <c r="K38" i="4" s="1"/>
  <c r="I36" i="4"/>
  <c r="J36" i="4" s="1"/>
  <c r="I35" i="4"/>
  <c r="J35" i="4" s="1"/>
  <c r="B31" i="4"/>
  <c r="K28" i="4"/>
  <c r="J28" i="4"/>
  <c r="I28" i="4"/>
  <c r="D28" i="4"/>
  <c r="C28" i="4"/>
  <c r="C27" i="4"/>
  <c r="D27" i="4" s="1"/>
  <c r="K26" i="4"/>
  <c r="D26" i="4"/>
  <c r="E26" i="4" s="1"/>
  <c r="K25" i="4"/>
  <c r="J25" i="4"/>
  <c r="D25" i="4"/>
  <c r="E25" i="4" s="1"/>
  <c r="T24" i="4"/>
  <c r="K24" i="4"/>
  <c r="J24" i="4"/>
  <c r="I24" i="4"/>
  <c r="R24" i="4" s="1"/>
  <c r="D24" i="4"/>
  <c r="E24" i="4" s="1"/>
  <c r="K23" i="4"/>
  <c r="E23" i="4"/>
  <c r="D23" i="4"/>
  <c r="S22" i="4"/>
  <c r="K22" i="4"/>
  <c r="J22" i="4"/>
  <c r="I22" i="4"/>
  <c r="E22" i="4"/>
  <c r="D22" i="4"/>
  <c r="K21" i="4"/>
  <c r="D21" i="4"/>
  <c r="K20" i="4"/>
  <c r="D20" i="4"/>
  <c r="T19" i="4"/>
  <c r="K19" i="4"/>
  <c r="J19" i="4"/>
  <c r="I19" i="4"/>
  <c r="R19" i="4" s="1"/>
  <c r="D19" i="4"/>
  <c r="K18" i="4"/>
  <c r="I18" i="4"/>
  <c r="D18" i="4"/>
  <c r="K17" i="4"/>
  <c r="J17" i="4"/>
  <c r="D17" i="4"/>
  <c r="K16" i="4"/>
  <c r="D16" i="4"/>
  <c r="K15" i="4"/>
  <c r="I15" i="4"/>
  <c r="D15" i="4"/>
  <c r="E15" i="4" s="1"/>
  <c r="B15" i="4"/>
  <c r="K14" i="4"/>
  <c r="I14" i="4"/>
  <c r="D14" i="4"/>
  <c r="E14" i="4" s="1"/>
  <c r="B14" i="4"/>
  <c r="K13" i="4"/>
  <c r="I13" i="4"/>
  <c r="D13" i="4"/>
  <c r="E13" i="4" s="1"/>
  <c r="B13" i="4"/>
  <c r="K12" i="4"/>
  <c r="I12" i="4"/>
  <c r="D12" i="4"/>
  <c r="E12" i="4" s="1"/>
  <c r="B12" i="4"/>
  <c r="K11" i="4"/>
  <c r="I11" i="4"/>
  <c r="D11" i="4"/>
  <c r="E11" i="4" s="1"/>
  <c r="B11" i="4"/>
  <c r="K10" i="4"/>
  <c r="I10" i="4"/>
  <c r="D10" i="4"/>
  <c r="B10" i="4"/>
  <c r="K9" i="4"/>
  <c r="D9" i="4"/>
  <c r="B9" i="4"/>
  <c r="K8" i="4"/>
  <c r="J8" i="4"/>
  <c r="D8" i="4"/>
  <c r="B8" i="4"/>
  <c r="T7" i="4"/>
  <c r="K7" i="4"/>
  <c r="J7" i="4"/>
  <c r="I7" i="4"/>
  <c r="D7" i="4"/>
  <c r="B7" i="4"/>
  <c r="K6" i="4"/>
  <c r="I6" i="4"/>
  <c r="D6" i="4"/>
  <c r="B6" i="4"/>
  <c r="I5" i="4"/>
  <c r="D5" i="4"/>
  <c r="B5" i="4"/>
  <c r="I150" i="3"/>
  <c r="I151" i="3" s="1"/>
  <c r="I152" i="3" s="1"/>
  <c r="I153" i="3" s="1"/>
  <c r="I154" i="3" s="1"/>
  <c r="I155" i="3" s="1"/>
  <c r="I156" i="3" s="1"/>
  <c r="I157" i="3" s="1"/>
  <c r="I158" i="3" s="1"/>
  <c r="I159" i="3" s="1"/>
  <c r="E139" i="3"/>
  <c r="E138" i="3"/>
  <c r="E137" i="3"/>
  <c r="E136" i="3"/>
  <c r="G124" i="3"/>
  <c r="G125" i="3" s="1"/>
  <c r="G126" i="3" s="1"/>
  <c r="G127" i="3" s="1"/>
  <c r="G128" i="3" s="1"/>
  <c r="G129" i="3" s="1"/>
  <c r="G130" i="3" s="1"/>
  <c r="G131" i="3" s="1"/>
  <c r="G123" i="3"/>
  <c r="F118" i="3"/>
  <c r="E62" i="3"/>
  <c r="E61" i="3"/>
  <c r="E59" i="3"/>
  <c r="E58" i="3"/>
  <c r="B96" i="3"/>
  <c r="B97" i="3" s="1"/>
  <c r="F16" i="3"/>
  <c r="G16" i="3" s="1"/>
  <c r="F15" i="3"/>
  <c r="G15" i="3" s="1"/>
  <c r="F14" i="3"/>
  <c r="G14" i="3" s="1"/>
  <c r="F13" i="3"/>
  <c r="G13" i="3" s="1"/>
  <c r="F12" i="3"/>
  <c r="G12" i="3" s="1"/>
  <c r="F11" i="3"/>
  <c r="G11" i="3" s="1"/>
  <c r="H10" i="3"/>
  <c r="F10" i="3"/>
  <c r="G10" i="3" s="1"/>
  <c r="H9" i="3"/>
  <c r="F9" i="3"/>
  <c r="G9" i="3" s="1"/>
  <c r="H8" i="3"/>
  <c r="F8" i="3"/>
  <c r="G8" i="3" s="1"/>
  <c r="H7" i="3"/>
  <c r="F7" i="3"/>
  <c r="G7" i="3" s="1"/>
  <c r="AN950" i="1"/>
  <c r="AM950" i="1"/>
  <c r="AC950" i="1"/>
  <c r="AN949" i="1"/>
  <c r="AM949" i="1"/>
  <c r="AC949" i="1"/>
  <c r="AN948" i="1"/>
  <c r="AM948" i="1"/>
  <c r="AC948" i="1"/>
  <c r="AN947" i="1"/>
  <c r="AM947" i="1"/>
  <c r="AC947" i="1"/>
  <c r="AN946" i="1"/>
  <c r="AM946" i="1"/>
  <c r="AC946" i="1"/>
  <c r="AN945" i="1"/>
  <c r="AM945" i="1"/>
  <c r="AC945" i="1"/>
  <c r="AN944" i="1"/>
  <c r="AM944" i="1"/>
  <c r="AE944" i="1"/>
  <c r="AC944" i="1"/>
  <c r="U944" i="1"/>
  <c r="AN943" i="1"/>
  <c r="AM943" i="1"/>
  <c r="AC943" i="1"/>
  <c r="AN942" i="1"/>
  <c r="AM942" i="1"/>
  <c r="AC942" i="1"/>
  <c r="AN941" i="1"/>
  <c r="AM941" i="1"/>
  <c r="AC941" i="1"/>
  <c r="AN938" i="1"/>
  <c r="AM938" i="1"/>
  <c r="AC938" i="1"/>
  <c r="AN937" i="1"/>
  <c r="AM937" i="1"/>
  <c r="AC937" i="1"/>
  <c r="AN936" i="1"/>
  <c r="AM936" i="1"/>
  <c r="AC936" i="1"/>
  <c r="AN935" i="1"/>
  <c r="AM935" i="1"/>
  <c r="AC935" i="1"/>
  <c r="AN934" i="1"/>
  <c r="AM934" i="1"/>
  <c r="AC934" i="1"/>
  <c r="AN933" i="1"/>
  <c r="AM933" i="1"/>
  <c r="AC933" i="1"/>
  <c r="AN932" i="1"/>
  <c r="AM932" i="1"/>
  <c r="AE932" i="1"/>
  <c r="AC932" i="1"/>
  <c r="U932" i="1"/>
  <c r="AN931" i="1"/>
  <c r="AM931" i="1"/>
  <c r="AC931" i="1"/>
  <c r="AN930" i="1"/>
  <c r="AM930" i="1"/>
  <c r="AC930" i="1"/>
  <c r="AN929" i="1"/>
  <c r="AM929" i="1"/>
  <c r="AC929" i="1"/>
  <c r="U929" i="1"/>
  <c r="U917" i="1" s="1"/>
  <c r="U905" i="1" s="1"/>
  <c r="U928" i="1"/>
  <c r="U916" i="1" s="1"/>
  <c r="U904" i="1" s="1"/>
  <c r="AN926" i="1"/>
  <c r="AM926" i="1"/>
  <c r="AC926" i="1"/>
  <c r="AN925" i="1"/>
  <c r="AM925" i="1"/>
  <c r="AC925" i="1"/>
  <c r="AN924" i="1"/>
  <c r="AM924" i="1"/>
  <c r="AC924" i="1"/>
  <c r="AN923" i="1"/>
  <c r="AM923" i="1"/>
  <c r="AC923" i="1"/>
  <c r="AN922" i="1"/>
  <c r="AM922" i="1"/>
  <c r="AC922" i="1"/>
  <c r="AN921" i="1"/>
  <c r="AM921" i="1"/>
  <c r="AC921" i="1"/>
  <c r="AN920" i="1"/>
  <c r="AM920" i="1"/>
  <c r="AE920" i="1"/>
  <c r="AC920" i="1"/>
  <c r="U920" i="1"/>
  <c r="AN919" i="1"/>
  <c r="AM919" i="1"/>
  <c r="AC919" i="1"/>
  <c r="AN918" i="1"/>
  <c r="AM918" i="1"/>
  <c r="AC918" i="1"/>
  <c r="AN917" i="1"/>
  <c r="AM917" i="1"/>
  <c r="AC917" i="1"/>
  <c r="AN914" i="1"/>
  <c r="AM914" i="1"/>
  <c r="AC914" i="1"/>
  <c r="AN913" i="1"/>
  <c r="AM913" i="1"/>
  <c r="AC913" i="1"/>
  <c r="AN912" i="1"/>
  <c r="AM912" i="1"/>
  <c r="AC912" i="1"/>
  <c r="AN911" i="1"/>
  <c r="AM911" i="1"/>
  <c r="AC911" i="1"/>
  <c r="AN910" i="1"/>
  <c r="AM910" i="1"/>
  <c r="AC910" i="1"/>
  <c r="AN909" i="1"/>
  <c r="AM909" i="1"/>
  <c r="AC909" i="1"/>
  <c r="AN908" i="1"/>
  <c r="AM908" i="1"/>
  <c r="AE908" i="1"/>
  <c r="AC908" i="1"/>
  <c r="U908" i="1"/>
  <c r="AN907" i="1"/>
  <c r="AM907" i="1"/>
  <c r="AC907" i="1"/>
  <c r="B907" i="1"/>
  <c r="E907" i="1" s="1"/>
  <c r="F907" i="1" s="1"/>
  <c r="AN906" i="1"/>
  <c r="AM906" i="1"/>
  <c r="AC906" i="1"/>
  <c r="AN905" i="1"/>
  <c r="AM905" i="1"/>
  <c r="AC905" i="1"/>
  <c r="AN901" i="1"/>
  <c r="AM901" i="1"/>
  <c r="AC901" i="1"/>
  <c r="AN900" i="1"/>
  <c r="AM900" i="1"/>
  <c r="AC900" i="1"/>
  <c r="AN899" i="1"/>
  <c r="AM899" i="1"/>
  <c r="AC899" i="1"/>
  <c r="AN898" i="1"/>
  <c r="AM898" i="1"/>
  <c r="AE898" i="1"/>
  <c r="AC898" i="1"/>
  <c r="U898" i="1"/>
  <c r="AN897" i="1"/>
  <c r="AM897" i="1"/>
  <c r="AC897" i="1"/>
  <c r="B897" i="1"/>
  <c r="AN896" i="1"/>
  <c r="AM896" i="1"/>
  <c r="AC896" i="1"/>
  <c r="G894" i="1"/>
  <c r="H894" i="1" s="1"/>
  <c r="D911" i="1" s="1"/>
  <c r="E894" i="1"/>
  <c r="H892" i="1"/>
  <c r="D908" i="1" s="1"/>
  <c r="G892" i="1"/>
  <c r="E892" i="1"/>
  <c r="AN890" i="1"/>
  <c r="AM890" i="1"/>
  <c r="AC890" i="1"/>
  <c r="G889" i="1"/>
  <c r="H889" i="1" s="1"/>
  <c r="D905" i="1" s="1"/>
  <c r="E889" i="1"/>
  <c r="G887" i="1"/>
  <c r="H887" i="1" s="1"/>
  <c r="E887" i="1"/>
  <c r="AN884" i="1"/>
  <c r="AM884" i="1"/>
  <c r="AC884" i="1"/>
  <c r="I883" i="1"/>
  <c r="F883" i="1"/>
  <c r="B911" i="1" s="1"/>
  <c r="E911" i="1" s="1"/>
  <c r="F911" i="1" s="1"/>
  <c r="E883" i="1"/>
  <c r="I882" i="1"/>
  <c r="E881" i="1"/>
  <c r="F881" i="1" s="1"/>
  <c r="B909" i="1" s="1"/>
  <c r="E909" i="1" s="1"/>
  <c r="I880" i="1"/>
  <c r="I879" i="1"/>
  <c r="F879" i="1"/>
  <c r="E879" i="1"/>
  <c r="AN878" i="1"/>
  <c r="AM878" i="1"/>
  <c r="AC878" i="1"/>
  <c r="I878" i="1"/>
  <c r="F878" i="1"/>
  <c r="B912" i="1" s="1"/>
  <c r="E878" i="1"/>
  <c r="I877" i="1"/>
  <c r="I876" i="1"/>
  <c r="F876" i="1"/>
  <c r="B904" i="1" s="1"/>
  <c r="E904" i="1" s="1"/>
  <c r="F904" i="1" s="1"/>
  <c r="E876" i="1"/>
  <c r="I875" i="1"/>
  <c r="AN874" i="1"/>
  <c r="AM874" i="1"/>
  <c r="AC874" i="1"/>
  <c r="I874" i="1"/>
  <c r="AN873" i="1"/>
  <c r="AM873" i="1"/>
  <c r="AE873" i="1"/>
  <c r="AC873" i="1"/>
  <c r="U873" i="1"/>
  <c r="AN872" i="1"/>
  <c r="AM872" i="1"/>
  <c r="AC872" i="1"/>
  <c r="AN871" i="1"/>
  <c r="AM871" i="1"/>
  <c r="AC871" i="1"/>
  <c r="AN870" i="1"/>
  <c r="AM870" i="1"/>
  <c r="AC870" i="1"/>
  <c r="AN866" i="1"/>
  <c r="AM866" i="1"/>
  <c r="AC866" i="1"/>
  <c r="AN865" i="1"/>
  <c r="AM865" i="1"/>
  <c r="AE865" i="1"/>
  <c r="AC865" i="1"/>
  <c r="U865" i="1"/>
  <c r="AN864" i="1"/>
  <c r="AM864" i="1"/>
  <c r="AC864" i="1"/>
  <c r="AN863" i="1"/>
  <c r="AM863" i="1"/>
  <c r="AC863" i="1"/>
  <c r="AN862" i="1"/>
  <c r="AM862" i="1"/>
  <c r="AC862" i="1"/>
  <c r="AN858" i="1"/>
  <c r="AM858" i="1"/>
  <c r="AC858" i="1"/>
  <c r="AN857" i="1"/>
  <c r="AM857" i="1"/>
  <c r="AC857" i="1"/>
  <c r="AN856" i="1"/>
  <c r="AM856" i="1"/>
  <c r="AC856" i="1"/>
  <c r="AN855" i="1"/>
  <c r="AM855" i="1"/>
  <c r="AE855" i="1"/>
  <c r="AC855" i="1"/>
  <c r="U855" i="1"/>
  <c r="AN854" i="1"/>
  <c r="AM854" i="1"/>
  <c r="AC854" i="1"/>
  <c r="AN853" i="1"/>
  <c r="AM853" i="1"/>
  <c r="AC853" i="1"/>
  <c r="AN852" i="1"/>
  <c r="AM852" i="1"/>
  <c r="AC852" i="1"/>
  <c r="E830" i="1"/>
  <c r="C848" i="1" s="1"/>
  <c r="E829" i="1"/>
  <c r="C847" i="1" s="1"/>
  <c r="E827" i="1"/>
  <c r="C845" i="1" s="1"/>
  <c r="E825" i="1"/>
  <c r="C843" i="1" s="1"/>
  <c r="D824" i="1"/>
  <c r="E824" i="1" s="1"/>
  <c r="D823" i="1"/>
  <c r="E823" i="1" s="1"/>
  <c r="F823" i="1" s="1"/>
  <c r="F822" i="1"/>
  <c r="E822" i="1"/>
  <c r="D822" i="1"/>
  <c r="D821" i="1"/>
  <c r="E821" i="1" s="1"/>
  <c r="D820" i="1"/>
  <c r="E820" i="1" s="1"/>
  <c r="D819" i="1"/>
  <c r="E819" i="1" s="1"/>
  <c r="D818" i="1"/>
  <c r="E818" i="1" s="1"/>
  <c r="D817" i="1"/>
  <c r="E817" i="1" s="1"/>
  <c r="F800" i="1"/>
  <c r="E793" i="1"/>
  <c r="E791" i="1"/>
  <c r="F791" i="1" s="1"/>
  <c r="G791" i="1" s="1"/>
  <c r="B810" i="1" s="1"/>
  <c r="E789" i="1"/>
  <c r="E788" i="1"/>
  <c r="E787" i="1"/>
  <c r="E786" i="1"/>
  <c r="E784" i="1"/>
  <c r="E782" i="1"/>
  <c r="E781" i="1"/>
  <c r="F781" i="1" s="1"/>
  <c r="G781" i="1" s="1"/>
  <c r="B800" i="1" s="1"/>
  <c r="E780" i="1"/>
  <c r="C774" i="1"/>
  <c r="F827" i="1" s="1"/>
  <c r="G827" i="1" s="1"/>
  <c r="B845" i="1" s="1"/>
  <c r="B774" i="1"/>
  <c r="C773" i="1"/>
  <c r="B770" i="1"/>
  <c r="E756" i="1"/>
  <c r="F756" i="1" s="1"/>
  <c r="F755" i="1"/>
  <c r="E755" i="1"/>
  <c r="E754" i="1"/>
  <c r="F754" i="1" s="1"/>
  <c r="E753" i="1"/>
  <c r="F753" i="1" s="1"/>
  <c r="E752" i="1"/>
  <c r="F752" i="1" s="1"/>
  <c r="E751" i="1"/>
  <c r="F751" i="1" s="1"/>
  <c r="E750" i="1"/>
  <c r="F750" i="1" s="1"/>
  <c r="E749" i="1"/>
  <c r="F749" i="1" s="1"/>
  <c r="E748" i="1"/>
  <c r="F748" i="1" s="1"/>
  <c r="E747" i="1"/>
  <c r="F747" i="1" s="1"/>
  <c r="E746" i="1"/>
  <c r="F746" i="1" s="1"/>
  <c r="B742" i="1"/>
  <c r="E737" i="1"/>
  <c r="F737" i="1" s="1"/>
  <c r="E734" i="1"/>
  <c r="F734" i="1" s="1"/>
  <c r="E733" i="1"/>
  <c r="F733" i="1" s="1"/>
  <c r="E730" i="1"/>
  <c r="F730" i="1" s="1"/>
  <c r="E728" i="1"/>
  <c r="F728" i="1" s="1"/>
  <c r="B723" i="1"/>
  <c r="AA701" i="1"/>
  <c r="Z701" i="1"/>
  <c r="Y701" i="1"/>
  <c r="X701" i="1"/>
  <c r="AA700" i="1"/>
  <c r="Z700" i="1"/>
  <c r="Y700" i="1"/>
  <c r="X700" i="1"/>
  <c r="AA699" i="1"/>
  <c r="Z699" i="1"/>
  <c r="Y699" i="1"/>
  <c r="AA698" i="1"/>
  <c r="Z698" i="1"/>
  <c r="Y698" i="1"/>
  <c r="AA697" i="1"/>
  <c r="Z697" i="1"/>
  <c r="Y697" i="1"/>
  <c r="AA696" i="1"/>
  <c r="Z696" i="1"/>
  <c r="Y696" i="1"/>
  <c r="AA695" i="1"/>
  <c r="Z695" i="1"/>
  <c r="Y695" i="1"/>
  <c r="I695" i="1"/>
  <c r="D714" i="1" s="1"/>
  <c r="AA694" i="1"/>
  <c r="Z694" i="1"/>
  <c r="Y694" i="1"/>
  <c r="I694" i="1"/>
  <c r="D713" i="1" s="1"/>
  <c r="AA691" i="1"/>
  <c r="Z691" i="1"/>
  <c r="Y691" i="1"/>
  <c r="AA690" i="1"/>
  <c r="Z690" i="1"/>
  <c r="Y690" i="1"/>
  <c r="AA689" i="1"/>
  <c r="Z689" i="1"/>
  <c r="Y689" i="1"/>
  <c r="AA688" i="1"/>
  <c r="Z688" i="1"/>
  <c r="Y688" i="1"/>
  <c r="AA687" i="1"/>
  <c r="Z687" i="1"/>
  <c r="Y687" i="1"/>
  <c r="J686" i="1"/>
  <c r="AA662" i="1"/>
  <c r="Z662" i="1"/>
  <c r="Y662" i="1"/>
  <c r="X662" i="1"/>
  <c r="K662" i="1"/>
  <c r="J700" i="1" s="1"/>
  <c r="AA661" i="1"/>
  <c r="Z661" i="1"/>
  <c r="Y661" i="1"/>
  <c r="X661" i="1"/>
  <c r="K661" i="1"/>
  <c r="J699" i="1" s="1"/>
  <c r="AA660" i="1"/>
  <c r="Z660" i="1"/>
  <c r="Y660" i="1"/>
  <c r="X660" i="1"/>
  <c r="K660" i="1"/>
  <c r="H660" i="1" s="1"/>
  <c r="AA659" i="1"/>
  <c r="Z659" i="1"/>
  <c r="Y659" i="1"/>
  <c r="X659" i="1"/>
  <c r="K659" i="1"/>
  <c r="J697" i="1" s="1"/>
  <c r="AA658" i="1"/>
  <c r="Z658" i="1"/>
  <c r="Y658" i="1"/>
  <c r="X658" i="1"/>
  <c r="K658" i="1"/>
  <c r="J696" i="1" s="1"/>
  <c r="X657" i="1"/>
  <c r="K657" i="1"/>
  <c r="H657" i="1" s="1"/>
  <c r="X656" i="1"/>
  <c r="K656" i="1"/>
  <c r="H656" i="1" s="1"/>
  <c r="AA653" i="1"/>
  <c r="Z653" i="1"/>
  <c r="Y653" i="1"/>
  <c r="X653" i="1"/>
  <c r="K653" i="1"/>
  <c r="H653" i="1" s="1"/>
  <c r="AA652" i="1"/>
  <c r="Z652" i="1"/>
  <c r="Y652" i="1"/>
  <c r="X652" i="1"/>
  <c r="K652" i="1"/>
  <c r="J690" i="1" s="1"/>
  <c r="AA651" i="1"/>
  <c r="Z651" i="1"/>
  <c r="Y651" i="1"/>
  <c r="X651" i="1"/>
  <c r="K651" i="1"/>
  <c r="J689" i="1" s="1"/>
  <c r="AA650" i="1"/>
  <c r="Z650" i="1"/>
  <c r="Y650" i="1"/>
  <c r="X650" i="1"/>
  <c r="K650" i="1"/>
  <c r="H650" i="1" s="1"/>
  <c r="AA649" i="1"/>
  <c r="Z649" i="1"/>
  <c r="Y649" i="1"/>
  <c r="X649" i="1"/>
  <c r="K649" i="1"/>
  <c r="J687" i="1" s="1"/>
  <c r="AA648" i="1"/>
  <c r="Z648" i="1"/>
  <c r="Y648" i="1"/>
  <c r="X648" i="1"/>
  <c r="K648" i="1"/>
  <c r="H648" i="1"/>
  <c r="D638" i="1"/>
  <c r="D637" i="1"/>
  <c r="B620" i="1"/>
  <c r="E635" i="1" s="1"/>
  <c r="J602" i="1"/>
  <c r="D602" i="1"/>
  <c r="J601" i="1"/>
  <c r="E601" i="1"/>
  <c r="K601" i="1" s="1"/>
  <c r="D610" i="1" s="1"/>
  <c r="J600" i="1"/>
  <c r="D600" i="1"/>
  <c r="J599" i="1"/>
  <c r="D599" i="1"/>
  <c r="J598" i="1"/>
  <c r="D591" i="1"/>
  <c r="E591" i="1" s="1"/>
  <c r="J591" i="1" s="1"/>
  <c r="B611" i="1" s="1"/>
  <c r="D589" i="1"/>
  <c r="D587" i="1"/>
  <c r="E587" i="1" s="1"/>
  <c r="J587" i="1" s="1"/>
  <c r="B607" i="1" s="1"/>
  <c r="B583" i="1"/>
  <c r="B582" i="1"/>
  <c r="E589" i="1" s="1"/>
  <c r="J589" i="1" s="1"/>
  <c r="B609" i="1" s="1"/>
  <c r="B579" i="1"/>
  <c r="D601" i="1" s="1"/>
  <c r="B561" i="1"/>
  <c r="E558" i="1"/>
  <c r="G557" i="1"/>
  <c r="I553" i="1"/>
  <c r="D553" i="1"/>
  <c r="I552" i="1"/>
  <c r="D552" i="1"/>
  <c r="E525" i="1"/>
  <c r="E524" i="1"/>
  <c r="E523" i="1"/>
  <c r="E520" i="1"/>
  <c r="D519" i="1"/>
  <c r="E519" i="1" s="1"/>
  <c r="E518" i="1"/>
  <c r="D518" i="1"/>
  <c r="D517" i="1"/>
  <c r="E517" i="1" s="1"/>
  <c r="E516" i="1"/>
  <c r="D516" i="1"/>
  <c r="D515" i="1"/>
  <c r="D514" i="1"/>
  <c r="E514" i="1" s="1"/>
  <c r="D513" i="1"/>
  <c r="E513" i="1" s="1"/>
  <c r="D512" i="1"/>
  <c r="E506" i="1"/>
  <c r="E505" i="1"/>
  <c r="E504" i="1"/>
  <c r="E503" i="1"/>
  <c r="E500" i="1"/>
  <c r="J499" i="1"/>
  <c r="E498" i="1"/>
  <c r="J497" i="1"/>
  <c r="I497" i="1"/>
  <c r="I496" i="1"/>
  <c r="J496" i="1" s="1"/>
  <c r="E496" i="1"/>
  <c r="I495" i="1"/>
  <c r="J495" i="1" s="1"/>
  <c r="K495" i="1" s="1"/>
  <c r="I494" i="1"/>
  <c r="E494" i="1"/>
  <c r="C487" i="1"/>
  <c r="B484" i="1"/>
  <c r="G480" i="1"/>
  <c r="C480" i="1"/>
  <c r="G479" i="1"/>
  <c r="C479" i="1"/>
  <c r="G478" i="1"/>
  <c r="C478" i="1"/>
  <c r="G477" i="1"/>
  <c r="C477" i="1"/>
  <c r="G476" i="1"/>
  <c r="C476" i="1"/>
  <c r="G475" i="1"/>
  <c r="C475" i="1"/>
  <c r="G474" i="1"/>
  <c r="C474" i="1"/>
  <c r="G473" i="1"/>
  <c r="C473" i="1"/>
  <c r="G472" i="1"/>
  <c r="C472" i="1"/>
  <c r="G471" i="1"/>
  <c r="C471" i="1"/>
  <c r="G470" i="1"/>
  <c r="C470" i="1"/>
  <c r="G469" i="1"/>
  <c r="C469" i="1"/>
  <c r="G468" i="1"/>
  <c r="C468" i="1"/>
  <c r="J449" i="1"/>
  <c r="E448" i="1"/>
  <c r="J447" i="1"/>
  <c r="E447" i="1"/>
  <c r="J446" i="1"/>
  <c r="E445" i="1"/>
  <c r="J444" i="1"/>
  <c r="E444" i="1"/>
  <c r="E443" i="1"/>
  <c r="J442" i="1"/>
  <c r="E442" i="1"/>
  <c r="J441" i="1"/>
  <c r="E440" i="1"/>
  <c r="J439" i="1"/>
  <c r="E439" i="1"/>
  <c r="J438" i="1"/>
  <c r="E437" i="1"/>
  <c r="J432" i="1"/>
  <c r="K432" i="1" s="1"/>
  <c r="E432" i="1"/>
  <c r="J431" i="1"/>
  <c r="K431" i="1" s="1"/>
  <c r="E430" i="1"/>
  <c r="J429" i="1"/>
  <c r="E429" i="1"/>
  <c r="J428" i="1"/>
  <c r="K428" i="1" s="1"/>
  <c r="J427" i="1"/>
  <c r="K427" i="1" s="1"/>
  <c r="E427" i="1"/>
  <c r="D427" i="1"/>
  <c r="J426" i="1"/>
  <c r="K426" i="1" s="1"/>
  <c r="E426" i="1"/>
  <c r="D426" i="1"/>
  <c r="E425" i="1"/>
  <c r="J424" i="1"/>
  <c r="K424" i="1" s="1"/>
  <c r="E424" i="1"/>
  <c r="J423" i="1"/>
  <c r="K423" i="1" s="1"/>
  <c r="E422" i="1"/>
  <c r="J421" i="1"/>
  <c r="E421" i="1"/>
  <c r="E420" i="1"/>
  <c r="C415" i="1"/>
  <c r="K444" i="1" s="1"/>
  <c r="B415" i="1"/>
  <c r="C414" i="1"/>
  <c r="B411" i="1"/>
  <c r="E449" i="1" s="1"/>
  <c r="H394" i="1"/>
  <c r="B375" i="1"/>
  <c r="H349" i="1"/>
  <c r="E363" i="1" s="1"/>
  <c r="E349" i="1"/>
  <c r="G348" i="1"/>
  <c r="E348" i="1"/>
  <c r="H348" i="1" s="1"/>
  <c r="E361" i="1" s="1"/>
  <c r="E347" i="1"/>
  <c r="G346" i="1"/>
  <c r="E346" i="1"/>
  <c r="H346" i="1" s="1"/>
  <c r="E364" i="1" s="1"/>
  <c r="E345" i="1"/>
  <c r="H344" i="1"/>
  <c r="E357" i="1" s="1"/>
  <c r="G344" i="1"/>
  <c r="E344" i="1"/>
  <c r="I340" i="1"/>
  <c r="I339" i="1"/>
  <c r="E339" i="1"/>
  <c r="E338" i="1"/>
  <c r="F338" i="1" s="1"/>
  <c r="B362" i="1" s="1"/>
  <c r="I337" i="1"/>
  <c r="E337" i="1"/>
  <c r="I336" i="1"/>
  <c r="E336" i="1"/>
  <c r="F336" i="1" s="1"/>
  <c r="B360" i="1" s="1"/>
  <c r="I335" i="1"/>
  <c r="E335" i="1"/>
  <c r="E334" i="1"/>
  <c r="F334" i="1" s="1"/>
  <c r="B358" i="1" s="1"/>
  <c r="I333" i="1"/>
  <c r="E333" i="1"/>
  <c r="I332" i="1"/>
  <c r="E332" i="1"/>
  <c r="I331" i="1"/>
  <c r="E331" i="1"/>
  <c r="D331" i="1"/>
  <c r="I330" i="1"/>
  <c r="E330" i="1"/>
  <c r="D330" i="1"/>
  <c r="B326" i="1"/>
  <c r="G349" i="1" s="1"/>
  <c r="D220" i="1"/>
  <c r="D219" i="1"/>
  <c r="D218" i="1"/>
  <c r="D217" i="1"/>
  <c r="D216" i="1"/>
  <c r="D215" i="1"/>
  <c r="D214" i="1"/>
  <c r="D213" i="1"/>
  <c r="B43" i="1"/>
  <c r="B44" i="1" s="1"/>
  <c r="D134" i="1"/>
  <c r="E134" i="1" s="1"/>
  <c r="D133" i="1"/>
  <c r="E133" i="1" s="1"/>
  <c r="B30" i="1"/>
  <c r="B31" i="1" s="1"/>
  <c r="B10" i="1"/>
  <c r="B11" i="1" s="1"/>
  <c r="B60" i="1"/>
  <c r="J54" i="1" s="1"/>
  <c r="J57" i="1"/>
  <c r="F57" i="1"/>
  <c r="J56" i="1"/>
  <c r="J53" i="1"/>
  <c r="F52" i="1"/>
  <c r="G42" i="1"/>
  <c r="F42" i="1"/>
  <c r="D42" i="1"/>
  <c r="E42" i="1" s="1"/>
  <c r="G41" i="1"/>
  <c r="F41" i="1"/>
  <c r="D41" i="1"/>
  <c r="E41" i="1" s="1"/>
  <c r="G40" i="1"/>
  <c r="F40" i="1"/>
  <c r="D40" i="1"/>
  <c r="E40" i="1" s="1"/>
  <c r="G39" i="1"/>
  <c r="F39" i="1"/>
  <c r="D39" i="1"/>
  <c r="E39" i="1" s="1"/>
  <c r="G38" i="1"/>
  <c r="F38" i="1"/>
  <c r="D38" i="1"/>
  <c r="E38" i="1" s="1"/>
  <c r="G37" i="1"/>
  <c r="F37" i="1"/>
  <c r="D37" i="1"/>
  <c r="E37" i="1" s="1"/>
  <c r="D29" i="1"/>
  <c r="E29" i="1" s="1"/>
  <c r="D28" i="1"/>
  <c r="E28" i="1" s="1"/>
  <c r="D27" i="1"/>
  <c r="E27" i="1" s="1"/>
  <c r="D26" i="1"/>
  <c r="E26" i="1" s="1"/>
  <c r="D25" i="1"/>
  <c r="E25" i="1" s="1"/>
  <c r="G24" i="1"/>
  <c r="D24" i="1"/>
  <c r="G23" i="1"/>
  <c r="D23" i="1"/>
  <c r="G22" i="1"/>
  <c r="F22" i="1"/>
  <c r="D22" i="1"/>
  <c r="G21" i="1"/>
  <c r="F21" i="1"/>
  <c r="D21" i="1"/>
  <c r="G20" i="1"/>
  <c r="F20" i="1"/>
  <c r="D20" i="1"/>
  <c r="G19" i="1"/>
  <c r="F19" i="1"/>
  <c r="D19" i="1"/>
  <c r="G18" i="1"/>
  <c r="F18" i="1"/>
  <c r="D18" i="1"/>
  <c r="D17" i="1"/>
  <c r="D9" i="1"/>
  <c r="E9" i="1" s="1"/>
  <c r="D8" i="1"/>
  <c r="E8" i="1" s="1"/>
  <c r="D7" i="1"/>
  <c r="E7" i="1" s="1"/>
  <c r="F333" i="1" l="1"/>
  <c r="B357" i="1" s="1"/>
  <c r="F332" i="1"/>
  <c r="B356" i="1" s="1"/>
  <c r="F331" i="1"/>
  <c r="B355" i="1" s="1"/>
  <c r="T26" i="4"/>
  <c r="Q26" i="4"/>
  <c r="P607" i="1"/>
  <c r="S607" i="1"/>
  <c r="E607" i="1"/>
  <c r="C838" i="1"/>
  <c r="E611" i="1"/>
  <c r="R611" i="1"/>
  <c r="Q611" i="1"/>
  <c r="P611" i="1"/>
  <c r="F519" i="1"/>
  <c r="G519" i="1" s="1"/>
  <c r="E538" i="1" s="1"/>
  <c r="D903" i="1"/>
  <c r="D902" i="1"/>
  <c r="B425" i="4"/>
  <c r="B419" i="4"/>
  <c r="H403" i="4"/>
  <c r="F821" i="1"/>
  <c r="S5" i="4"/>
  <c r="H400" i="4"/>
  <c r="Q13" i="4"/>
  <c r="R13" i="4"/>
  <c r="P13" i="4"/>
  <c r="Q609" i="1"/>
  <c r="P609" i="1"/>
  <c r="E609" i="1"/>
  <c r="T9" i="4"/>
  <c r="T15" i="4"/>
  <c r="R15" i="4"/>
  <c r="Q15" i="4"/>
  <c r="P15" i="4"/>
  <c r="F443" i="1"/>
  <c r="F503" i="1"/>
  <c r="G503" i="1" s="1"/>
  <c r="B540" i="1" s="1"/>
  <c r="F520" i="1"/>
  <c r="G520" i="1" s="1"/>
  <c r="E539" i="1" s="1"/>
  <c r="T12" i="4"/>
  <c r="D395" i="1"/>
  <c r="H385" i="1"/>
  <c r="D384" i="1"/>
  <c r="H386" i="1"/>
  <c r="K439" i="1"/>
  <c r="K447" i="1"/>
  <c r="F498" i="1"/>
  <c r="F517" i="1"/>
  <c r="G517" i="1" s="1"/>
  <c r="E536" i="1" s="1"/>
  <c r="L22" i="4"/>
  <c r="T22" i="4"/>
  <c r="Q22" i="4"/>
  <c r="P22" i="4"/>
  <c r="P28" i="4"/>
  <c r="Q28" i="4"/>
  <c r="L28" i="4"/>
  <c r="T28" i="4"/>
  <c r="S28" i="4"/>
  <c r="F330" i="1"/>
  <c r="B354" i="1" s="1"/>
  <c r="F496" i="1"/>
  <c r="F505" i="1"/>
  <c r="G505" i="1" s="1"/>
  <c r="B542" i="1" s="1"/>
  <c r="S7" i="4"/>
  <c r="R7" i="4"/>
  <c r="T14" i="4"/>
  <c r="Q14" i="4"/>
  <c r="L23" i="4"/>
  <c r="T23" i="4"/>
  <c r="F54" i="1"/>
  <c r="R54" i="1" s="1"/>
  <c r="K441" i="1"/>
  <c r="F500" i="1"/>
  <c r="F518" i="1"/>
  <c r="G518" i="1" s="1"/>
  <c r="E537" i="1" s="1"/>
  <c r="E552" i="1"/>
  <c r="F552" i="1" s="1"/>
  <c r="B566" i="1" s="1"/>
  <c r="G558" i="1"/>
  <c r="H558" i="1" s="1"/>
  <c r="E567" i="1" s="1"/>
  <c r="E735" i="1"/>
  <c r="F735" i="1" s="1"/>
  <c r="E732" i="1"/>
  <c r="F732" i="1" s="1"/>
  <c r="E729" i="1"/>
  <c r="F729" i="1" s="1"/>
  <c r="F909" i="1"/>
  <c r="H384" i="1"/>
  <c r="D386" i="1"/>
  <c r="D394" i="1"/>
  <c r="F449" i="1"/>
  <c r="F437" i="1"/>
  <c r="F442" i="1"/>
  <c r="F445" i="1"/>
  <c r="E522" i="1"/>
  <c r="E502" i="1"/>
  <c r="F502" i="1" s="1"/>
  <c r="G502" i="1" s="1"/>
  <c r="B539" i="1" s="1"/>
  <c r="E499" i="1"/>
  <c r="F499" i="1" s="1"/>
  <c r="C488" i="1"/>
  <c r="F523" i="1" s="1"/>
  <c r="G523" i="1" s="1"/>
  <c r="E542" i="1" s="1"/>
  <c r="E521" i="1"/>
  <c r="F521" i="1" s="1"/>
  <c r="G521" i="1" s="1"/>
  <c r="E540" i="1" s="1"/>
  <c r="E507" i="1"/>
  <c r="F507" i="1" s="1"/>
  <c r="G507" i="1" s="1"/>
  <c r="B544" i="1" s="1"/>
  <c r="J501" i="1"/>
  <c r="J498" i="1"/>
  <c r="B488" i="1"/>
  <c r="F524" i="1" s="1"/>
  <c r="G524" i="1" s="1"/>
  <c r="E543" i="1" s="1"/>
  <c r="J494" i="1"/>
  <c r="K494" i="1" s="1"/>
  <c r="E497" i="1"/>
  <c r="F497" i="1" s="1"/>
  <c r="J500" i="1"/>
  <c r="K500" i="1" s="1"/>
  <c r="E515" i="1"/>
  <c r="E727" i="1"/>
  <c r="F727" i="1" s="1"/>
  <c r="E731" i="1"/>
  <c r="F731" i="1" s="1"/>
  <c r="E736" i="1"/>
  <c r="F736" i="1" s="1"/>
  <c r="F788" i="1"/>
  <c r="G788" i="1" s="1"/>
  <c r="B807" i="1" s="1"/>
  <c r="F782" i="1"/>
  <c r="G782" i="1" s="1"/>
  <c r="B801" i="1" s="1"/>
  <c r="F780" i="1"/>
  <c r="G780" i="1" s="1"/>
  <c r="B799" i="1" s="1"/>
  <c r="B906" i="1"/>
  <c r="P12" i="4"/>
  <c r="Q23" i="4"/>
  <c r="R28" i="4"/>
  <c r="B347" i="4"/>
  <c r="E227" i="4"/>
  <c r="E224" i="4"/>
  <c r="E221" i="4"/>
  <c r="E218" i="4"/>
  <c r="E215" i="4"/>
  <c r="E212" i="4"/>
  <c r="E209" i="4"/>
  <c r="B202" i="4"/>
  <c r="E284" i="4"/>
  <c r="E280" i="4"/>
  <c r="E273" i="4"/>
  <c r="E266" i="4"/>
  <c r="E225" i="4"/>
  <c r="E214" i="4"/>
  <c r="E207" i="4"/>
  <c r="E283" i="4"/>
  <c r="E276" i="4"/>
  <c r="E269" i="4"/>
  <c r="E265" i="4"/>
  <c r="E228" i="4"/>
  <c r="E217" i="4"/>
  <c r="E210" i="4"/>
  <c r="C202" i="4"/>
  <c r="E282" i="4"/>
  <c r="E277" i="4"/>
  <c r="E271" i="4"/>
  <c r="C201" i="4"/>
  <c r="E222" i="4"/>
  <c r="E216" i="4"/>
  <c r="E211" i="4"/>
  <c r="B201" i="4"/>
  <c r="E213" i="4"/>
  <c r="E220" i="4"/>
  <c r="E230" i="4"/>
  <c r="E275" i="4"/>
  <c r="F439" i="1"/>
  <c r="F447" i="1"/>
  <c r="K497" i="1"/>
  <c r="F516" i="1"/>
  <c r="G516" i="1" s="1"/>
  <c r="E535" i="1" s="1"/>
  <c r="F828" i="1"/>
  <c r="G828" i="1" s="1"/>
  <c r="B846" i="1" s="1"/>
  <c r="F818" i="1"/>
  <c r="F819" i="1"/>
  <c r="F817" i="1"/>
  <c r="L6" i="4"/>
  <c r="D385" i="1"/>
  <c r="D393" i="1"/>
  <c r="F444" i="1"/>
  <c r="L444" i="1" s="1"/>
  <c r="E475" i="1" s="1"/>
  <c r="F504" i="1"/>
  <c r="G504" i="1" s="1"/>
  <c r="B541" i="1" s="1"/>
  <c r="R8" i="4"/>
  <c r="Q8" i="4"/>
  <c r="L8" i="4"/>
  <c r="P19" i="4"/>
  <c r="L19" i="4"/>
  <c r="Q19" i="4"/>
  <c r="Q25" i="4"/>
  <c r="P25" i="4"/>
  <c r="B378" i="1"/>
  <c r="F440" i="1"/>
  <c r="F448" i="1"/>
  <c r="F494" i="1"/>
  <c r="K499" i="1"/>
  <c r="F514" i="1"/>
  <c r="G514" i="1" s="1"/>
  <c r="E533" i="1" s="1"/>
  <c r="F553" i="1"/>
  <c r="B567" i="1" s="1"/>
  <c r="K817" i="1"/>
  <c r="S9" i="4"/>
  <c r="R9" i="4"/>
  <c r="E149" i="4"/>
  <c r="H149" i="4" s="1"/>
  <c r="B159" i="4" s="1"/>
  <c r="E147" i="4"/>
  <c r="H147" i="4" s="1"/>
  <c r="B157" i="4" s="1"/>
  <c r="E150" i="4"/>
  <c r="H150" i="4" s="1"/>
  <c r="B160" i="4" s="1"/>
  <c r="G147" i="4"/>
  <c r="G148" i="4"/>
  <c r="E148" i="4"/>
  <c r="H148" i="4" s="1"/>
  <c r="B158" i="4" s="1"/>
  <c r="F56" i="1"/>
  <c r="K56" i="1" s="1"/>
  <c r="F53" i="1"/>
  <c r="K53" i="1" s="1"/>
  <c r="J55" i="1"/>
  <c r="J52" i="1"/>
  <c r="T52" i="1" s="1"/>
  <c r="B379" i="1"/>
  <c r="H393" i="1"/>
  <c r="H395" i="1"/>
  <c r="K449" i="1"/>
  <c r="K496" i="1"/>
  <c r="F525" i="1"/>
  <c r="G525" i="1" s="1"/>
  <c r="E544" i="1" s="1"/>
  <c r="E553" i="1"/>
  <c r="C841" i="1"/>
  <c r="R6" i="4"/>
  <c r="S38" i="4"/>
  <c r="T38" i="4"/>
  <c r="R38" i="4"/>
  <c r="Q38" i="4"/>
  <c r="P38" i="4"/>
  <c r="F55" i="1"/>
  <c r="K421" i="1"/>
  <c r="K429" i="1"/>
  <c r="K438" i="1"/>
  <c r="K442" i="1"/>
  <c r="L442" i="1" s="1"/>
  <c r="K446" i="1"/>
  <c r="B487" i="1"/>
  <c r="F506" i="1" s="1"/>
  <c r="G506" i="1" s="1"/>
  <c r="B543" i="1" s="1"/>
  <c r="E495" i="1"/>
  <c r="F495" i="1" s="1"/>
  <c r="G495" i="1" s="1"/>
  <c r="B532" i="1" s="1"/>
  <c r="E501" i="1"/>
  <c r="F501" i="1" s="1"/>
  <c r="E512" i="1"/>
  <c r="F512" i="1" s="1"/>
  <c r="G512" i="1" s="1"/>
  <c r="E531" i="1" s="1"/>
  <c r="E557" i="1"/>
  <c r="H557" i="1" s="1"/>
  <c r="E566" i="1" s="1"/>
  <c r="E602" i="1"/>
  <c r="K602" i="1" s="1"/>
  <c r="D611" i="1" s="1"/>
  <c r="T611" i="1" s="1"/>
  <c r="E599" i="1"/>
  <c r="K599" i="1" s="1"/>
  <c r="D608" i="1" s="1"/>
  <c r="E600" i="1"/>
  <c r="K600" i="1" s="1"/>
  <c r="D609" i="1" s="1"/>
  <c r="T609" i="1" s="1"/>
  <c r="F830" i="1"/>
  <c r="G830" i="1" s="1"/>
  <c r="B848" i="1" s="1"/>
  <c r="F824" i="1"/>
  <c r="G824" i="1" s="1"/>
  <c r="B842" i="1" s="1"/>
  <c r="F789" i="1"/>
  <c r="G789" i="1" s="1"/>
  <c r="B808" i="1" s="1"/>
  <c r="F820" i="1"/>
  <c r="F825" i="1"/>
  <c r="G825" i="1" s="1"/>
  <c r="B843" i="1" s="1"/>
  <c r="F829" i="1"/>
  <c r="G829" i="1" s="1"/>
  <c r="B847" i="1" s="1"/>
  <c r="L5" i="4"/>
  <c r="Q5" i="4"/>
  <c r="L7" i="4"/>
  <c r="P8" i="4"/>
  <c r="S19" i="4"/>
  <c r="R22" i="4"/>
  <c r="R23" i="4"/>
  <c r="L24" i="4"/>
  <c r="J26" i="4"/>
  <c r="I25" i="4"/>
  <c r="S25" i="4" s="1"/>
  <c r="I20" i="4"/>
  <c r="I17" i="4"/>
  <c r="J9" i="4"/>
  <c r="I8" i="4"/>
  <c r="S8" i="4" s="1"/>
  <c r="J27" i="4"/>
  <c r="I26" i="4"/>
  <c r="P26" i="4" s="1"/>
  <c r="J21" i="4"/>
  <c r="J18" i="4"/>
  <c r="S18" i="4" s="1"/>
  <c r="J15" i="4"/>
  <c r="S15" i="4" s="1"/>
  <c r="J14" i="4"/>
  <c r="P14" i="4" s="1"/>
  <c r="J13" i="4"/>
  <c r="T13" i="4" s="1"/>
  <c r="J12" i="4"/>
  <c r="S12" i="4" s="1"/>
  <c r="J11" i="4"/>
  <c r="Q11" i="4" s="1"/>
  <c r="J10" i="4"/>
  <c r="I9" i="4"/>
  <c r="J5" i="4"/>
  <c r="T5" i="4" s="1"/>
  <c r="I27" i="4"/>
  <c r="J23" i="4"/>
  <c r="P23" i="4" s="1"/>
  <c r="I21" i="4"/>
  <c r="J16" i="4"/>
  <c r="I23" i="4"/>
  <c r="J20" i="4"/>
  <c r="I16" i="4"/>
  <c r="J6" i="4"/>
  <c r="S6" i="4" s="1"/>
  <c r="F37" i="4"/>
  <c r="F35" i="4"/>
  <c r="F36" i="4"/>
  <c r="G150" i="4"/>
  <c r="E223" i="4"/>
  <c r="E268" i="4"/>
  <c r="E278" i="4"/>
  <c r="E285" i="4"/>
  <c r="J422" i="1"/>
  <c r="K422" i="1" s="1"/>
  <c r="J425" i="1"/>
  <c r="K425" i="1" s="1"/>
  <c r="J430" i="1"/>
  <c r="K430" i="1" s="1"/>
  <c r="J437" i="1"/>
  <c r="K437" i="1" s="1"/>
  <c r="J440" i="1"/>
  <c r="K440" i="1" s="1"/>
  <c r="J443" i="1"/>
  <c r="K443" i="1" s="1"/>
  <c r="J445" i="1"/>
  <c r="K445" i="1" s="1"/>
  <c r="J448" i="1"/>
  <c r="K448" i="1" s="1"/>
  <c r="J824" i="1"/>
  <c r="K824" i="1" s="1"/>
  <c r="J823" i="1"/>
  <c r="K823" i="1" s="1"/>
  <c r="G823" i="1" s="1"/>
  <c r="B841" i="1" s="1"/>
  <c r="J822" i="1"/>
  <c r="J821" i="1"/>
  <c r="C839" i="1" s="1"/>
  <c r="J820" i="1"/>
  <c r="K820" i="1" s="1"/>
  <c r="J819" i="1"/>
  <c r="C837" i="1" s="1"/>
  <c r="J818" i="1"/>
  <c r="C836" i="1" s="1"/>
  <c r="J817" i="1"/>
  <c r="C835" i="1" s="1"/>
  <c r="E785" i="1"/>
  <c r="E792" i="1"/>
  <c r="E828" i="1"/>
  <c r="C846" i="1" s="1"/>
  <c r="Q7" i="4"/>
  <c r="E340" i="1"/>
  <c r="F340" i="1" s="1"/>
  <c r="B364" i="1" s="1"/>
  <c r="F364" i="1" s="1"/>
  <c r="G345" i="1"/>
  <c r="H345" i="1" s="1"/>
  <c r="E356" i="1" s="1"/>
  <c r="F356" i="1" s="1"/>
  <c r="G347" i="1"/>
  <c r="H347" i="1" s="1"/>
  <c r="E360" i="1" s="1"/>
  <c r="F360" i="1" s="1"/>
  <c r="B414" i="1"/>
  <c r="F422" i="1" s="1"/>
  <c r="J420" i="1"/>
  <c r="K420" i="1" s="1"/>
  <c r="E423" i="1"/>
  <c r="E428" i="1"/>
  <c r="E431" i="1"/>
  <c r="E438" i="1"/>
  <c r="F438" i="1" s="1"/>
  <c r="E441" i="1"/>
  <c r="F441" i="1" s="1"/>
  <c r="E446" i="1"/>
  <c r="F446" i="1" s="1"/>
  <c r="D588" i="1"/>
  <c r="E588" i="1" s="1"/>
  <c r="J588" i="1" s="1"/>
  <c r="B608" i="1" s="1"/>
  <c r="D590" i="1"/>
  <c r="E590" i="1" s="1"/>
  <c r="J590" i="1" s="1"/>
  <c r="B610" i="1" s="1"/>
  <c r="D598" i="1"/>
  <c r="E598" i="1" s="1"/>
  <c r="K598" i="1" s="1"/>
  <c r="D607" i="1" s="1"/>
  <c r="T607" i="1" s="1"/>
  <c r="B773" i="1"/>
  <c r="E783" i="1"/>
  <c r="F783" i="1" s="1"/>
  <c r="G783" i="1" s="1"/>
  <c r="B802" i="1" s="1"/>
  <c r="E790" i="1"/>
  <c r="F790" i="1" s="1"/>
  <c r="G790" i="1" s="1"/>
  <c r="B809" i="1" s="1"/>
  <c r="E826" i="1"/>
  <c r="C844" i="1" s="1"/>
  <c r="G893" i="1"/>
  <c r="G891" i="1"/>
  <c r="G890" i="1"/>
  <c r="G888" i="1"/>
  <c r="E880" i="1"/>
  <c r="F880" i="1" s="1"/>
  <c r="B908" i="1" s="1"/>
  <c r="E908" i="1" s="1"/>
  <c r="F908" i="1" s="1"/>
  <c r="E877" i="1"/>
  <c r="F877" i="1" s="1"/>
  <c r="B905" i="1" s="1"/>
  <c r="E905" i="1" s="1"/>
  <c r="F905" i="1" s="1"/>
  <c r="E875" i="1"/>
  <c r="F875" i="1" s="1"/>
  <c r="B903" i="1" s="1"/>
  <c r="E903" i="1" s="1"/>
  <c r="F903" i="1" s="1"/>
  <c r="E874" i="1"/>
  <c r="F874" i="1" s="1"/>
  <c r="B902" i="1" s="1"/>
  <c r="E893" i="1"/>
  <c r="H893" i="1" s="1"/>
  <c r="D910" i="1" s="1"/>
  <c r="E891" i="1"/>
  <c r="H891" i="1" s="1"/>
  <c r="D907" i="1" s="1"/>
  <c r="E890" i="1"/>
  <c r="H890" i="1" s="1"/>
  <c r="E888" i="1"/>
  <c r="E882" i="1"/>
  <c r="F882" i="1" s="1"/>
  <c r="B910" i="1" s="1"/>
  <c r="E910" i="1" s="1"/>
  <c r="F910" i="1" s="1"/>
  <c r="Q24" i="4"/>
  <c r="P24" i="4"/>
  <c r="S24" i="4"/>
  <c r="P7" i="4"/>
  <c r="E352" i="4"/>
  <c r="F352" i="4" s="1"/>
  <c r="E351" i="4"/>
  <c r="F351" i="4" s="1"/>
  <c r="E350" i="4"/>
  <c r="F350" i="4" s="1"/>
  <c r="E353" i="4"/>
  <c r="F353" i="4" s="1"/>
  <c r="E355" i="4"/>
  <c r="F355" i="4" s="1"/>
  <c r="E358" i="4"/>
  <c r="F358" i="4" s="1"/>
  <c r="E378" i="4"/>
  <c r="F378" i="4" s="1"/>
  <c r="E375" i="4"/>
  <c r="F375" i="4" s="1"/>
  <c r="E372" i="4"/>
  <c r="F372" i="4" s="1"/>
  <c r="E369" i="4"/>
  <c r="F369" i="4" s="1"/>
  <c r="E379" i="4"/>
  <c r="F379" i="4" s="1"/>
  <c r="E377" i="4"/>
  <c r="F377" i="4" s="1"/>
  <c r="F396" i="4"/>
  <c r="B424" i="4" s="1"/>
  <c r="H402" i="4"/>
  <c r="D418" i="4" s="1"/>
  <c r="G407" i="4"/>
  <c r="H407" i="4" s="1"/>
  <c r="D424" i="4" s="1"/>
  <c r="G405" i="4"/>
  <c r="G403" i="4"/>
  <c r="G401" i="4"/>
  <c r="H401" i="4" s="1"/>
  <c r="D417" i="4" s="1"/>
  <c r="E417" i="4" s="1"/>
  <c r="F417" i="4" s="1"/>
  <c r="E394" i="4"/>
  <c r="F394" i="4" s="1"/>
  <c r="B422" i="4" s="1"/>
  <c r="E392" i="4"/>
  <c r="F392" i="4" s="1"/>
  <c r="B420" i="4" s="1"/>
  <c r="E420" i="4" s="1"/>
  <c r="F420" i="4" s="1"/>
  <c r="E390" i="4"/>
  <c r="F390" i="4" s="1"/>
  <c r="B418" i="4" s="1"/>
  <c r="E418" i="4" s="1"/>
  <c r="F418" i="4" s="1"/>
  <c r="E388" i="4"/>
  <c r="F388" i="4" s="1"/>
  <c r="B416" i="4" s="1"/>
  <c r="E405" i="4"/>
  <c r="G400" i="4"/>
  <c r="E395" i="4"/>
  <c r="F395" i="4" s="1"/>
  <c r="B423" i="4" s="1"/>
  <c r="E423" i="4" s="1"/>
  <c r="F423" i="4" s="1"/>
  <c r="L287" i="1"/>
  <c r="E307" i="1" s="1"/>
  <c r="L288" i="1"/>
  <c r="E308" i="1" s="1"/>
  <c r="L276" i="1"/>
  <c r="B316" i="1" s="1"/>
  <c r="L295" i="1"/>
  <c r="E315" i="1" s="1"/>
  <c r="L277" i="1"/>
  <c r="B317" i="1" s="1"/>
  <c r="Q317" i="1" s="1"/>
  <c r="L292" i="1"/>
  <c r="E312" i="1" s="1"/>
  <c r="L294" i="1"/>
  <c r="E314" i="1" s="1"/>
  <c r="L289" i="1"/>
  <c r="E309" i="1" s="1"/>
  <c r="L286" i="1"/>
  <c r="E306" i="1" s="1"/>
  <c r="K269" i="1"/>
  <c r="F268" i="1"/>
  <c r="L268" i="1" s="1"/>
  <c r="B308" i="1" s="1"/>
  <c r="F266" i="1"/>
  <c r="K267" i="1"/>
  <c r="F267" i="1"/>
  <c r="F269" i="1"/>
  <c r="K266" i="1"/>
  <c r="L274" i="1"/>
  <c r="B314" i="1" s="1"/>
  <c r="L296" i="1"/>
  <c r="E316" i="1" s="1"/>
  <c r="L291" i="1"/>
  <c r="E311" i="1" s="1"/>
  <c r="L272" i="1"/>
  <c r="B312" i="1" s="1"/>
  <c r="L271" i="1"/>
  <c r="B311" i="1" s="1"/>
  <c r="L273" i="1"/>
  <c r="B313" i="1" s="1"/>
  <c r="L275" i="1"/>
  <c r="B315" i="1" s="1"/>
  <c r="L290" i="1"/>
  <c r="E310" i="1" s="1"/>
  <c r="L270" i="1"/>
  <c r="B310" i="1" s="1"/>
  <c r="E637" i="1"/>
  <c r="E636" i="1"/>
  <c r="E638" i="1"/>
  <c r="F357" i="1"/>
  <c r="J694" i="1"/>
  <c r="K694" i="1" s="1"/>
  <c r="G713" i="1" s="1"/>
  <c r="E355" i="1"/>
  <c r="E359" i="1"/>
  <c r="J688" i="1"/>
  <c r="J691" i="1"/>
  <c r="J698" i="1"/>
  <c r="F337" i="1"/>
  <c r="B361" i="1" s="1"/>
  <c r="F361" i="1" s="1"/>
  <c r="H649" i="1"/>
  <c r="H651" i="1"/>
  <c r="H652" i="1"/>
  <c r="H658" i="1"/>
  <c r="H659" i="1"/>
  <c r="H661" i="1"/>
  <c r="H662" i="1"/>
  <c r="E358" i="1"/>
  <c r="F358" i="1" s="1"/>
  <c r="J695" i="1"/>
  <c r="K695" i="1" s="1"/>
  <c r="G714" i="1" s="1"/>
  <c r="F339" i="1"/>
  <c r="B363" i="1" s="1"/>
  <c r="F363" i="1" s="1"/>
  <c r="E354" i="1"/>
  <c r="R354" i="1" s="1"/>
  <c r="E362" i="1"/>
  <c r="F362" i="1" s="1"/>
  <c r="F335" i="1"/>
  <c r="B359" i="1" s="1"/>
  <c r="K57" i="1"/>
  <c r="F801" i="1"/>
  <c r="G800" i="1"/>
  <c r="B854" i="1" s="1"/>
  <c r="G799" i="1"/>
  <c r="B853" i="1" s="1"/>
  <c r="H835" i="1"/>
  <c r="I7" i="1"/>
  <c r="I8" i="1"/>
  <c r="I9" i="1"/>
  <c r="B724" i="1"/>
  <c r="J159" i="1"/>
  <c r="J156" i="1"/>
  <c r="C119" i="1"/>
  <c r="K132" i="1" s="1"/>
  <c r="E126" i="1"/>
  <c r="J136" i="1"/>
  <c r="E158" i="1"/>
  <c r="J150" i="1"/>
  <c r="J146" i="1"/>
  <c r="J160" i="1"/>
  <c r="E672" i="1"/>
  <c r="C623" i="1"/>
  <c r="E680" i="1"/>
  <c r="E669" i="1"/>
  <c r="F145" i="3"/>
  <c r="D159" i="3" s="1"/>
  <c r="F144" i="3"/>
  <c r="D158" i="3" s="1"/>
  <c r="F143" i="3"/>
  <c r="D157" i="3" s="1"/>
  <c r="F142" i="3"/>
  <c r="D156" i="3" s="1"/>
  <c r="F141" i="3"/>
  <c r="D155" i="3" s="1"/>
  <c r="F140" i="3"/>
  <c r="D154" i="3" s="1"/>
  <c r="F139" i="3"/>
  <c r="D153" i="3" s="1"/>
  <c r="F138" i="3"/>
  <c r="D152" i="3" s="1"/>
  <c r="F137" i="3"/>
  <c r="D151" i="3" s="1"/>
  <c r="F136" i="3"/>
  <c r="D150" i="3" s="1"/>
  <c r="C101" i="3"/>
  <c r="F116" i="3"/>
  <c r="F115" i="3"/>
  <c r="F114" i="3"/>
  <c r="F113" i="3"/>
  <c r="F112" i="3"/>
  <c r="F111" i="3"/>
  <c r="F110" i="3"/>
  <c r="F109" i="3"/>
  <c r="F108" i="3"/>
  <c r="F107" i="3"/>
  <c r="C100" i="3"/>
  <c r="B101" i="3"/>
  <c r="B100" i="3"/>
  <c r="B18" i="3"/>
  <c r="B19" i="3" s="1"/>
  <c r="E205" i="1"/>
  <c r="J41" i="1"/>
  <c r="I38" i="1"/>
  <c r="J42" i="1"/>
  <c r="J38" i="1"/>
  <c r="I40" i="1"/>
  <c r="J40" i="1"/>
  <c r="J39" i="1"/>
  <c r="J37" i="1"/>
  <c r="I42" i="1"/>
  <c r="I41" i="1"/>
  <c r="I39" i="1"/>
  <c r="I37" i="1"/>
  <c r="I19" i="1"/>
  <c r="I29" i="1"/>
  <c r="I27" i="1"/>
  <c r="I25" i="1"/>
  <c r="I23" i="1"/>
  <c r="J21" i="1"/>
  <c r="I20" i="1"/>
  <c r="J17" i="1"/>
  <c r="I17" i="1"/>
  <c r="J27" i="1"/>
  <c r="J20" i="1"/>
  <c r="J28" i="1"/>
  <c r="J26" i="1"/>
  <c r="J24" i="1"/>
  <c r="J22" i="1"/>
  <c r="I21" i="1"/>
  <c r="J18" i="1"/>
  <c r="J29" i="1"/>
  <c r="J25" i="1"/>
  <c r="I28" i="1"/>
  <c r="I26" i="1"/>
  <c r="I24" i="1"/>
  <c r="I22" i="1"/>
  <c r="J19" i="1"/>
  <c r="I18" i="1"/>
  <c r="J23" i="1"/>
  <c r="B120" i="1"/>
  <c r="F153" i="1" s="1"/>
  <c r="J125" i="1"/>
  <c r="E127" i="1"/>
  <c r="J129" i="1"/>
  <c r="E135" i="1"/>
  <c r="J137" i="1"/>
  <c r="E139" i="1"/>
  <c r="J147" i="1"/>
  <c r="E149" i="1"/>
  <c r="J151" i="1"/>
  <c r="E155" i="1"/>
  <c r="J157" i="1"/>
  <c r="E159" i="1"/>
  <c r="B624" i="1"/>
  <c r="E630" i="1"/>
  <c r="E632" i="1"/>
  <c r="E634" i="1"/>
  <c r="E639" i="1"/>
  <c r="E641" i="1"/>
  <c r="E643" i="1"/>
  <c r="E667" i="1"/>
  <c r="E677" i="1"/>
  <c r="E681" i="1"/>
  <c r="B49" i="4"/>
  <c r="J57" i="4"/>
  <c r="E59" i="4"/>
  <c r="J65" i="4"/>
  <c r="E67" i="4"/>
  <c r="E69" i="4"/>
  <c r="C120" i="1"/>
  <c r="K153" i="1" s="1"/>
  <c r="J130" i="1"/>
  <c r="J134" i="1"/>
  <c r="E136" i="1"/>
  <c r="J138" i="1"/>
  <c r="J154" i="1"/>
  <c r="E156" i="1"/>
  <c r="C624" i="1"/>
  <c r="E670" i="1"/>
  <c r="E678" i="1"/>
  <c r="B50" i="4"/>
  <c r="J59" i="4"/>
  <c r="E61" i="4"/>
  <c r="J67" i="4"/>
  <c r="J126" i="1"/>
  <c r="E128" i="1"/>
  <c r="E146" i="1"/>
  <c r="J148" i="1"/>
  <c r="E150" i="1"/>
  <c r="J158" i="1"/>
  <c r="E160" i="1"/>
  <c r="B119" i="1"/>
  <c r="F132" i="1" s="1"/>
  <c r="E125" i="1"/>
  <c r="J127" i="1"/>
  <c r="E129" i="1"/>
  <c r="J135" i="1"/>
  <c r="E137" i="1"/>
  <c r="J139" i="1"/>
  <c r="E147" i="1"/>
  <c r="J149" i="1"/>
  <c r="E151" i="1"/>
  <c r="J155" i="1"/>
  <c r="E157" i="1"/>
  <c r="B623" i="1"/>
  <c r="F635" i="1" s="1"/>
  <c r="E629" i="1"/>
  <c r="E631" i="1"/>
  <c r="E633" i="1"/>
  <c r="E640" i="1"/>
  <c r="E642" i="1"/>
  <c r="E668" i="1"/>
  <c r="E671" i="1"/>
  <c r="E679" i="1"/>
  <c r="E55" i="4"/>
  <c r="J61" i="4"/>
  <c r="J286" i="4"/>
  <c r="J230" i="4"/>
  <c r="J229" i="4"/>
  <c r="E105" i="4"/>
  <c r="J103" i="4"/>
  <c r="E101" i="4"/>
  <c r="J99" i="4"/>
  <c r="E97" i="4"/>
  <c r="J95" i="4"/>
  <c r="E93" i="4"/>
  <c r="J91" i="4"/>
  <c r="E89" i="4"/>
  <c r="J87" i="4"/>
  <c r="E85" i="4"/>
  <c r="J83" i="4"/>
  <c r="E77" i="4"/>
  <c r="J75" i="4"/>
  <c r="E73" i="4"/>
  <c r="J285" i="4"/>
  <c r="J106" i="4"/>
  <c r="E104" i="4"/>
  <c r="J102" i="4"/>
  <c r="E100" i="4"/>
  <c r="J98" i="4"/>
  <c r="E96" i="4"/>
  <c r="J94" i="4"/>
  <c r="E92" i="4"/>
  <c r="J90" i="4"/>
  <c r="E88" i="4"/>
  <c r="J86" i="4"/>
  <c r="E84" i="4"/>
  <c r="J78" i="4"/>
  <c r="E76" i="4"/>
  <c r="J74" i="4"/>
  <c r="E72" i="4"/>
  <c r="J70" i="4"/>
  <c r="E68" i="4"/>
  <c r="J66" i="4"/>
  <c r="E64" i="4"/>
  <c r="J62" i="4"/>
  <c r="E60" i="4"/>
  <c r="J58" i="4"/>
  <c r="E56" i="4"/>
  <c r="C49" i="4"/>
  <c r="J105" i="4"/>
  <c r="E103" i="4"/>
  <c r="J101" i="4"/>
  <c r="E99" i="4"/>
  <c r="J97" i="4"/>
  <c r="E95" i="4"/>
  <c r="J93" i="4"/>
  <c r="E91" i="4"/>
  <c r="J89" i="4"/>
  <c r="E87" i="4"/>
  <c r="J85" i="4"/>
  <c r="E83" i="4"/>
  <c r="J77" i="4"/>
  <c r="E75" i="4"/>
  <c r="J73" i="4"/>
  <c r="E71" i="4"/>
  <c r="J69" i="4"/>
  <c r="E106" i="4"/>
  <c r="J104" i="4"/>
  <c r="E102" i="4"/>
  <c r="J100" i="4"/>
  <c r="E98" i="4"/>
  <c r="J96" i="4"/>
  <c r="E94" i="4"/>
  <c r="J92" i="4"/>
  <c r="E90" i="4"/>
  <c r="J88" i="4"/>
  <c r="E86" i="4"/>
  <c r="J84" i="4"/>
  <c r="E78" i="4"/>
  <c r="J76" i="4"/>
  <c r="E74" i="4"/>
  <c r="J72" i="4"/>
  <c r="E70" i="4"/>
  <c r="J68" i="4"/>
  <c r="E66" i="4"/>
  <c r="J64" i="4"/>
  <c r="E62" i="4"/>
  <c r="J60" i="4"/>
  <c r="E58" i="4"/>
  <c r="J56" i="4"/>
  <c r="C50" i="4"/>
  <c r="J55" i="4"/>
  <c r="E57" i="4"/>
  <c r="J63" i="4"/>
  <c r="E65" i="4"/>
  <c r="J71" i="4"/>
  <c r="T544" i="1" l="1"/>
  <c r="L446" i="1"/>
  <c r="E463" i="1" s="1"/>
  <c r="T317" i="1"/>
  <c r="L440" i="1"/>
  <c r="L437" i="1"/>
  <c r="E454" i="1" s="1"/>
  <c r="G500" i="1"/>
  <c r="B537" i="1" s="1"/>
  <c r="F537" i="1" s="1"/>
  <c r="L439" i="1"/>
  <c r="E456" i="1" s="1"/>
  <c r="S539" i="1"/>
  <c r="F355" i="1"/>
  <c r="L447" i="1"/>
  <c r="E464" i="1" s="1"/>
  <c r="L448" i="1"/>
  <c r="E465" i="1" s="1"/>
  <c r="R540" i="1"/>
  <c r="E461" i="1"/>
  <c r="L441" i="1"/>
  <c r="E458" i="1" s="1"/>
  <c r="I654" i="1"/>
  <c r="G654" i="1"/>
  <c r="P544" i="1"/>
  <c r="T54" i="1"/>
  <c r="G497" i="1"/>
  <c r="B534" i="1" s="1"/>
  <c r="F534" i="1" s="1"/>
  <c r="S52" i="1"/>
  <c r="F544" i="1"/>
  <c r="T539" i="1"/>
  <c r="T540" i="1"/>
  <c r="S540" i="1"/>
  <c r="L422" i="1"/>
  <c r="B470" i="1" s="1"/>
  <c r="L449" i="1"/>
  <c r="E466" i="1" s="1"/>
  <c r="P540" i="1"/>
  <c r="L438" i="1"/>
  <c r="E455" i="1" s="1"/>
  <c r="R539" i="1"/>
  <c r="R544" i="1"/>
  <c r="L445" i="1"/>
  <c r="E476" i="1" s="1"/>
  <c r="G496" i="1"/>
  <c r="B533" i="1" s="1"/>
  <c r="P533" i="1" s="1"/>
  <c r="K152" i="1"/>
  <c r="F152" i="1"/>
  <c r="L152" i="1" s="1"/>
  <c r="E171" i="1" s="1"/>
  <c r="Q52" i="1"/>
  <c r="P54" i="1"/>
  <c r="K131" i="1"/>
  <c r="S54" i="1"/>
  <c r="Q54" i="1"/>
  <c r="S317" i="1"/>
  <c r="K54" i="1"/>
  <c r="L56" i="1" s="1"/>
  <c r="F131" i="1"/>
  <c r="R52" i="1"/>
  <c r="F314" i="1"/>
  <c r="D53" i="14" s="1"/>
  <c r="I53" i="14" s="1"/>
  <c r="K52" i="1"/>
  <c r="L53" i="1" s="1"/>
  <c r="P52" i="1"/>
  <c r="K55" i="1"/>
  <c r="L55" i="1" s="1"/>
  <c r="P543" i="1"/>
  <c r="R543" i="1"/>
  <c r="Q543" i="1"/>
  <c r="S543" i="1"/>
  <c r="F543" i="1"/>
  <c r="T543" i="1"/>
  <c r="E459" i="1"/>
  <c r="E473" i="1"/>
  <c r="Q542" i="1"/>
  <c r="F542" i="1"/>
  <c r="R542" i="1"/>
  <c r="T542" i="1"/>
  <c r="P542" i="1"/>
  <c r="S542" i="1"/>
  <c r="R35" i="4"/>
  <c r="T35" i="4"/>
  <c r="S35" i="4"/>
  <c r="Q35" i="4"/>
  <c r="K35" i="4"/>
  <c r="P35" i="4"/>
  <c r="R17" i="4"/>
  <c r="Q17" i="4"/>
  <c r="T17" i="4"/>
  <c r="S17" i="4"/>
  <c r="L17" i="4"/>
  <c r="P17" i="4"/>
  <c r="K821" i="1"/>
  <c r="G821" i="1" s="1"/>
  <c r="B839" i="1" s="1"/>
  <c r="P160" i="4"/>
  <c r="T160" i="4"/>
  <c r="S160" i="4"/>
  <c r="R160" i="4"/>
  <c r="Q160" i="4"/>
  <c r="T18" i="4"/>
  <c r="D416" i="4"/>
  <c r="D415" i="4"/>
  <c r="E415" i="4" s="1"/>
  <c r="F415" i="4" s="1"/>
  <c r="D422" i="4"/>
  <c r="D419" i="4"/>
  <c r="E419" i="4" s="1"/>
  <c r="F419" i="4" s="1"/>
  <c r="D425" i="4"/>
  <c r="L11" i="4"/>
  <c r="E416" i="4"/>
  <c r="F416" i="4" s="1"/>
  <c r="L10" i="4"/>
  <c r="P10" i="4"/>
  <c r="P537" i="1"/>
  <c r="R316" i="1"/>
  <c r="F420" i="1"/>
  <c r="L420" i="1" s="1"/>
  <c r="F427" i="1"/>
  <c r="L427" i="1" s="1"/>
  <c r="F426" i="1"/>
  <c r="L426" i="1" s="1"/>
  <c r="Q10" i="4"/>
  <c r="C840" i="1"/>
  <c r="K822" i="1"/>
  <c r="G822" i="1" s="1"/>
  <c r="B840" i="1" s="1"/>
  <c r="T21" i="4"/>
  <c r="S21" i="4"/>
  <c r="R21" i="4"/>
  <c r="Q21" i="4"/>
  <c r="P21" i="4"/>
  <c r="L21" i="4"/>
  <c r="R20" i="4"/>
  <c r="Q20" i="4"/>
  <c r="S20" i="4"/>
  <c r="L20" i="4"/>
  <c r="P20" i="4"/>
  <c r="T20" i="4"/>
  <c r="S157" i="4"/>
  <c r="R157" i="4"/>
  <c r="Q157" i="4"/>
  <c r="P157" i="4"/>
  <c r="T157" i="4"/>
  <c r="G817" i="1"/>
  <c r="B835" i="1" s="1"/>
  <c r="S11" i="4"/>
  <c r="F792" i="1"/>
  <c r="G792" i="1" s="1"/>
  <c r="B811" i="1" s="1"/>
  <c r="F786" i="1"/>
  <c r="G786" i="1" s="1"/>
  <c r="B805" i="1" s="1"/>
  <c r="F784" i="1"/>
  <c r="G784" i="1" s="1"/>
  <c r="B803" i="1" s="1"/>
  <c r="F785" i="1"/>
  <c r="G785" i="1" s="1"/>
  <c r="B804" i="1" s="1"/>
  <c r="F787" i="1"/>
  <c r="G787" i="1" s="1"/>
  <c r="B806" i="1" s="1"/>
  <c r="F793" i="1"/>
  <c r="G793" i="1" s="1"/>
  <c r="B812" i="1" s="1"/>
  <c r="S10" i="4"/>
  <c r="T6" i="4"/>
  <c r="T11" i="4"/>
  <c r="L26" i="4"/>
  <c r="F540" i="1"/>
  <c r="E422" i="4"/>
  <c r="R10" i="4"/>
  <c r="F431" i="1"/>
  <c r="L431" i="1" s="1"/>
  <c r="T10" i="4"/>
  <c r="L27" i="4"/>
  <c r="T27" i="4"/>
  <c r="Q27" i="4"/>
  <c r="P27" i="4"/>
  <c r="S27" i="4"/>
  <c r="R27" i="4"/>
  <c r="T158" i="4"/>
  <c r="S158" i="4"/>
  <c r="R158" i="4"/>
  <c r="Q158" i="4"/>
  <c r="P158" i="4"/>
  <c r="P18" i="4"/>
  <c r="Q6" i="4"/>
  <c r="F228" i="4"/>
  <c r="F221" i="4"/>
  <c r="F217" i="4"/>
  <c r="F210" i="4"/>
  <c r="F224" i="4"/>
  <c r="F220" i="4"/>
  <c r="F213" i="4"/>
  <c r="F227" i="4"/>
  <c r="F222" i="4"/>
  <c r="F216" i="4"/>
  <c r="F211" i="4"/>
  <c r="F226" i="4"/>
  <c r="F214" i="4"/>
  <c r="F207" i="4"/>
  <c r="F219" i="4"/>
  <c r="F212" i="4"/>
  <c r="F218" i="4"/>
  <c r="F223" i="4"/>
  <c r="F215" i="4"/>
  <c r="F209" i="4"/>
  <c r="F225" i="4"/>
  <c r="F208" i="4"/>
  <c r="E906" i="1"/>
  <c r="F429" i="1"/>
  <c r="L429" i="1" s="1"/>
  <c r="B463" i="1" s="1"/>
  <c r="R609" i="1"/>
  <c r="L13" i="4"/>
  <c r="P11" i="4"/>
  <c r="R26" i="4"/>
  <c r="Q540" i="1"/>
  <c r="Q539" i="1"/>
  <c r="Q610" i="1"/>
  <c r="P610" i="1"/>
  <c r="T610" i="1"/>
  <c r="S610" i="1"/>
  <c r="R610" i="1"/>
  <c r="E610" i="1"/>
  <c r="F428" i="1"/>
  <c r="L428" i="1" s="1"/>
  <c r="B476" i="1" s="1"/>
  <c r="P476" i="1" s="1"/>
  <c r="T25" i="4"/>
  <c r="L14" i="4"/>
  <c r="R5" i="4"/>
  <c r="K818" i="1"/>
  <c r="Q18" i="4"/>
  <c r="P5" i="4"/>
  <c r="G494" i="1"/>
  <c r="B531" i="1" s="1"/>
  <c r="K498" i="1"/>
  <c r="G498" i="1" s="1"/>
  <c r="B535" i="1" s="1"/>
  <c r="F425" i="1"/>
  <c r="L425" i="1" s="1"/>
  <c r="B473" i="1" s="1"/>
  <c r="R14" i="4"/>
  <c r="R12" i="4"/>
  <c r="L443" i="1"/>
  <c r="L15" i="4"/>
  <c r="S609" i="1"/>
  <c r="S13" i="4"/>
  <c r="T8" i="4"/>
  <c r="S611" i="1"/>
  <c r="R11" i="4"/>
  <c r="R607" i="1"/>
  <c r="S26" i="4"/>
  <c r="D906" i="1"/>
  <c r="R903" i="1" s="1"/>
  <c r="D912" i="1"/>
  <c r="D909" i="1"/>
  <c r="T37" i="4"/>
  <c r="S37" i="4"/>
  <c r="R37" i="4"/>
  <c r="K37" i="4"/>
  <c r="P37" i="4"/>
  <c r="Q37" i="4"/>
  <c r="F567" i="1"/>
  <c r="T567" i="1"/>
  <c r="P567" i="1"/>
  <c r="R567" i="1"/>
  <c r="Q567" i="1"/>
  <c r="S567" i="1"/>
  <c r="F424" i="1"/>
  <c r="L424" i="1" s="1"/>
  <c r="B458" i="1" s="1"/>
  <c r="S458" i="1" s="1"/>
  <c r="Q566" i="1"/>
  <c r="P566" i="1"/>
  <c r="R566" i="1"/>
  <c r="F566" i="1"/>
  <c r="T566" i="1"/>
  <c r="S566" i="1"/>
  <c r="F432" i="1"/>
  <c r="L432" i="1" s="1"/>
  <c r="B480" i="1" s="1"/>
  <c r="L18" i="4"/>
  <c r="Q544" i="1"/>
  <c r="F539" i="1"/>
  <c r="T159" i="4"/>
  <c r="Q159" i="4"/>
  <c r="P159" i="4"/>
  <c r="R159" i="4"/>
  <c r="S159" i="4"/>
  <c r="I386" i="1"/>
  <c r="E384" i="1"/>
  <c r="J384" i="1" s="1"/>
  <c r="B400" i="1" s="1"/>
  <c r="E385" i="1"/>
  <c r="E386" i="1"/>
  <c r="I384" i="1"/>
  <c r="I385" i="1"/>
  <c r="R25" i="4"/>
  <c r="F283" i="4"/>
  <c r="F280" i="4"/>
  <c r="F277" i="4"/>
  <c r="F274" i="4"/>
  <c r="F271" i="4"/>
  <c r="F268" i="4"/>
  <c r="F265" i="4"/>
  <c r="F276" i="4"/>
  <c r="F269" i="4"/>
  <c r="F279" i="4"/>
  <c r="F272" i="4"/>
  <c r="F266" i="4"/>
  <c r="F281" i="4"/>
  <c r="F275" i="4"/>
  <c r="F270" i="4"/>
  <c r="F264" i="4"/>
  <c r="F273" i="4"/>
  <c r="F278" i="4"/>
  <c r="F284" i="4"/>
  <c r="F267" i="4"/>
  <c r="F282" i="4"/>
  <c r="F263" i="4"/>
  <c r="P6" i="4"/>
  <c r="F513" i="1"/>
  <c r="G513" i="1" s="1"/>
  <c r="E532" i="1" s="1"/>
  <c r="P532" i="1" s="1"/>
  <c r="P539" i="1"/>
  <c r="E424" i="4"/>
  <c r="F424" i="4" s="1"/>
  <c r="Q902" i="1"/>
  <c r="T902" i="1"/>
  <c r="R902" i="1"/>
  <c r="S902" i="1"/>
  <c r="E902" i="1"/>
  <c r="F902" i="1" s="1"/>
  <c r="G903" i="1" s="1"/>
  <c r="P16" i="4"/>
  <c r="L16" i="4"/>
  <c r="T16" i="4"/>
  <c r="Q16" i="4"/>
  <c r="S16" i="4"/>
  <c r="R16" i="4"/>
  <c r="R18" i="4"/>
  <c r="G820" i="1"/>
  <c r="B838" i="1" s="1"/>
  <c r="I393" i="1"/>
  <c r="E394" i="1"/>
  <c r="J394" i="1" s="1"/>
  <c r="E401" i="1" s="1"/>
  <c r="E395" i="1"/>
  <c r="J395" i="1" s="1"/>
  <c r="E402" i="1" s="1"/>
  <c r="I395" i="1"/>
  <c r="E393" i="1"/>
  <c r="I394" i="1"/>
  <c r="G818" i="1"/>
  <c r="B836" i="1" s="1"/>
  <c r="G499" i="1"/>
  <c r="B536" i="1" s="1"/>
  <c r="Q12" i="4"/>
  <c r="Q607" i="1"/>
  <c r="S544" i="1"/>
  <c r="H405" i="4"/>
  <c r="D421" i="4" s="1"/>
  <c r="E421" i="4" s="1"/>
  <c r="F421" i="4" s="1"/>
  <c r="H888" i="1"/>
  <c r="D904" i="1" s="1"/>
  <c r="E608" i="1"/>
  <c r="T608" i="1"/>
  <c r="S608" i="1"/>
  <c r="R608" i="1"/>
  <c r="Q608" i="1"/>
  <c r="P608" i="1"/>
  <c r="F423" i="1"/>
  <c r="L423" i="1" s="1"/>
  <c r="K36" i="4"/>
  <c r="S36" i="4"/>
  <c r="R36" i="4"/>
  <c r="T36" i="4"/>
  <c r="P36" i="4"/>
  <c r="Q36" i="4"/>
  <c r="S23" i="4"/>
  <c r="Q9" i="4"/>
  <c r="P9" i="4"/>
  <c r="L9" i="4"/>
  <c r="L12" i="4"/>
  <c r="K819" i="1"/>
  <c r="G819" i="1" s="1"/>
  <c r="B837" i="1" s="1"/>
  <c r="L25" i="4"/>
  <c r="F826" i="1"/>
  <c r="G826" i="1" s="1"/>
  <c r="B844" i="1" s="1"/>
  <c r="F515" i="1"/>
  <c r="G515" i="1" s="1"/>
  <c r="E534" i="1" s="1"/>
  <c r="K501" i="1"/>
  <c r="G501" i="1" s="1"/>
  <c r="B538" i="1" s="1"/>
  <c r="F522" i="1"/>
  <c r="G522" i="1" s="1"/>
  <c r="E541" i="1" s="1"/>
  <c r="F421" i="1"/>
  <c r="L421" i="1" s="1"/>
  <c r="S14" i="4"/>
  <c r="F430" i="1"/>
  <c r="L430" i="1" s="1"/>
  <c r="B478" i="1" s="1"/>
  <c r="C842" i="1"/>
  <c r="F317" i="1"/>
  <c r="D56" i="14" s="1"/>
  <c r="I56" i="14" s="1"/>
  <c r="R314" i="1"/>
  <c r="R317" i="1"/>
  <c r="P314" i="1"/>
  <c r="Q314" i="1"/>
  <c r="P317" i="1"/>
  <c r="S314" i="1"/>
  <c r="T314" i="1"/>
  <c r="T316" i="1"/>
  <c r="F308" i="1"/>
  <c r="T308" i="1"/>
  <c r="P308" i="1"/>
  <c r="S308" i="1"/>
  <c r="R308" i="1"/>
  <c r="Q308" i="1"/>
  <c r="L266" i="1"/>
  <c r="B306" i="1" s="1"/>
  <c r="L269" i="1"/>
  <c r="B309" i="1" s="1"/>
  <c r="L267" i="1"/>
  <c r="B307" i="1" s="1"/>
  <c r="F636" i="1"/>
  <c r="G655" i="1" s="1"/>
  <c r="B712" i="1" s="1"/>
  <c r="S316" i="1"/>
  <c r="P310" i="1"/>
  <c r="F310" i="1"/>
  <c r="D49" i="14" s="1"/>
  <c r="T310" i="1"/>
  <c r="S310" i="1"/>
  <c r="R310" i="1"/>
  <c r="Q310" i="1"/>
  <c r="R315" i="1"/>
  <c r="Q315" i="1"/>
  <c r="P315" i="1"/>
  <c r="F315" i="1"/>
  <c r="D54" i="14" s="1"/>
  <c r="T315" i="1"/>
  <c r="S315" i="1"/>
  <c r="F316" i="1"/>
  <c r="D55" i="14" s="1"/>
  <c r="P313" i="1"/>
  <c r="F313" i="1"/>
  <c r="D52" i="14" s="1"/>
  <c r="T313" i="1"/>
  <c r="S313" i="1"/>
  <c r="R313" i="1"/>
  <c r="Q313" i="1"/>
  <c r="P316" i="1"/>
  <c r="Q316" i="1"/>
  <c r="T311" i="1"/>
  <c r="S311" i="1"/>
  <c r="R311" i="1"/>
  <c r="Q311" i="1"/>
  <c r="P311" i="1"/>
  <c r="F311" i="1"/>
  <c r="D50" i="14" s="1"/>
  <c r="R312" i="1"/>
  <c r="Q312" i="1"/>
  <c r="P312" i="1"/>
  <c r="F312" i="1"/>
  <c r="D51" i="14" s="1"/>
  <c r="T312" i="1"/>
  <c r="S312" i="1"/>
  <c r="F66" i="3"/>
  <c r="F69" i="3"/>
  <c r="F63" i="3"/>
  <c r="F57" i="3"/>
  <c r="F60" i="3"/>
  <c r="F43" i="3"/>
  <c r="F49" i="3"/>
  <c r="F40" i="3"/>
  <c r="F46" i="3"/>
  <c r="F37" i="3"/>
  <c r="E462" i="1"/>
  <c r="L153" i="1"/>
  <c r="E172" i="1" s="1"/>
  <c r="Q354" i="1"/>
  <c r="F354" i="1"/>
  <c r="H355" i="1" s="1"/>
  <c r="E478" i="1"/>
  <c r="T354" i="1"/>
  <c r="S354" i="1"/>
  <c r="P354" i="1"/>
  <c r="F532" i="1"/>
  <c r="E457" i="1"/>
  <c r="E471" i="1"/>
  <c r="E477" i="1"/>
  <c r="R359" i="1"/>
  <c r="Q359" i="1"/>
  <c r="F359" i="1"/>
  <c r="T359" i="1"/>
  <c r="P359" i="1"/>
  <c r="S359" i="1"/>
  <c r="E468" i="1"/>
  <c r="L132" i="1"/>
  <c r="B172" i="1" s="1"/>
  <c r="K126" i="1"/>
  <c r="K130" i="1"/>
  <c r="E130" i="1"/>
  <c r="F130" i="1" s="1"/>
  <c r="I835" i="1"/>
  <c r="D853" i="1" s="1"/>
  <c r="Q853" i="1" s="1"/>
  <c r="H836" i="1"/>
  <c r="E854" i="1"/>
  <c r="R853" i="1"/>
  <c r="E853" i="1"/>
  <c r="T853" i="1"/>
  <c r="S853" i="1"/>
  <c r="F802" i="1"/>
  <c r="G801" i="1"/>
  <c r="B855" i="1" s="1"/>
  <c r="H94" i="1"/>
  <c r="D91" i="1"/>
  <c r="H79" i="1"/>
  <c r="D75" i="1"/>
  <c r="D77" i="1"/>
  <c r="D94" i="1"/>
  <c r="H82" i="1"/>
  <c r="D79" i="1"/>
  <c r="H96" i="1"/>
  <c r="D93" i="1"/>
  <c r="H80" i="1"/>
  <c r="B71" i="1"/>
  <c r="B70" i="1"/>
  <c r="H93" i="1"/>
  <c r="D89" i="1"/>
  <c r="H77" i="1"/>
  <c r="H91" i="1"/>
  <c r="D82" i="1"/>
  <c r="H75" i="1"/>
  <c r="D80" i="1"/>
  <c r="D96" i="1"/>
  <c r="H89" i="1"/>
  <c r="L8" i="1"/>
  <c r="T8" i="1"/>
  <c r="P8" i="1"/>
  <c r="S8" i="1"/>
  <c r="R8" i="1"/>
  <c r="Q8" i="1"/>
  <c r="Q9" i="1"/>
  <c r="P9" i="1"/>
  <c r="L9" i="1"/>
  <c r="R9" i="1"/>
  <c r="T9" i="1"/>
  <c r="S9" i="1"/>
  <c r="S7" i="1"/>
  <c r="R7" i="1"/>
  <c r="Q7" i="1"/>
  <c r="T7" i="1"/>
  <c r="P7" i="1"/>
  <c r="L7" i="1"/>
  <c r="E138" i="1"/>
  <c r="F138" i="1" s="1"/>
  <c r="F134" i="1"/>
  <c r="K138" i="1"/>
  <c r="J133" i="1"/>
  <c r="K133" i="1" s="1"/>
  <c r="K125" i="1"/>
  <c r="E154" i="1"/>
  <c r="F154" i="1" s="1"/>
  <c r="J128" i="1"/>
  <c r="K128" i="1" s="1"/>
  <c r="E148" i="1"/>
  <c r="F148" i="1" s="1"/>
  <c r="K134" i="1"/>
  <c r="K137" i="1"/>
  <c r="K135" i="1"/>
  <c r="K139" i="1"/>
  <c r="K129" i="1"/>
  <c r="K136" i="1"/>
  <c r="K127" i="1"/>
  <c r="G115" i="3"/>
  <c r="H115" i="3" s="1"/>
  <c r="C130" i="3" s="1"/>
  <c r="H130" i="3" s="1"/>
  <c r="B172" i="3" s="1"/>
  <c r="G113" i="3"/>
  <c r="H113" i="3" s="1"/>
  <c r="C128" i="3" s="1"/>
  <c r="H128" i="3" s="1"/>
  <c r="B170" i="3" s="1"/>
  <c r="G111" i="3"/>
  <c r="H111" i="3" s="1"/>
  <c r="C126" i="3" s="1"/>
  <c r="H126" i="3" s="1"/>
  <c r="B168" i="3" s="1"/>
  <c r="G116" i="3"/>
  <c r="H116" i="3" s="1"/>
  <c r="C131" i="3" s="1"/>
  <c r="H131" i="3" s="1"/>
  <c r="B173" i="3" s="1"/>
  <c r="G114" i="3"/>
  <c r="H114" i="3" s="1"/>
  <c r="C129" i="3" s="1"/>
  <c r="H129" i="3" s="1"/>
  <c r="B171" i="3" s="1"/>
  <c r="G112" i="3"/>
  <c r="H112" i="3" s="1"/>
  <c r="C127" i="3" s="1"/>
  <c r="H127" i="3" s="1"/>
  <c r="B169" i="3" s="1"/>
  <c r="G144" i="3"/>
  <c r="H144" i="3" s="1"/>
  <c r="C158" i="3" s="1"/>
  <c r="J158" i="3" s="1"/>
  <c r="D172" i="3" s="1"/>
  <c r="G142" i="3"/>
  <c r="H142" i="3" s="1"/>
  <c r="C156" i="3" s="1"/>
  <c r="J156" i="3" s="1"/>
  <c r="D170" i="3" s="1"/>
  <c r="G140" i="3"/>
  <c r="H140" i="3" s="1"/>
  <c r="C154" i="3" s="1"/>
  <c r="J154" i="3" s="1"/>
  <c r="D168" i="3" s="1"/>
  <c r="G145" i="3"/>
  <c r="H145" i="3" s="1"/>
  <c r="C159" i="3" s="1"/>
  <c r="J159" i="3" s="1"/>
  <c r="D173" i="3" s="1"/>
  <c r="G143" i="3"/>
  <c r="H143" i="3" s="1"/>
  <c r="C157" i="3" s="1"/>
  <c r="J157" i="3" s="1"/>
  <c r="D171" i="3" s="1"/>
  <c r="G141" i="3"/>
  <c r="H141" i="3" s="1"/>
  <c r="C155" i="3" s="1"/>
  <c r="J155" i="3" s="1"/>
  <c r="D169" i="3" s="1"/>
  <c r="G138" i="3"/>
  <c r="H138" i="3" s="1"/>
  <c r="C152" i="3" s="1"/>
  <c r="J152" i="3" s="1"/>
  <c r="D166" i="3" s="1"/>
  <c r="G136" i="3"/>
  <c r="H136" i="3" s="1"/>
  <c r="C150" i="3" s="1"/>
  <c r="J150" i="3" s="1"/>
  <c r="D164" i="3" s="1"/>
  <c r="G139" i="3"/>
  <c r="H139" i="3" s="1"/>
  <c r="C153" i="3" s="1"/>
  <c r="J153" i="3" s="1"/>
  <c r="D167" i="3" s="1"/>
  <c r="G137" i="3"/>
  <c r="H137" i="3" s="1"/>
  <c r="C151" i="3" s="1"/>
  <c r="J151" i="3" s="1"/>
  <c r="D165" i="3" s="1"/>
  <c r="F71" i="3"/>
  <c r="F70" i="3"/>
  <c r="F68" i="3"/>
  <c r="F67" i="3"/>
  <c r="F65" i="3"/>
  <c r="F64" i="3"/>
  <c r="F62" i="3"/>
  <c r="F61" i="3"/>
  <c r="F59" i="3"/>
  <c r="F58" i="3"/>
  <c r="B30" i="3"/>
  <c r="F47" i="3"/>
  <c r="F41" i="3"/>
  <c r="F39" i="3"/>
  <c r="F38" i="3"/>
  <c r="C30" i="3"/>
  <c r="F48" i="3"/>
  <c r="F42" i="3"/>
  <c r="F50" i="3"/>
  <c r="F44" i="3"/>
  <c r="C31" i="3"/>
  <c r="F51" i="3"/>
  <c r="F45" i="3"/>
  <c r="B31" i="3"/>
  <c r="G109" i="3"/>
  <c r="H109" i="3" s="1"/>
  <c r="C124" i="3" s="1"/>
  <c r="H124" i="3" s="1"/>
  <c r="B166" i="3" s="1"/>
  <c r="G107" i="3"/>
  <c r="H107" i="3" s="1"/>
  <c r="C122" i="3" s="1"/>
  <c r="H122" i="3" s="1"/>
  <c r="B164" i="3" s="1"/>
  <c r="G110" i="3"/>
  <c r="H110" i="3" s="1"/>
  <c r="C125" i="3" s="1"/>
  <c r="H125" i="3" s="1"/>
  <c r="B167" i="3" s="1"/>
  <c r="G108" i="3"/>
  <c r="H108" i="3" s="1"/>
  <c r="C123" i="3" s="1"/>
  <c r="H123" i="3" s="1"/>
  <c r="B165" i="3" s="1"/>
  <c r="L16" i="3"/>
  <c r="L15" i="3"/>
  <c r="L14" i="3"/>
  <c r="K15" i="3"/>
  <c r="L13" i="3"/>
  <c r="L12" i="3"/>
  <c r="L11" i="3"/>
  <c r="L10" i="3"/>
  <c r="L9" i="3"/>
  <c r="L8" i="3"/>
  <c r="L7" i="3"/>
  <c r="K13" i="3"/>
  <c r="K12" i="3"/>
  <c r="K11" i="3"/>
  <c r="K10" i="3"/>
  <c r="K9" i="3"/>
  <c r="K8" i="3"/>
  <c r="K7" i="3"/>
  <c r="K16" i="3"/>
  <c r="K14" i="3"/>
  <c r="E200" i="1"/>
  <c r="E226" i="1"/>
  <c r="E215" i="1"/>
  <c r="E219" i="1"/>
  <c r="E201" i="1"/>
  <c r="E195" i="1"/>
  <c r="C188" i="1"/>
  <c r="E204" i="1"/>
  <c r="E222" i="1"/>
  <c r="E214" i="1"/>
  <c r="E218" i="1"/>
  <c r="E223" i="1"/>
  <c r="E199" i="1"/>
  <c r="E196" i="1"/>
  <c r="C189" i="1"/>
  <c r="E208" i="1"/>
  <c r="E216" i="1"/>
  <c r="E220" i="1"/>
  <c r="E197" i="1"/>
  <c r="F197" i="1" s="1"/>
  <c r="G197" i="1" s="1"/>
  <c r="B234" i="1" s="1"/>
  <c r="E221" i="1"/>
  <c r="E225" i="1"/>
  <c r="E207" i="1"/>
  <c r="E206" i="1"/>
  <c r="E213" i="1"/>
  <c r="E217" i="1"/>
  <c r="E224" i="1"/>
  <c r="B189" i="1"/>
  <c r="E202" i="1"/>
  <c r="E203" i="1"/>
  <c r="E198" i="1"/>
  <c r="B188" i="1"/>
  <c r="F199" i="1" s="1"/>
  <c r="G199" i="1" s="1"/>
  <c r="B236" i="1" s="1"/>
  <c r="T37" i="1"/>
  <c r="P37" i="1"/>
  <c r="Q37" i="1"/>
  <c r="S37" i="1"/>
  <c r="L37" i="1"/>
  <c r="R37" i="1"/>
  <c r="Q39" i="1"/>
  <c r="T39" i="1"/>
  <c r="P39" i="1"/>
  <c r="R39" i="1"/>
  <c r="S39" i="1"/>
  <c r="L39" i="1"/>
  <c r="Q41" i="1"/>
  <c r="T41" i="1"/>
  <c r="P41" i="1"/>
  <c r="S41" i="1"/>
  <c r="L41" i="1"/>
  <c r="R41" i="1"/>
  <c r="R38" i="1"/>
  <c r="T38" i="1"/>
  <c r="P38" i="1"/>
  <c r="S38" i="1"/>
  <c r="L38" i="1"/>
  <c r="Q38" i="1"/>
  <c r="Q42" i="1"/>
  <c r="T42" i="1"/>
  <c r="P42" i="1"/>
  <c r="S42" i="1"/>
  <c r="L42" i="1"/>
  <c r="R42" i="1"/>
  <c r="Q40" i="1"/>
  <c r="T40" i="1"/>
  <c r="P40" i="1"/>
  <c r="S40" i="1"/>
  <c r="L40" i="1"/>
  <c r="R40" i="1"/>
  <c r="K106" i="4"/>
  <c r="K102" i="4"/>
  <c r="K98" i="4"/>
  <c r="K94" i="4"/>
  <c r="K90" i="4"/>
  <c r="K86" i="4"/>
  <c r="K105" i="4"/>
  <c r="K101" i="4"/>
  <c r="K97" i="4"/>
  <c r="K93" i="4"/>
  <c r="K89" i="4"/>
  <c r="K85" i="4"/>
  <c r="F106" i="4"/>
  <c r="L106" i="4" s="1"/>
  <c r="E134" i="4" s="1"/>
  <c r="K104" i="4"/>
  <c r="K100" i="4"/>
  <c r="K96" i="4"/>
  <c r="K92" i="4"/>
  <c r="K88" i="4"/>
  <c r="K84" i="4"/>
  <c r="F105" i="4"/>
  <c r="K103" i="4"/>
  <c r="K99" i="4"/>
  <c r="K95" i="4"/>
  <c r="K91" i="4"/>
  <c r="K87" i="4"/>
  <c r="K83" i="4"/>
  <c r="K149" i="1"/>
  <c r="K158" i="1"/>
  <c r="K154" i="1"/>
  <c r="K148" i="1"/>
  <c r="K151" i="1"/>
  <c r="K157" i="1"/>
  <c r="K147" i="1"/>
  <c r="K160" i="1"/>
  <c r="K156" i="1"/>
  <c r="K150" i="1"/>
  <c r="K146" i="1"/>
  <c r="K159" i="1"/>
  <c r="K155" i="1"/>
  <c r="F681" i="1"/>
  <c r="F679" i="1"/>
  <c r="F677" i="1"/>
  <c r="F671" i="1"/>
  <c r="F680" i="1"/>
  <c r="F678" i="1"/>
  <c r="F672" i="1"/>
  <c r="F670" i="1"/>
  <c r="F668" i="1"/>
  <c r="F667" i="1"/>
  <c r="F669" i="1"/>
  <c r="F151" i="1"/>
  <c r="F147" i="1"/>
  <c r="F160" i="1"/>
  <c r="F156" i="1"/>
  <c r="F150" i="1"/>
  <c r="F146" i="1"/>
  <c r="F155" i="1"/>
  <c r="L155" i="1" s="1"/>
  <c r="E174" i="1" s="1"/>
  <c r="F159" i="1"/>
  <c r="F149" i="1"/>
  <c r="F158" i="1"/>
  <c r="F157" i="1"/>
  <c r="P22" i="1"/>
  <c r="S22" i="1"/>
  <c r="L22" i="1"/>
  <c r="T22" i="1"/>
  <c r="R22" i="1"/>
  <c r="Q22" i="1"/>
  <c r="R20" i="1"/>
  <c r="Q20" i="1"/>
  <c r="T20" i="1"/>
  <c r="P20" i="1"/>
  <c r="S20" i="1"/>
  <c r="L20" i="1"/>
  <c r="R27" i="1"/>
  <c r="Q27" i="1"/>
  <c r="T27" i="1"/>
  <c r="P27" i="1"/>
  <c r="S27" i="1"/>
  <c r="L27" i="1"/>
  <c r="F640" i="1"/>
  <c r="F643" i="1"/>
  <c r="F641" i="1"/>
  <c r="F639" i="1"/>
  <c r="F634" i="1"/>
  <c r="F632" i="1"/>
  <c r="F630" i="1"/>
  <c r="F637" i="1"/>
  <c r="F642" i="1"/>
  <c r="F638" i="1"/>
  <c r="F633" i="1"/>
  <c r="F631" i="1"/>
  <c r="F629" i="1"/>
  <c r="F129" i="1"/>
  <c r="F136" i="1"/>
  <c r="F133" i="1"/>
  <c r="F128" i="1"/>
  <c r="F135" i="1"/>
  <c r="F137" i="1"/>
  <c r="F139" i="1"/>
  <c r="F127" i="1"/>
  <c r="F126" i="1"/>
  <c r="F125" i="1"/>
  <c r="F104" i="4"/>
  <c r="F100" i="4"/>
  <c r="F96" i="4"/>
  <c r="F92" i="4"/>
  <c r="F88" i="4"/>
  <c r="F84" i="4"/>
  <c r="F103" i="4"/>
  <c r="F99" i="4"/>
  <c r="F95" i="4"/>
  <c r="F91" i="4"/>
  <c r="F87" i="4"/>
  <c r="F83" i="4"/>
  <c r="F102" i="4"/>
  <c r="F98" i="4"/>
  <c r="F94" i="4"/>
  <c r="F90" i="4"/>
  <c r="F86" i="4"/>
  <c r="F101" i="4"/>
  <c r="F97" i="4"/>
  <c r="F93" i="4"/>
  <c r="F89" i="4"/>
  <c r="F85" i="4"/>
  <c r="S24" i="1"/>
  <c r="L24" i="1"/>
  <c r="P24" i="1"/>
  <c r="R24" i="1"/>
  <c r="Q24" i="1"/>
  <c r="T24" i="1"/>
  <c r="Q29" i="1"/>
  <c r="T29" i="1"/>
  <c r="P29" i="1"/>
  <c r="S29" i="1"/>
  <c r="L29" i="1"/>
  <c r="R29" i="1"/>
  <c r="K230" i="4"/>
  <c r="K285" i="4"/>
  <c r="K78" i="4"/>
  <c r="K74" i="4"/>
  <c r="K77" i="4"/>
  <c r="K73" i="4"/>
  <c r="K69" i="4"/>
  <c r="K65" i="4"/>
  <c r="K61" i="4"/>
  <c r="K57" i="4"/>
  <c r="K76" i="4"/>
  <c r="K72" i="4"/>
  <c r="K68" i="4"/>
  <c r="K286" i="4"/>
  <c r="K229" i="4"/>
  <c r="K75" i="4"/>
  <c r="K71" i="4"/>
  <c r="K67" i="4"/>
  <c r="K63" i="4"/>
  <c r="K59" i="4"/>
  <c r="K55" i="4"/>
  <c r="K66" i="4"/>
  <c r="K58" i="4"/>
  <c r="K70" i="4"/>
  <c r="K64" i="4"/>
  <c r="K56" i="4"/>
  <c r="K62" i="4"/>
  <c r="K60" i="4"/>
  <c r="F285" i="4"/>
  <c r="F76" i="4"/>
  <c r="F286" i="4"/>
  <c r="F230" i="4"/>
  <c r="F229" i="4"/>
  <c r="F75" i="4"/>
  <c r="L75" i="4" s="1"/>
  <c r="B131" i="4" s="1"/>
  <c r="F71" i="4"/>
  <c r="L71" i="4" s="1"/>
  <c r="B127" i="4" s="1"/>
  <c r="F67" i="4"/>
  <c r="L67" i="4" s="1"/>
  <c r="B123" i="4" s="1"/>
  <c r="F63" i="4"/>
  <c r="L63" i="4" s="1"/>
  <c r="B119" i="4" s="1"/>
  <c r="F59" i="4"/>
  <c r="L59" i="4" s="1"/>
  <c r="B115" i="4" s="1"/>
  <c r="F55" i="4"/>
  <c r="L55" i="4" s="1"/>
  <c r="B111" i="4" s="1"/>
  <c r="F78" i="4"/>
  <c r="F74" i="4"/>
  <c r="F70" i="4"/>
  <c r="F77" i="4"/>
  <c r="F73" i="4"/>
  <c r="F69" i="4"/>
  <c r="F65" i="4"/>
  <c r="F61" i="4"/>
  <c r="F57" i="4"/>
  <c r="F68" i="4"/>
  <c r="L68" i="4" s="1"/>
  <c r="B124" i="4" s="1"/>
  <c r="F60" i="4"/>
  <c r="F66" i="4"/>
  <c r="F58" i="4"/>
  <c r="F64" i="4"/>
  <c r="F56" i="4"/>
  <c r="F72" i="4"/>
  <c r="F62" i="4"/>
  <c r="S18" i="1"/>
  <c r="L18" i="1"/>
  <c r="T18" i="1"/>
  <c r="R18" i="1"/>
  <c r="Q18" i="1"/>
  <c r="P18" i="1"/>
  <c r="S26" i="1"/>
  <c r="L26" i="1"/>
  <c r="R26" i="1"/>
  <c r="T26" i="1"/>
  <c r="Q26" i="1"/>
  <c r="P26" i="1"/>
  <c r="R17" i="1"/>
  <c r="S17" i="1"/>
  <c r="Q17" i="1"/>
  <c r="L17" i="1"/>
  <c r="T17" i="1"/>
  <c r="P17" i="1"/>
  <c r="Q23" i="1"/>
  <c r="T23" i="1"/>
  <c r="P23" i="1"/>
  <c r="R23" i="1"/>
  <c r="S23" i="1"/>
  <c r="L23" i="1"/>
  <c r="T19" i="1"/>
  <c r="P19" i="1"/>
  <c r="L19" i="1"/>
  <c r="S19" i="1"/>
  <c r="R19" i="1"/>
  <c r="Q19" i="1"/>
  <c r="S28" i="1"/>
  <c r="L28" i="1"/>
  <c r="T28" i="1"/>
  <c r="R28" i="1"/>
  <c r="Q28" i="1"/>
  <c r="P28" i="1"/>
  <c r="R21" i="1"/>
  <c r="Q21" i="1"/>
  <c r="L21" i="1"/>
  <c r="T21" i="1"/>
  <c r="P21" i="1"/>
  <c r="S21" i="1"/>
  <c r="R25" i="1"/>
  <c r="Q25" i="1"/>
  <c r="T25" i="1"/>
  <c r="P25" i="1"/>
  <c r="S25" i="1"/>
  <c r="L25" i="1"/>
  <c r="Q533" i="1" l="1"/>
  <c r="Q537" i="1"/>
  <c r="E479" i="1"/>
  <c r="E470" i="1"/>
  <c r="F470" i="1" s="1"/>
  <c r="T458" i="1"/>
  <c r="T537" i="1"/>
  <c r="S537" i="1"/>
  <c r="R537" i="1"/>
  <c r="S533" i="1"/>
  <c r="S534" i="1"/>
  <c r="T533" i="1"/>
  <c r="B464" i="1"/>
  <c r="F464" i="1" s="1"/>
  <c r="Q532" i="1"/>
  <c r="E472" i="1"/>
  <c r="E480" i="1"/>
  <c r="R476" i="1"/>
  <c r="F533" i="1"/>
  <c r="B466" i="1"/>
  <c r="R466" i="1" s="1"/>
  <c r="Q463" i="1"/>
  <c r="Q462" i="1"/>
  <c r="R533" i="1"/>
  <c r="B462" i="1"/>
  <c r="R462" i="1" s="1"/>
  <c r="H53" i="14"/>
  <c r="Q458" i="1"/>
  <c r="E469" i="1"/>
  <c r="R534" i="1"/>
  <c r="F538" i="1"/>
  <c r="Q538" i="1"/>
  <c r="T538" i="1"/>
  <c r="T463" i="1"/>
  <c r="F476" i="1"/>
  <c r="S476" i="1"/>
  <c r="T476" i="1"/>
  <c r="Q476" i="1"/>
  <c r="B456" i="1"/>
  <c r="T456" i="1" s="1"/>
  <c r="B459" i="1"/>
  <c r="S459" i="1" s="1"/>
  <c r="B477" i="1"/>
  <c r="S477" i="1" s="1"/>
  <c r="G53" i="14"/>
  <c r="K56" i="14"/>
  <c r="J56" i="14"/>
  <c r="L131" i="1"/>
  <c r="B171" i="1" s="1"/>
  <c r="F56" i="14"/>
  <c r="K53" i="14"/>
  <c r="J53" i="14"/>
  <c r="F53" i="14"/>
  <c r="H56" i="14"/>
  <c r="L126" i="1"/>
  <c r="B166" i="1" s="1"/>
  <c r="G56" i="14"/>
  <c r="R535" i="1"/>
  <c r="Q535" i="1"/>
  <c r="F535" i="1"/>
  <c r="P535" i="1"/>
  <c r="S535" i="1"/>
  <c r="T535" i="1"/>
  <c r="K312" i="4"/>
  <c r="G340" i="4" s="1"/>
  <c r="I312" i="4"/>
  <c r="D340" i="4" s="1"/>
  <c r="R400" i="1"/>
  <c r="F906" i="1"/>
  <c r="G907" i="1" s="1"/>
  <c r="G908" i="1"/>
  <c r="G241" i="4"/>
  <c r="B325" i="4" s="1"/>
  <c r="I241" i="4"/>
  <c r="F325" i="4" s="1"/>
  <c r="P534" i="1"/>
  <c r="I294" i="4"/>
  <c r="D322" i="4" s="1"/>
  <c r="K294" i="4"/>
  <c r="G322" i="4" s="1"/>
  <c r="S903" i="1"/>
  <c r="I248" i="4"/>
  <c r="F332" i="4" s="1"/>
  <c r="G248" i="4"/>
  <c r="B332" i="4" s="1"/>
  <c r="F422" i="4"/>
  <c r="G421" i="4"/>
  <c r="F458" i="1"/>
  <c r="S462" i="1"/>
  <c r="G420" i="4"/>
  <c r="K299" i="4"/>
  <c r="G327" i="4" s="1"/>
  <c r="I299" i="4"/>
  <c r="D327" i="4" s="1"/>
  <c r="T903" i="1"/>
  <c r="I252" i="4"/>
  <c r="F336" i="4" s="1"/>
  <c r="G252" i="4"/>
  <c r="B336" i="4" s="1"/>
  <c r="B474" i="1"/>
  <c r="B460" i="1"/>
  <c r="R538" i="1"/>
  <c r="P538" i="1"/>
  <c r="P853" i="1"/>
  <c r="P458" i="1"/>
  <c r="F462" i="1"/>
  <c r="S532" i="1"/>
  <c r="B455" i="1"/>
  <c r="B469" i="1"/>
  <c r="J393" i="1"/>
  <c r="E400" i="1" s="1"/>
  <c r="P400" i="1" s="1"/>
  <c r="K291" i="4"/>
  <c r="G319" i="4" s="1"/>
  <c r="I291" i="4"/>
  <c r="D319" i="4" s="1"/>
  <c r="K292" i="4"/>
  <c r="G320" i="4" s="1"/>
  <c r="I292" i="4"/>
  <c r="D320" i="4" s="1"/>
  <c r="I307" i="4"/>
  <c r="D335" i="4" s="1"/>
  <c r="K307" i="4"/>
  <c r="G335" i="4" s="1"/>
  <c r="K302" i="4"/>
  <c r="G330" i="4" s="1"/>
  <c r="I302" i="4"/>
  <c r="D330" i="4" s="1"/>
  <c r="E460" i="1"/>
  <c r="E474" i="1"/>
  <c r="I236" i="4"/>
  <c r="F320" i="4" s="1"/>
  <c r="G236" i="4"/>
  <c r="B320" i="4" s="1"/>
  <c r="I240" i="4"/>
  <c r="F324" i="4" s="1"/>
  <c r="G240" i="4"/>
  <c r="B324" i="4" s="1"/>
  <c r="I244" i="4"/>
  <c r="F328" i="4" s="1"/>
  <c r="G244" i="4"/>
  <c r="B328" i="4" s="1"/>
  <c r="I238" i="4"/>
  <c r="F322" i="4" s="1"/>
  <c r="G238" i="4"/>
  <c r="B322" i="4" s="1"/>
  <c r="B479" i="1"/>
  <c r="B465" i="1"/>
  <c r="B461" i="1"/>
  <c r="B475" i="1"/>
  <c r="I293" i="4"/>
  <c r="D321" i="4" s="1"/>
  <c r="K293" i="4"/>
  <c r="G321" i="4" s="1"/>
  <c r="I311" i="4"/>
  <c r="D339" i="4" s="1"/>
  <c r="K311" i="4"/>
  <c r="G339" i="4" s="1"/>
  <c r="I243" i="4"/>
  <c r="F327" i="4" s="1"/>
  <c r="G243" i="4"/>
  <c r="B327" i="4" s="1"/>
  <c r="I256" i="4"/>
  <c r="F340" i="4" s="1"/>
  <c r="G256" i="4"/>
  <c r="B340" i="4" s="1"/>
  <c r="I296" i="4"/>
  <c r="D324" i="4" s="1"/>
  <c r="K296" i="4"/>
  <c r="G324" i="4" s="1"/>
  <c r="I254" i="4"/>
  <c r="F338" i="4" s="1"/>
  <c r="G254" i="4"/>
  <c r="B338" i="4" s="1"/>
  <c r="T534" i="1"/>
  <c r="R471" i="1"/>
  <c r="T532" i="1"/>
  <c r="K301" i="4"/>
  <c r="G329" i="4" s="1"/>
  <c r="I301" i="4"/>
  <c r="D329" i="4" s="1"/>
  <c r="P531" i="1"/>
  <c r="Q531" i="1"/>
  <c r="F531" i="1"/>
  <c r="T531" i="1"/>
  <c r="S531" i="1"/>
  <c r="R531" i="1"/>
  <c r="I246" i="4"/>
  <c r="F330" i="4" s="1"/>
  <c r="G246" i="4"/>
  <c r="B330" i="4" s="1"/>
  <c r="Q534" i="1"/>
  <c r="R458" i="1"/>
  <c r="R480" i="1"/>
  <c r="B472" i="1"/>
  <c r="Q541" i="1"/>
  <c r="F541" i="1"/>
  <c r="S541" i="1"/>
  <c r="P541" i="1"/>
  <c r="T541" i="1"/>
  <c r="R541" i="1"/>
  <c r="B457" i="1"/>
  <c r="P457" i="1" s="1"/>
  <c r="B471" i="1"/>
  <c r="Q471" i="1" s="1"/>
  <c r="I310" i="4"/>
  <c r="D338" i="4" s="1"/>
  <c r="K310" i="4"/>
  <c r="G338" i="4" s="1"/>
  <c r="I298" i="4"/>
  <c r="D326" i="4" s="1"/>
  <c r="K298" i="4"/>
  <c r="G326" i="4" s="1"/>
  <c r="K297" i="4"/>
  <c r="G325" i="4" s="1"/>
  <c r="I297" i="4"/>
  <c r="D325" i="4" s="1"/>
  <c r="I305" i="4"/>
  <c r="D333" i="4" s="1"/>
  <c r="K305" i="4"/>
  <c r="G333" i="4" s="1"/>
  <c r="J386" i="1"/>
  <c r="B402" i="1" s="1"/>
  <c r="Q903" i="1"/>
  <c r="I253" i="4"/>
  <c r="F337" i="4" s="1"/>
  <c r="G253" i="4"/>
  <c r="B337" i="4" s="1"/>
  <c r="I247" i="4"/>
  <c r="F331" i="4" s="1"/>
  <c r="G247" i="4"/>
  <c r="B331" i="4" s="1"/>
  <c r="I250" i="4"/>
  <c r="F334" i="4" s="1"/>
  <c r="G250" i="4"/>
  <c r="B334" i="4" s="1"/>
  <c r="G245" i="4"/>
  <c r="B329" i="4" s="1"/>
  <c r="I245" i="4"/>
  <c r="F329" i="4" s="1"/>
  <c r="B468" i="1"/>
  <c r="R468" i="1" s="1"/>
  <c r="B454" i="1"/>
  <c r="T454" i="1" s="1"/>
  <c r="R536" i="1"/>
  <c r="S536" i="1"/>
  <c r="Q536" i="1"/>
  <c r="P536" i="1"/>
  <c r="F536" i="1"/>
  <c r="T536" i="1"/>
  <c r="K309" i="4"/>
  <c r="G337" i="4" s="1"/>
  <c r="I309" i="4"/>
  <c r="D337" i="4" s="1"/>
  <c r="I242" i="4"/>
  <c r="F326" i="4" s="1"/>
  <c r="G242" i="4"/>
  <c r="B326" i="4" s="1"/>
  <c r="R532" i="1"/>
  <c r="K306" i="4"/>
  <c r="G334" i="4" s="1"/>
  <c r="I306" i="4"/>
  <c r="D334" i="4" s="1"/>
  <c r="I251" i="4"/>
  <c r="F335" i="4" s="1"/>
  <c r="G251" i="4"/>
  <c r="B335" i="4" s="1"/>
  <c r="K300" i="4"/>
  <c r="G328" i="4" s="1"/>
  <c r="I300" i="4"/>
  <c r="D328" i="4" s="1"/>
  <c r="G239" i="4"/>
  <c r="B323" i="4" s="1"/>
  <c r="I239" i="4"/>
  <c r="F323" i="4" s="1"/>
  <c r="S538" i="1"/>
  <c r="K295" i="4"/>
  <c r="G323" i="4" s="1"/>
  <c r="I295" i="4"/>
  <c r="D323" i="4" s="1"/>
  <c r="I303" i="4"/>
  <c r="D331" i="4" s="1"/>
  <c r="K303" i="4"/>
  <c r="G331" i="4" s="1"/>
  <c r="I304" i="4"/>
  <c r="D332" i="4" s="1"/>
  <c r="K304" i="4"/>
  <c r="G332" i="4" s="1"/>
  <c r="I308" i="4"/>
  <c r="D336" i="4" s="1"/>
  <c r="K308" i="4"/>
  <c r="G336" i="4" s="1"/>
  <c r="J385" i="1"/>
  <c r="B401" i="1" s="1"/>
  <c r="I237" i="4"/>
  <c r="F321" i="4" s="1"/>
  <c r="G237" i="4"/>
  <c r="B321" i="4" s="1"/>
  <c r="G235" i="4"/>
  <c r="B319" i="4" s="1"/>
  <c r="I235" i="4"/>
  <c r="F319" i="4" s="1"/>
  <c r="I255" i="4"/>
  <c r="F339" i="4" s="1"/>
  <c r="G255" i="4"/>
  <c r="B339" i="4" s="1"/>
  <c r="G249" i="4"/>
  <c r="B333" i="4" s="1"/>
  <c r="I249" i="4"/>
  <c r="F333" i="4" s="1"/>
  <c r="G416" i="4"/>
  <c r="G66" i="3"/>
  <c r="H66" i="3" s="1"/>
  <c r="E85" i="3" s="1"/>
  <c r="I655" i="1"/>
  <c r="F712" i="1" s="1"/>
  <c r="S712" i="1" s="1"/>
  <c r="F307" i="1"/>
  <c r="S307" i="1"/>
  <c r="T307" i="1"/>
  <c r="Q307" i="1"/>
  <c r="R307" i="1"/>
  <c r="P307" i="1"/>
  <c r="F309" i="1"/>
  <c r="Q309" i="1"/>
  <c r="T309" i="1"/>
  <c r="S309" i="1"/>
  <c r="P309" i="1"/>
  <c r="R309" i="1"/>
  <c r="P306" i="1"/>
  <c r="F306" i="1"/>
  <c r="S306" i="1"/>
  <c r="Q306" i="1"/>
  <c r="T306" i="1"/>
  <c r="R306" i="1"/>
  <c r="I55" i="14"/>
  <c r="J55" i="14"/>
  <c r="K55" i="14"/>
  <c r="H55" i="14"/>
  <c r="G55" i="14"/>
  <c r="F55" i="14"/>
  <c r="G54" i="14"/>
  <c r="K54" i="14"/>
  <c r="I54" i="14"/>
  <c r="H54" i="14"/>
  <c r="J54" i="14"/>
  <c r="F54" i="14"/>
  <c r="K51" i="14"/>
  <c r="G51" i="14"/>
  <c r="H51" i="14"/>
  <c r="J51" i="14"/>
  <c r="F51" i="14"/>
  <c r="I51" i="14"/>
  <c r="I50" i="14"/>
  <c r="F50" i="14"/>
  <c r="H50" i="14"/>
  <c r="G50" i="14"/>
  <c r="K50" i="14"/>
  <c r="J50" i="14"/>
  <c r="F52" i="14"/>
  <c r="K52" i="14"/>
  <c r="I52" i="14"/>
  <c r="G52" i="14"/>
  <c r="H52" i="14"/>
  <c r="J52" i="14"/>
  <c r="I49" i="14"/>
  <c r="H49" i="14"/>
  <c r="J49" i="14"/>
  <c r="G49" i="14"/>
  <c r="F49" i="14"/>
  <c r="K49" i="14"/>
  <c r="G60" i="3"/>
  <c r="H60" i="3" s="1"/>
  <c r="E79" i="3" s="1"/>
  <c r="G69" i="3"/>
  <c r="H69" i="3" s="1"/>
  <c r="E88" i="3" s="1"/>
  <c r="G49" i="3"/>
  <c r="H49" i="3" s="1"/>
  <c r="B88" i="3" s="1"/>
  <c r="G57" i="3"/>
  <c r="H57" i="3" s="1"/>
  <c r="E76" i="3" s="1"/>
  <c r="G63" i="3"/>
  <c r="H63" i="3" s="1"/>
  <c r="E82" i="3" s="1"/>
  <c r="G37" i="3"/>
  <c r="H37" i="3" s="1"/>
  <c r="B76" i="3" s="1"/>
  <c r="G46" i="3"/>
  <c r="H46" i="3" s="1"/>
  <c r="B85" i="3" s="1"/>
  <c r="G40" i="3"/>
  <c r="H40" i="3" s="1"/>
  <c r="B79" i="3" s="1"/>
  <c r="G43" i="3"/>
  <c r="H43" i="3" s="1"/>
  <c r="B82" i="3" s="1"/>
  <c r="L712" i="1"/>
  <c r="M712" i="1"/>
  <c r="N712" i="1"/>
  <c r="O712" i="1"/>
  <c r="K712" i="1"/>
  <c r="E712" i="1"/>
  <c r="T462" i="1"/>
  <c r="F463" i="1"/>
  <c r="T480" i="1"/>
  <c r="P463" i="1"/>
  <c r="S463" i="1"/>
  <c r="F480" i="1"/>
  <c r="R463" i="1"/>
  <c r="P480" i="1"/>
  <c r="R457" i="1"/>
  <c r="Q480" i="1"/>
  <c r="S480" i="1"/>
  <c r="S478" i="1"/>
  <c r="R478" i="1"/>
  <c r="P478" i="1"/>
  <c r="Q478" i="1"/>
  <c r="T478" i="1"/>
  <c r="F478" i="1"/>
  <c r="T470" i="1"/>
  <c r="R470" i="1"/>
  <c r="Q470" i="1"/>
  <c r="P470" i="1"/>
  <c r="H362" i="1"/>
  <c r="H361" i="1"/>
  <c r="T473" i="1"/>
  <c r="F473" i="1"/>
  <c r="R473" i="1"/>
  <c r="S473" i="1"/>
  <c r="Q473" i="1"/>
  <c r="P473" i="1"/>
  <c r="Q464" i="1"/>
  <c r="S172" i="1"/>
  <c r="T172" i="1"/>
  <c r="F172" i="1"/>
  <c r="D26" i="12" s="1"/>
  <c r="P172" i="1"/>
  <c r="Q172" i="1"/>
  <c r="R172" i="1"/>
  <c r="I78" i="1"/>
  <c r="I81" i="1"/>
  <c r="I76" i="1"/>
  <c r="E78" i="1"/>
  <c r="E76" i="1"/>
  <c r="E81" i="1"/>
  <c r="E95" i="1"/>
  <c r="E90" i="1"/>
  <c r="I92" i="1"/>
  <c r="E92" i="1"/>
  <c r="I95" i="1"/>
  <c r="I90" i="1"/>
  <c r="F225" i="1"/>
  <c r="G225" i="1" s="1"/>
  <c r="E244" i="1" s="1"/>
  <c r="F206" i="1"/>
  <c r="G206" i="1" s="1"/>
  <c r="B243" i="1" s="1"/>
  <c r="L70" i="4"/>
  <c r="B126" i="4" s="1"/>
  <c r="L57" i="4"/>
  <c r="B113" i="4" s="1"/>
  <c r="L74" i="4"/>
  <c r="B130" i="4" s="1"/>
  <c r="L102" i="4"/>
  <c r="E130" i="4" s="1"/>
  <c r="L101" i="4"/>
  <c r="E129" i="4" s="1"/>
  <c r="L66" i="4"/>
  <c r="B122" i="4" s="1"/>
  <c r="L104" i="4"/>
  <c r="E132" i="4" s="1"/>
  <c r="F207" i="1"/>
  <c r="G207" i="1" s="1"/>
  <c r="B244" i="1" s="1"/>
  <c r="L97" i="4"/>
  <c r="E125" i="4" s="1"/>
  <c r="L103" i="4"/>
  <c r="E131" i="4" s="1"/>
  <c r="T131" i="4" s="1"/>
  <c r="L60" i="4"/>
  <c r="B116" i="4" s="1"/>
  <c r="L83" i="4"/>
  <c r="E111" i="4" s="1"/>
  <c r="P111" i="4" s="1"/>
  <c r="F224" i="1"/>
  <c r="G224" i="1" s="1"/>
  <c r="E243" i="1" s="1"/>
  <c r="F198" i="1"/>
  <c r="G198" i="1" s="1"/>
  <c r="B235" i="1" s="1"/>
  <c r="F235" i="1" s="1"/>
  <c r="F200" i="1"/>
  <c r="G200" i="1" s="1"/>
  <c r="B237" i="1" s="1"/>
  <c r="F237" i="1" s="1"/>
  <c r="F215" i="1"/>
  <c r="G215" i="1" s="1"/>
  <c r="E234" i="1" s="1"/>
  <c r="Q234" i="1" s="1"/>
  <c r="L69" i="4"/>
  <c r="B125" i="4" s="1"/>
  <c r="L72" i="4"/>
  <c r="B128" i="4" s="1"/>
  <c r="L77" i="4"/>
  <c r="B133" i="4" s="1"/>
  <c r="L76" i="4"/>
  <c r="B132" i="4" s="1"/>
  <c r="L58" i="4"/>
  <c r="B114" i="4" s="1"/>
  <c r="L98" i="4"/>
  <c r="E126" i="4" s="1"/>
  <c r="L100" i="4"/>
  <c r="E128" i="4" s="1"/>
  <c r="L73" i="4"/>
  <c r="B129" i="4" s="1"/>
  <c r="L94" i="4"/>
  <c r="E122" i="4" s="1"/>
  <c r="L96" i="4"/>
  <c r="E124" i="4" s="1"/>
  <c r="T124" i="4" s="1"/>
  <c r="L93" i="4"/>
  <c r="E121" i="4" s="1"/>
  <c r="L99" i="4"/>
  <c r="E127" i="4" s="1"/>
  <c r="S127" i="4" s="1"/>
  <c r="L87" i="4"/>
  <c r="E115" i="4" s="1"/>
  <c r="P115" i="4" s="1"/>
  <c r="L56" i="4"/>
  <c r="B112" i="4" s="1"/>
  <c r="L85" i="4"/>
  <c r="E113" i="4" s="1"/>
  <c r="L90" i="4"/>
  <c r="E118" i="4" s="1"/>
  <c r="L91" i="4"/>
  <c r="E119" i="4" s="1"/>
  <c r="T119" i="4" s="1"/>
  <c r="L92" i="4"/>
  <c r="E120" i="4" s="1"/>
  <c r="L86" i="4"/>
  <c r="E114" i="4" s="1"/>
  <c r="L64" i="4"/>
  <c r="B120" i="4" s="1"/>
  <c r="L61" i="4"/>
  <c r="B117" i="4" s="1"/>
  <c r="L89" i="4"/>
  <c r="E117" i="4" s="1"/>
  <c r="L95" i="4"/>
  <c r="E123" i="4" s="1"/>
  <c r="F123" i="4" s="1"/>
  <c r="D59" i="12" s="1"/>
  <c r="K59" i="12" s="1"/>
  <c r="L62" i="4"/>
  <c r="B118" i="4" s="1"/>
  <c r="L84" i="4"/>
  <c r="E112" i="4" s="1"/>
  <c r="L88" i="4"/>
  <c r="E116" i="4" s="1"/>
  <c r="L65" i="4"/>
  <c r="B121" i="4" s="1"/>
  <c r="L78" i="4"/>
  <c r="B134" i="4" s="1"/>
  <c r="F134" i="4" s="1"/>
  <c r="D70" i="12" s="1"/>
  <c r="K70" i="12" s="1"/>
  <c r="L105" i="4"/>
  <c r="E133" i="4" s="1"/>
  <c r="L130" i="1"/>
  <c r="B170" i="1" s="1"/>
  <c r="L134" i="1"/>
  <c r="B174" i="1" s="1"/>
  <c r="F174" i="1" s="1"/>
  <c r="L138" i="1"/>
  <c r="B178" i="1" s="1"/>
  <c r="L156" i="1"/>
  <c r="E175" i="1" s="1"/>
  <c r="L147" i="1"/>
  <c r="E166" i="1" s="1"/>
  <c r="L129" i="1"/>
  <c r="B169" i="1" s="1"/>
  <c r="F202" i="1"/>
  <c r="G202" i="1" s="1"/>
  <c r="B239" i="1" s="1"/>
  <c r="F217" i="1"/>
  <c r="G217" i="1" s="1"/>
  <c r="E236" i="1" s="1"/>
  <c r="Q236" i="1" s="1"/>
  <c r="F214" i="1"/>
  <c r="G214" i="1" s="1"/>
  <c r="E233" i="1" s="1"/>
  <c r="F216" i="1"/>
  <c r="G216" i="1" s="1"/>
  <c r="E235" i="1" s="1"/>
  <c r="F201" i="1"/>
  <c r="G201" i="1" s="1"/>
  <c r="B238" i="1" s="1"/>
  <c r="F219" i="1"/>
  <c r="G219" i="1" s="1"/>
  <c r="E238" i="1" s="1"/>
  <c r="F222" i="1"/>
  <c r="G222" i="1" s="1"/>
  <c r="E241" i="1" s="1"/>
  <c r="F213" i="1"/>
  <c r="G213" i="1" s="1"/>
  <c r="E232" i="1" s="1"/>
  <c r="F221" i="1"/>
  <c r="G221" i="1" s="1"/>
  <c r="E240" i="1" s="1"/>
  <c r="F223" i="1"/>
  <c r="G223" i="1" s="1"/>
  <c r="E242" i="1" s="1"/>
  <c r="F218" i="1"/>
  <c r="G218" i="1" s="1"/>
  <c r="E237" i="1" s="1"/>
  <c r="F208" i="1"/>
  <c r="G208" i="1" s="1"/>
  <c r="B245" i="1" s="1"/>
  <c r="F220" i="1"/>
  <c r="G220" i="1" s="1"/>
  <c r="E239" i="1" s="1"/>
  <c r="P239" i="1" s="1"/>
  <c r="F226" i="1"/>
  <c r="G226" i="1" s="1"/>
  <c r="E245" i="1" s="1"/>
  <c r="E855" i="1"/>
  <c r="H837" i="1"/>
  <c r="I836" i="1"/>
  <c r="D854" i="1" s="1"/>
  <c r="F803" i="1"/>
  <c r="G802" i="1"/>
  <c r="B856" i="1" s="1"/>
  <c r="I96" i="1"/>
  <c r="E93" i="1"/>
  <c r="E94" i="1"/>
  <c r="E96" i="1"/>
  <c r="I89" i="1"/>
  <c r="I94" i="1"/>
  <c r="E91" i="1"/>
  <c r="I93" i="1"/>
  <c r="I91" i="1"/>
  <c r="E89" i="1"/>
  <c r="I80" i="1"/>
  <c r="E77" i="1"/>
  <c r="I82" i="1"/>
  <c r="E79" i="1"/>
  <c r="I79" i="1"/>
  <c r="E75" i="1"/>
  <c r="E80" i="1"/>
  <c r="E82" i="1"/>
  <c r="I75" i="1"/>
  <c r="I77" i="1"/>
  <c r="L136" i="1"/>
  <c r="B176" i="1" s="1"/>
  <c r="L128" i="1"/>
  <c r="B168" i="1" s="1"/>
  <c r="L137" i="1"/>
  <c r="B177" i="1" s="1"/>
  <c r="L159" i="1"/>
  <c r="E178" i="1" s="1"/>
  <c r="L135" i="1"/>
  <c r="B175" i="1" s="1"/>
  <c r="L157" i="1"/>
  <c r="E176" i="1" s="1"/>
  <c r="L151" i="1"/>
  <c r="E170" i="1" s="1"/>
  <c r="L127" i="1"/>
  <c r="B167" i="1" s="1"/>
  <c r="L125" i="1"/>
  <c r="B165" i="1" s="1"/>
  <c r="L158" i="1"/>
  <c r="E177" i="1" s="1"/>
  <c r="L139" i="1"/>
  <c r="B179" i="1" s="1"/>
  <c r="L149" i="1"/>
  <c r="E168" i="1" s="1"/>
  <c r="L160" i="1"/>
  <c r="E179" i="1" s="1"/>
  <c r="L133" i="1"/>
  <c r="B173" i="1" s="1"/>
  <c r="L154" i="1"/>
  <c r="E173" i="1" s="1"/>
  <c r="L150" i="1"/>
  <c r="E169" i="1" s="1"/>
  <c r="L148" i="1"/>
  <c r="E167" i="1" s="1"/>
  <c r="L146" i="1"/>
  <c r="E165" i="1" s="1"/>
  <c r="F195" i="1"/>
  <c r="G195" i="1" s="1"/>
  <c r="B232" i="1" s="1"/>
  <c r="S14" i="3"/>
  <c r="R14" i="3"/>
  <c r="Q14" i="3"/>
  <c r="U14" i="3"/>
  <c r="N14" i="3"/>
  <c r="T14" i="3"/>
  <c r="T9" i="3"/>
  <c r="N9" i="3"/>
  <c r="S9" i="3"/>
  <c r="R9" i="3"/>
  <c r="U9" i="3"/>
  <c r="Q9" i="3"/>
  <c r="S13" i="3"/>
  <c r="U13" i="3"/>
  <c r="N13" i="3"/>
  <c r="T13" i="3"/>
  <c r="R13" i="3"/>
  <c r="Q13" i="3"/>
  <c r="S15" i="3"/>
  <c r="U15" i="3"/>
  <c r="N15" i="3"/>
  <c r="T15" i="3"/>
  <c r="R15" i="3"/>
  <c r="Q15" i="3"/>
  <c r="S165" i="3"/>
  <c r="U165" i="3"/>
  <c r="Q165" i="3"/>
  <c r="R165" i="3"/>
  <c r="E165" i="3"/>
  <c r="T165" i="3"/>
  <c r="G71" i="3"/>
  <c r="H71" i="3" s="1"/>
  <c r="E90" i="3" s="1"/>
  <c r="G68" i="3"/>
  <c r="H68" i="3" s="1"/>
  <c r="E87" i="3" s="1"/>
  <c r="G65" i="3"/>
  <c r="H65" i="3" s="1"/>
  <c r="E84" i="3" s="1"/>
  <c r="G70" i="3"/>
  <c r="H70" i="3" s="1"/>
  <c r="E89" i="3" s="1"/>
  <c r="G67" i="3"/>
  <c r="H67" i="3" s="1"/>
  <c r="E86" i="3" s="1"/>
  <c r="G64" i="3"/>
  <c r="H64" i="3" s="1"/>
  <c r="E83" i="3" s="1"/>
  <c r="G42" i="3"/>
  <c r="H42" i="3" s="1"/>
  <c r="B81" i="3" s="1"/>
  <c r="G41" i="3"/>
  <c r="H41" i="3" s="1"/>
  <c r="B80" i="3" s="1"/>
  <c r="G39" i="3"/>
  <c r="H39" i="3" s="1"/>
  <c r="B78" i="3" s="1"/>
  <c r="G38" i="3"/>
  <c r="H38" i="3" s="1"/>
  <c r="B77" i="3" s="1"/>
  <c r="S173" i="3"/>
  <c r="R173" i="3"/>
  <c r="U173" i="3"/>
  <c r="Q173" i="3"/>
  <c r="T173" i="3"/>
  <c r="E173" i="3"/>
  <c r="F204" i="1"/>
  <c r="G204" i="1" s="1"/>
  <c r="B241" i="1" s="1"/>
  <c r="S16" i="3"/>
  <c r="R16" i="3"/>
  <c r="Q16" i="3"/>
  <c r="U16" i="3"/>
  <c r="N16" i="3"/>
  <c r="T16" i="3"/>
  <c r="T10" i="3"/>
  <c r="N10" i="3"/>
  <c r="S10" i="3"/>
  <c r="R10" i="3"/>
  <c r="U10" i="3"/>
  <c r="Q10" i="3"/>
  <c r="R167" i="3"/>
  <c r="U167" i="3"/>
  <c r="Q167" i="3"/>
  <c r="S167" i="3"/>
  <c r="T167" i="3"/>
  <c r="E167" i="3"/>
  <c r="G51" i="3"/>
  <c r="H51" i="3" s="1"/>
  <c r="B90" i="3" s="1"/>
  <c r="G50" i="3"/>
  <c r="H50" i="3" s="1"/>
  <c r="B89" i="3" s="1"/>
  <c r="G48" i="3"/>
  <c r="H48" i="3" s="1"/>
  <c r="B87" i="3" s="1"/>
  <c r="G47" i="3"/>
  <c r="H47" i="3" s="1"/>
  <c r="B86" i="3" s="1"/>
  <c r="G45" i="3"/>
  <c r="H45" i="3" s="1"/>
  <c r="B84" i="3" s="1"/>
  <c r="G44" i="3"/>
  <c r="H44" i="3" s="1"/>
  <c r="B83" i="3" s="1"/>
  <c r="S168" i="3"/>
  <c r="R168" i="3"/>
  <c r="U168" i="3"/>
  <c r="Q168" i="3"/>
  <c r="T168" i="3"/>
  <c r="E168" i="3"/>
  <c r="T7" i="3"/>
  <c r="N7" i="3"/>
  <c r="S7" i="3"/>
  <c r="R7" i="3"/>
  <c r="U7" i="3"/>
  <c r="Q7" i="3"/>
  <c r="T11" i="3"/>
  <c r="N11" i="3"/>
  <c r="S11" i="3"/>
  <c r="R11" i="3"/>
  <c r="U11" i="3"/>
  <c r="Q11" i="3"/>
  <c r="S164" i="3"/>
  <c r="U164" i="3"/>
  <c r="Q164" i="3"/>
  <c r="R164" i="3"/>
  <c r="E164" i="3"/>
  <c r="T164" i="3"/>
  <c r="S169" i="3"/>
  <c r="R169" i="3"/>
  <c r="U169" i="3"/>
  <c r="Q169" i="3"/>
  <c r="T169" i="3"/>
  <c r="E169" i="3"/>
  <c r="S170" i="3"/>
  <c r="R170" i="3"/>
  <c r="U170" i="3"/>
  <c r="Q170" i="3"/>
  <c r="T170" i="3"/>
  <c r="E170" i="3"/>
  <c r="T8" i="3"/>
  <c r="N8" i="3"/>
  <c r="S8" i="3"/>
  <c r="R8" i="3"/>
  <c r="U8" i="3"/>
  <c r="Q8" i="3"/>
  <c r="T12" i="3"/>
  <c r="N12" i="3"/>
  <c r="S12" i="3"/>
  <c r="R12" i="3"/>
  <c r="U12" i="3"/>
  <c r="Q12" i="3"/>
  <c r="S166" i="3"/>
  <c r="U166" i="3"/>
  <c r="Q166" i="3"/>
  <c r="R166" i="3"/>
  <c r="E166" i="3"/>
  <c r="T166" i="3"/>
  <c r="G62" i="3"/>
  <c r="H62" i="3" s="1"/>
  <c r="E81" i="3" s="1"/>
  <c r="G59" i="3"/>
  <c r="H59" i="3" s="1"/>
  <c r="E78" i="3" s="1"/>
  <c r="G61" i="3"/>
  <c r="H61" i="3" s="1"/>
  <c r="E80" i="3" s="1"/>
  <c r="G58" i="3"/>
  <c r="H58" i="3" s="1"/>
  <c r="E77" i="3" s="1"/>
  <c r="S171" i="3"/>
  <c r="R171" i="3"/>
  <c r="U171" i="3"/>
  <c r="Q171" i="3"/>
  <c r="T171" i="3"/>
  <c r="E171" i="3"/>
  <c r="S172" i="3"/>
  <c r="R172" i="3"/>
  <c r="U172" i="3"/>
  <c r="Q172" i="3"/>
  <c r="T172" i="3"/>
  <c r="E172" i="3"/>
  <c r="F203" i="1"/>
  <c r="G203" i="1" s="1"/>
  <c r="B240" i="1" s="1"/>
  <c r="F205" i="1"/>
  <c r="G205" i="1" s="1"/>
  <c r="B242" i="1" s="1"/>
  <c r="F196" i="1"/>
  <c r="G196" i="1" s="1"/>
  <c r="B233" i="1" s="1"/>
  <c r="F234" i="1"/>
  <c r="F236" i="1"/>
  <c r="L286" i="4"/>
  <c r="K314" i="4"/>
  <c r="G342" i="4" s="1"/>
  <c r="I314" i="4"/>
  <c r="D342" i="4" s="1"/>
  <c r="G652" i="1"/>
  <c r="B709" i="1" s="1"/>
  <c r="I652" i="1"/>
  <c r="F709" i="1" s="1"/>
  <c r="G649" i="1"/>
  <c r="B706" i="1" s="1"/>
  <c r="I649" i="1"/>
  <c r="F706" i="1" s="1"/>
  <c r="I660" i="1"/>
  <c r="F717" i="1" s="1"/>
  <c r="G660" i="1"/>
  <c r="B717" i="1" s="1"/>
  <c r="I687" i="1"/>
  <c r="D706" i="1" s="1"/>
  <c r="K687" i="1"/>
  <c r="G706" i="1" s="1"/>
  <c r="I699" i="1"/>
  <c r="D718" i="1" s="1"/>
  <c r="K699" i="1"/>
  <c r="G718" i="1" s="1"/>
  <c r="K700" i="1"/>
  <c r="G719" i="1" s="1"/>
  <c r="I700" i="1"/>
  <c r="D719" i="1" s="1"/>
  <c r="G657" i="1"/>
  <c r="B714" i="1" s="1"/>
  <c r="I657" i="1"/>
  <c r="F714" i="1" s="1"/>
  <c r="G651" i="1"/>
  <c r="B708" i="1" s="1"/>
  <c r="I651" i="1"/>
  <c r="F708" i="1" s="1"/>
  <c r="I662" i="1"/>
  <c r="F719" i="1" s="1"/>
  <c r="G662" i="1"/>
  <c r="B719" i="1" s="1"/>
  <c r="I689" i="1"/>
  <c r="D708" i="1" s="1"/>
  <c r="K689" i="1"/>
  <c r="G708" i="1" s="1"/>
  <c r="K690" i="1"/>
  <c r="G709" i="1" s="1"/>
  <c r="I690" i="1"/>
  <c r="D709" i="1" s="1"/>
  <c r="I257" i="4"/>
  <c r="F341" i="4" s="1"/>
  <c r="L229" i="4"/>
  <c r="G257" i="4"/>
  <c r="B341" i="4" s="1"/>
  <c r="I313" i="4"/>
  <c r="D341" i="4" s="1"/>
  <c r="K313" i="4"/>
  <c r="G341" i="4" s="1"/>
  <c r="L285" i="4"/>
  <c r="G648" i="1"/>
  <c r="B705" i="1" s="1"/>
  <c r="I648" i="1"/>
  <c r="F705" i="1" s="1"/>
  <c r="I661" i="1"/>
  <c r="F718" i="1" s="1"/>
  <c r="G661" i="1"/>
  <c r="B718" i="1" s="1"/>
  <c r="G653" i="1"/>
  <c r="B710" i="1" s="1"/>
  <c r="I653" i="1"/>
  <c r="F710" i="1" s="1"/>
  <c r="I659" i="1"/>
  <c r="F716" i="1" s="1"/>
  <c r="G659" i="1"/>
  <c r="B716" i="1" s="1"/>
  <c r="K688" i="1"/>
  <c r="G707" i="1" s="1"/>
  <c r="I688" i="1"/>
  <c r="D707" i="1" s="1"/>
  <c r="I691" i="1"/>
  <c r="D710" i="1" s="1"/>
  <c r="K691" i="1"/>
  <c r="G710" i="1" s="1"/>
  <c r="K696" i="1"/>
  <c r="G715" i="1" s="1"/>
  <c r="I696" i="1"/>
  <c r="D715" i="1" s="1"/>
  <c r="G258" i="4"/>
  <c r="B342" i="4" s="1"/>
  <c r="I258" i="4"/>
  <c r="F342" i="4" s="1"/>
  <c r="L230" i="4"/>
  <c r="G650" i="1"/>
  <c r="B707" i="1" s="1"/>
  <c r="I650" i="1"/>
  <c r="F707" i="1" s="1"/>
  <c r="G656" i="1"/>
  <c r="B713" i="1" s="1"/>
  <c r="I656" i="1"/>
  <c r="F713" i="1" s="1"/>
  <c r="I658" i="1"/>
  <c r="F715" i="1" s="1"/>
  <c r="G658" i="1"/>
  <c r="B715" i="1" s="1"/>
  <c r="K686" i="1"/>
  <c r="G705" i="1" s="1"/>
  <c r="I686" i="1"/>
  <c r="D705" i="1" s="1"/>
  <c r="I697" i="1"/>
  <c r="D716" i="1" s="1"/>
  <c r="K697" i="1"/>
  <c r="G716" i="1" s="1"/>
  <c r="K698" i="1"/>
  <c r="G717" i="1" s="1"/>
  <c r="I698" i="1"/>
  <c r="D717" i="1" s="1"/>
  <c r="T464" i="1" l="1"/>
  <c r="P464" i="1"/>
  <c r="R454" i="1"/>
  <c r="R464" i="1"/>
  <c r="S470" i="1"/>
  <c r="Q457" i="1"/>
  <c r="P466" i="1"/>
  <c r="S464" i="1"/>
  <c r="F466" i="1"/>
  <c r="T466" i="1"/>
  <c r="P462" i="1"/>
  <c r="T472" i="1"/>
  <c r="Q469" i="1"/>
  <c r="F456" i="1"/>
  <c r="F457" i="1"/>
  <c r="P166" i="1"/>
  <c r="T468" i="1"/>
  <c r="R456" i="1"/>
  <c r="R472" i="1"/>
  <c r="Q456" i="1"/>
  <c r="P459" i="1"/>
  <c r="F477" i="1"/>
  <c r="T469" i="1"/>
  <c r="Q466" i="1"/>
  <c r="Q459" i="1"/>
  <c r="T471" i="1"/>
  <c r="S466" i="1"/>
  <c r="P456" i="1"/>
  <c r="T459" i="1"/>
  <c r="F454" i="1"/>
  <c r="P477" i="1"/>
  <c r="P454" i="1"/>
  <c r="R477" i="1"/>
  <c r="R459" i="1"/>
  <c r="Q454" i="1"/>
  <c r="Q477" i="1"/>
  <c r="S456" i="1"/>
  <c r="F459" i="1"/>
  <c r="S454" i="1"/>
  <c r="T477" i="1"/>
  <c r="T171" i="1"/>
  <c r="Q171" i="1"/>
  <c r="F171" i="1"/>
  <c r="D25" i="12" s="1"/>
  <c r="R171" i="1"/>
  <c r="S171" i="1"/>
  <c r="P171" i="1"/>
  <c r="R712" i="1"/>
  <c r="V712" i="1" s="1"/>
  <c r="H331" i="4"/>
  <c r="I331" i="4" s="1"/>
  <c r="U331" i="4"/>
  <c r="T331" i="4"/>
  <c r="S331" i="4"/>
  <c r="R331" i="4"/>
  <c r="Q331" i="4"/>
  <c r="Q474" i="1"/>
  <c r="P474" i="1"/>
  <c r="T474" i="1"/>
  <c r="R474" i="1"/>
  <c r="S474" i="1"/>
  <c r="F474" i="1"/>
  <c r="Q332" i="4"/>
  <c r="T332" i="4"/>
  <c r="U332" i="4"/>
  <c r="R332" i="4"/>
  <c r="H332" i="4"/>
  <c r="I332" i="4" s="1"/>
  <c r="S332" i="4"/>
  <c r="P468" i="1"/>
  <c r="H712" i="1"/>
  <c r="C97" i="12" s="1"/>
  <c r="B376" i="4"/>
  <c r="G376" i="4" s="1"/>
  <c r="M326" i="4"/>
  <c r="O326" i="4"/>
  <c r="N326" i="4"/>
  <c r="E326" i="4"/>
  <c r="B357" i="4"/>
  <c r="G357" i="4" s="1"/>
  <c r="K326" i="4"/>
  <c r="L326" i="4"/>
  <c r="N337" i="4"/>
  <c r="M337" i="4"/>
  <c r="L337" i="4"/>
  <c r="K337" i="4"/>
  <c r="E337" i="4"/>
  <c r="O337" i="4"/>
  <c r="B353" i="4"/>
  <c r="G353" i="4" s="1"/>
  <c r="B372" i="4"/>
  <c r="G372" i="4" s="1"/>
  <c r="M322" i="4"/>
  <c r="L322" i="4"/>
  <c r="E322" i="4"/>
  <c r="N322" i="4"/>
  <c r="O322" i="4"/>
  <c r="K322" i="4"/>
  <c r="B350" i="4"/>
  <c r="G350" i="4" s="1"/>
  <c r="B369" i="4"/>
  <c r="G369" i="4" s="1"/>
  <c r="O319" i="4"/>
  <c r="M319" i="4"/>
  <c r="E319" i="4"/>
  <c r="L319" i="4"/>
  <c r="K319" i="4"/>
  <c r="N319" i="4"/>
  <c r="L335" i="4"/>
  <c r="E335" i="4"/>
  <c r="O335" i="4"/>
  <c r="M335" i="4"/>
  <c r="N335" i="4"/>
  <c r="K335" i="4"/>
  <c r="O329" i="4"/>
  <c r="N329" i="4"/>
  <c r="E329" i="4"/>
  <c r="K329" i="4"/>
  <c r="L329" i="4"/>
  <c r="M329" i="4"/>
  <c r="F469" i="1"/>
  <c r="P469" i="1"/>
  <c r="S468" i="1"/>
  <c r="F471" i="1"/>
  <c r="S457" i="1"/>
  <c r="R469" i="1"/>
  <c r="L339" i="4"/>
  <c r="N339" i="4"/>
  <c r="E339" i="4"/>
  <c r="O339" i="4"/>
  <c r="M339" i="4"/>
  <c r="K339" i="4"/>
  <c r="R401" i="1"/>
  <c r="Q401" i="1"/>
  <c r="T401" i="1"/>
  <c r="S401" i="1"/>
  <c r="P401" i="1"/>
  <c r="F401" i="1"/>
  <c r="L323" i="4"/>
  <c r="E323" i="4"/>
  <c r="K323" i="4"/>
  <c r="N323" i="4"/>
  <c r="B373" i="4"/>
  <c r="G373" i="4" s="1"/>
  <c r="M323" i="4"/>
  <c r="O323" i="4"/>
  <c r="B354" i="4"/>
  <c r="G354" i="4" s="1"/>
  <c r="O331" i="4"/>
  <c r="N331" i="4"/>
  <c r="L331" i="4"/>
  <c r="K331" i="4"/>
  <c r="E331" i="4"/>
  <c r="M331" i="4"/>
  <c r="Q465" i="1"/>
  <c r="F465" i="1"/>
  <c r="P465" i="1"/>
  <c r="T465" i="1"/>
  <c r="R465" i="1"/>
  <c r="S465" i="1"/>
  <c r="B374" i="4"/>
  <c r="G374" i="4" s="1"/>
  <c r="K324" i="4"/>
  <c r="O324" i="4"/>
  <c r="B355" i="4"/>
  <c r="G355" i="4" s="1"/>
  <c r="E324" i="4"/>
  <c r="N324" i="4"/>
  <c r="M324" i="4"/>
  <c r="L324" i="4"/>
  <c r="T460" i="1"/>
  <c r="P460" i="1"/>
  <c r="S460" i="1"/>
  <c r="R460" i="1"/>
  <c r="Q460" i="1"/>
  <c r="F460" i="1"/>
  <c r="L332" i="4"/>
  <c r="M332" i="4"/>
  <c r="K332" i="4"/>
  <c r="E332" i="4"/>
  <c r="O332" i="4"/>
  <c r="N332" i="4"/>
  <c r="U325" i="4"/>
  <c r="T325" i="4"/>
  <c r="S325" i="4"/>
  <c r="H325" i="4"/>
  <c r="I325" i="4" s="1"/>
  <c r="W325" i="4" s="1"/>
  <c r="R325" i="4"/>
  <c r="Q325" i="4"/>
  <c r="V325" i="4" s="1"/>
  <c r="Q400" i="1"/>
  <c r="K340" i="4"/>
  <c r="N340" i="4"/>
  <c r="E340" i="4"/>
  <c r="M340" i="4"/>
  <c r="L340" i="4"/>
  <c r="O340" i="4"/>
  <c r="S479" i="1"/>
  <c r="Q479" i="1"/>
  <c r="F479" i="1"/>
  <c r="P479" i="1"/>
  <c r="T479" i="1"/>
  <c r="R479" i="1"/>
  <c r="Q319" i="4"/>
  <c r="V319" i="4" s="1"/>
  <c r="U319" i="4"/>
  <c r="H319" i="4"/>
  <c r="I319" i="4" s="1"/>
  <c r="W319" i="4" s="1"/>
  <c r="T319" i="4"/>
  <c r="S319" i="4"/>
  <c r="R319" i="4"/>
  <c r="Q329" i="4"/>
  <c r="V329" i="4" s="1"/>
  <c r="T329" i="4"/>
  <c r="H329" i="4"/>
  <c r="I329" i="4" s="1"/>
  <c r="W329" i="4" s="1"/>
  <c r="S329" i="4"/>
  <c r="U329" i="4"/>
  <c r="R329" i="4"/>
  <c r="N330" i="4"/>
  <c r="L330" i="4"/>
  <c r="K330" i="4"/>
  <c r="M330" i="4"/>
  <c r="E330" i="4"/>
  <c r="O330" i="4"/>
  <c r="O320" i="4"/>
  <c r="N320" i="4"/>
  <c r="L320" i="4"/>
  <c r="K320" i="4"/>
  <c r="B370" i="4"/>
  <c r="G370" i="4" s="1"/>
  <c r="B351" i="4"/>
  <c r="G351" i="4" s="1"/>
  <c r="E320" i="4"/>
  <c r="M320" i="4"/>
  <c r="M336" i="4"/>
  <c r="L336" i="4"/>
  <c r="N336" i="4"/>
  <c r="E336" i="4"/>
  <c r="K336" i="4"/>
  <c r="O336" i="4"/>
  <c r="S400" i="1"/>
  <c r="U337" i="4"/>
  <c r="R337" i="4"/>
  <c r="S337" i="4"/>
  <c r="Q337" i="4"/>
  <c r="H337" i="4"/>
  <c r="I337" i="4" s="1"/>
  <c r="T337" i="4"/>
  <c r="U330" i="4"/>
  <c r="R330" i="4"/>
  <c r="T330" i="4"/>
  <c r="H330" i="4"/>
  <c r="I330" i="4" s="1"/>
  <c r="S330" i="4"/>
  <c r="Q330" i="4"/>
  <c r="B377" i="4"/>
  <c r="B358" i="4"/>
  <c r="L327" i="4"/>
  <c r="E327" i="4"/>
  <c r="N327" i="4"/>
  <c r="M327" i="4"/>
  <c r="O327" i="4"/>
  <c r="K327" i="4"/>
  <c r="H320" i="4"/>
  <c r="I320" i="4" s="1"/>
  <c r="W320" i="4" s="1"/>
  <c r="U320" i="4"/>
  <c r="T320" i="4"/>
  <c r="R320" i="4"/>
  <c r="Q320" i="4"/>
  <c r="V320" i="4" s="1"/>
  <c r="S320" i="4"/>
  <c r="T336" i="4"/>
  <c r="U336" i="4"/>
  <c r="S336" i="4"/>
  <c r="H336" i="4"/>
  <c r="I336" i="4" s="1"/>
  <c r="R336" i="4"/>
  <c r="Q336" i="4"/>
  <c r="F468" i="1"/>
  <c r="T457" i="1"/>
  <c r="P471" i="1"/>
  <c r="S471" i="1"/>
  <c r="S469" i="1"/>
  <c r="R333" i="4"/>
  <c r="Q333" i="4"/>
  <c r="H333" i="4"/>
  <c r="I333" i="4" s="1"/>
  <c r="U333" i="4"/>
  <c r="T333" i="4"/>
  <c r="S333" i="4"/>
  <c r="N321" i="4"/>
  <c r="M321" i="4"/>
  <c r="K321" i="4"/>
  <c r="L321" i="4"/>
  <c r="B352" i="4"/>
  <c r="G352" i="4" s="1"/>
  <c r="E321" i="4"/>
  <c r="O321" i="4"/>
  <c r="B371" i="4"/>
  <c r="G371" i="4" s="1"/>
  <c r="S335" i="4"/>
  <c r="Q335" i="4"/>
  <c r="U335" i="4"/>
  <c r="T335" i="4"/>
  <c r="R335" i="4"/>
  <c r="H335" i="4"/>
  <c r="I335" i="4" s="1"/>
  <c r="L334" i="4"/>
  <c r="E334" i="4"/>
  <c r="N334" i="4"/>
  <c r="M334" i="4"/>
  <c r="K334" i="4"/>
  <c r="O334" i="4"/>
  <c r="S472" i="1"/>
  <c r="P472" i="1"/>
  <c r="F472" i="1"/>
  <c r="Q472" i="1"/>
  <c r="H338" i="4"/>
  <c r="I338" i="4" s="1"/>
  <c r="R338" i="4"/>
  <c r="Q338" i="4"/>
  <c r="S338" i="4"/>
  <c r="T338" i="4"/>
  <c r="U338" i="4"/>
  <c r="S327" i="4"/>
  <c r="R327" i="4"/>
  <c r="Q327" i="4"/>
  <c r="V327" i="4" s="1"/>
  <c r="H327" i="4"/>
  <c r="I327" i="4" s="1"/>
  <c r="W327" i="4" s="1"/>
  <c r="U327" i="4"/>
  <c r="T327" i="4"/>
  <c r="P475" i="1"/>
  <c r="Q475" i="1"/>
  <c r="F475" i="1"/>
  <c r="S475" i="1"/>
  <c r="R475" i="1"/>
  <c r="T475" i="1"/>
  <c r="K328" i="4"/>
  <c r="M328" i="4"/>
  <c r="E328" i="4"/>
  <c r="L328" i="4"/>
  <c r="O328" i="4"/>
  <c r="N328" i="4"/>
  <c r="S455" i="1"/>
  <c r="F455" i="1"/>
  <c r="R455" i="1"/>
  <c r="P455" i="1"/>
  <c r="T455" i="1"/>
  <c r="Q455" i="1"/>
  <c r="F400" i="1"/>
  <c r="Q339" i="4"/>
  <c r="T339" i="4"/>
  <c r="U339" i="4"/>
  <c r="H339" i="4"/>
  <c r="I339" i="4" s="1"/>
  <c r="S339" i="4"/>
  <c r="R339" i="4"/>
  <c r="R324" i="4"/>
  <c r="Q324" i="4"/>
  <c r="V324" i="4" s="1"/>
  <c r="S324" i="4"/>
  <c r="H324" i="4"/>
  <c r="I324" i="4" s="1"/>
  <c r="W324" i="4" s="1"/>
  <c r="U324" i="4"/>
  <c r="T324" i="4"/>
  <c r="B356" i="4"/>
  <c r="G356" i="4" s="1"/>
  <c r="N325" i="4"/>
  <c r="B375" i="4"/>
  <c r="G375" i="4" s="1"/>
  <c r="L325" i="4"/>
  <c r="K325" i="4"/>
  <c r="O325" i="4"/>
  <c r="M325" i="4"/>
  <c r="E325" i="4"/>
  <c r="R340" i="4"/>
  <c r="Q340" i="4"/>
  <c r="H340" i="4"/>
  <c r="I340" i="4" s="1"/>
  <c r="U340" i="4"/>
  <c r="S340" i="4"/>
  <c r="T340" i="4"/>
  <c r="Q468" i="1"/>
  <c r="T326" i="4"/>
  <c r="U326" i="4"/>
  <c r="R326" i="4"/>
  <c r="Q326" i="4"/>
  <c r="V326" i="4" s="1"/>
  <c r="S326" i="4"/>
  <c r="H326" i="4"/>
  <c r="I326" i="4" s="1"/>
  <c r="W326" i="4" s="1"/>
  <c r="O338" i="4"/>
  <c r="N338" i="4"/>
  <c r="M338" i="4"/>
  <c r="E338" i="4"/>
  <c r="L338" i="4"/>
  <c r="K338" i="4"/>
  <c r="T322" i="4"/>
  <c r="S322" i="4"/>
  <c r="U322" i="4"/>
  <c r="R322" i="4"/>
  <c r="H322" i="4"/>
  <c r="I322" i="4" s="1"/>
  <c r="W322" i="4" s="1"/>
  <c r="Q322" i="4"/>
  <c r="V322" i="4" s="1"/>
  <c r="T400" i="1"/>
  <c r="K333" i="4"/>
  <c r="M333" i="4"/>
  <c r="L333" i="4"/>
  <c r="N333" i="4"/>
  <c r="O333" i="4"/>
  <c r="E333" i="4"/>
  <c r="U321" i="4"/>
  <c r="T321" i="4"/>
  <c r="S321" i="4"/>
  <c r="H321" i="4"/>
  <c r="I321" i="4" s="1"/>
  <c r="W321" i="4" s="1"/>
  <c r="R321" i="4"/>
  <c r="Q321" i="4"/>
  <c r="V321" i="4" s="1"/>
  <c r="S323" i="4"/>
  <c r="R323" i="4"/>
  <c r="T323" i="4"/>
  <c r="H323" i="4"/>
  <c r="I323" i="4" s="1"/>
  <c r="W323" i="4" s="1"/>
  <c r="Q323" i="4"/>
  <c r="V323" i="4" s="1"/>
  <c r="U323" i="4"/>
  <c r="S334" i="4"/>
  <c r="U334" i="4"/>
  <c r="H334" i="4"/>
  <c r="I334" i="4" s="1"/>
  <c r="T334" i="4"/>
  <c r="Q334" i="4"/>
  <c r="R334" i="4"/>
  <c r="P402" i="1"/>
  <c r="F402" i="1"/>
  <c r="T402" i="1"/>
  <c r="S402" i="1"/>
  <c r="R402" i="1"/>
  <c r="Q402" i="1"/>
  <c r="F461" i="1"/>
  <c r="T461" i="1"/>
  <c r="Q461" i="1"/>
  <c r="R461" i="1"/>
  <c r="P461" i="1"/>
  <c r="S461" i="1"/>
  <c r="R328" i="4"/>
  <c r="U328" i="4"/>
  <c r="T328" i="4"/>
  <c r="Q328" i="4"/>
  <c r="V328" i="4" s="1"/>
  <c r="H328" i="4"/>
  <c r="I328" i="4" s="1"/>
  <c r="W328" i="4" s="1"/>
  <c r="S328" i="4"/>
  <c r="V87" i="3"/>
  <c r="U87" i="3"/>
  <c r="Q87" i="3"/>
  <c r="S87" i="3"/>
  <c r="T87" i="3"/>
  <c r="R87" i="3"/>
  <c r="R90" i="3"/>
  <c r="S90" i="3"/>
  <c r="T90" i="3"/>
  <c r="Q90" i="3"/>
  <c r="V90" i="3"/>
  <c r="U90" i="3"/>
  <c r="Q83" i="3"/>
  <c r="R83" i="3"/>
  <c r="V83" i="3"/>
  <c r="S83" i="3"/>
  <c r="U83" i="3"/>
  <c r="T83" i="3"/>
  <c r="V82" i="3"/>
  <c r="Q82" i="3"/>
  <c r="R82" i="3"/>
  <c r="T82" i="3"/>
  <c r="F82" i="3"/>
  <c r="D88" i="14" s="1"/>
  <c r="U82" i="3"/>
  <c r="S82" i="3"/>
  <c r="V88" i="3"/>
  <c r="Q88" i="3"/>
  <c r="R88" i="3"/>
  <c r="T88" i="3"/>
  <c r="U88" i="3"/>
  <c r="S88" i="3"/>
  <c r="F88" i="3"/>
  <c r="D94" i="14" s="1"/>
  <c r="T80" i="3"/>
  <c r="U80" i="3"/>
  <c r="R80" i="3"/>
  <c r="V80" i="3"/>
  <c r="S80" i="3"/>
  <c r="Q80" i="3"/>
  <c r="V81" i="3"/>
  <c r="U81" i="3"/>
  <c r="Q81" i="3"/>
  <c r="S81" i="3"/>
  <c r="T81" i="3"/>
  <c r="R81" i="3"/>
  <c r="R84" i="3"/>
  <c r="S84" i="3"/>
  <c r="T84" i="3"/>
  <c r="Q84" i="3"/>
  <c r="V84" i="3"/>
  <c r="U84" i="3"/>
  <c r="V77" i="3"/>
  <c r="F79" i="3"/>
  <c r="D85" i="14" s="1"/>
  <c r="S79" i="3"/>
  <c r="T79" i="3"/>
  <c r="U79" i="3"/>
  <c r="V79" i="3"/>
  <c r="Q79" i="3"/>
  <c r="R79" i="3"/>
  <c r="F76" i="3"/>
  <c r="D82" i="14" s="1"/>
  <c r="S76" i="3"/>
  <c r="V76" i="3"/>
  <c r="T76" i="3"/>
  <c r="U76" i="3"/>
  <c r="Q76" i="3"/>
  <c r="R76" i="3"/>
  <c r="Q89" i="3"/>
  <c r="R89" i="3"/>
  <c r="V89" i="3"/>
  <c r="S89" i="3"/>
  <c r="U89" i="3"/>
  <c r="T89" i="3"/>
  <c r="T86" i="3"/>
  <c r="U86" i="3"/>
  <c r="R86" i="3"/>
  <c r="V86" i="3"/>
  <c r="S86" i="3"/>
  <c r="Q86" i="3"/>
  <c r="V78" i="3"/>
  <c r="S85" i="3"/>
  <c r="T85" i="3"/>
  <c r="U85" i="3"/>
  <c r="V85" i="3"/>
  <c r="Q85" i="3"/>
  <c r="F85" i="3"/>
  <c r="D91" i="14" s="1"/>
  <c r="R85" i="3"/>
  <c r="P236" i="1"/>
  <c r="J81" i="1"/>
  <c r="B107" i="1" s="1"/>
  <c r="K26" i="12"/>
  <c r="H26" i="12"/>
  <c r="J26" i="12"/>
  <c r="F26" i="12"/>
  <c r="G26" i="12"/>
  <c r="I26" i="12"/>
  <c r="R126" i="4"/>
  <c r="J76" i="1"/>
  <c r="B102" i="1" s="1"/>
  <c r="T244" i="1"/>
  <c r="J92" i="1"/>
  <c r="E104" i="1" s="1"/>
  <c r="J78" i="1"/>
  <c r="B104" i="1" s="1"/>
  <c r="P243" i="1"/>
  <c r="J90" i="1"/>
  <c r="E102" i="1" s="1"/>
  <c r="J95" i="1"/>
  <c r="E107" i="1" s="1"/>
  <c r="Q244" i="1"/>
  <c r="F244" i="1"/>
  <c r="D25" i="14" s="1"/>
  <c r="K25" i="14" s="1"/>
  <c r="S244" i="1"/>
  <c r="R244" i="1"/>
  <c r="P244" i="1"/>
  <c r="Q239" i="1"/>
  <c r="R234" i="1"/>
  <c r="R243" i="1"/>
  <c r="R129" i="4"/>
  <c r="F170" i="1"/>
  <c r="R130" i="4"/>
  <c r="T111" i="4"/>
  <c r="P125" i="4"/>
  <c r="F130" i="4"/>
  <c r="D66" i="12" s="1"/>
  <c r="K66" i="12" s="1"/>
  <c r="R113" i="4"/>
  <c r="Q111" i="4"/>
  <c r="R111" i="4"/>
  <c r="F111" i="4"/>
  <c r="N74" i="6" s="1"/>
  <c r="S111" i="4"/>
  <c r="T122" i="4"/>
  <c r="S130" i="4"/>
  <c r="T130" i="4"/>
  <c r="S131" i="4"/>
  <c r="P130" i="4"/>
  <c r="P131" i="4"/>
  <c r="Q130" i="4"/>
  <c r="R131" i="4"/>
  <c r="Q125" i="4"/>
  <c r="F132" i="4"/>
  <c r="D68" i="12" s="1"/>
  <c r="K68" i="12" s="1"/>
  <c r="Q131" i="4"/>
  <c r="F125" i="4"/>
  <c r="N57" i="6" s="1"/>
  <c r="F131" i="4"/>
  <c r="N94" i="6" s="1"/>
  <c r="R125" i="4"/>
  <c r="T113" i="4"/>
  <c r="J75" i="1"/>
  <c r="B101" i="1" s="1"/>
  <c r="J96" i="1"/>
  <c r="E108" i="1" s="1"/>
  <c r="F239" i="1"/>
  <c r="T239" i="1"/>
  <c r="T243" i="1"/>
  <c r="Q241" i="1"/>
  <c r="T245" i="1"/>
  <c r="P234" i="1"/>
  <c r="T234" i="1"/>
  <c r="F243" i="1"/>
  <c r="C139" i="6" s="1"/>
  <c r="Q243" i="1"/>
  <c r="S243" i="1"/>
  <c r="S174" i="1"/>
  <c r="T174" i="1"/>
  <c r="Q174" i="1"/>
  <c r="R174" i="1"/>
  <c r="T169" i="1"/>
  <c r="J82" i="1"/>
  <c r="B108" i="1" s="1"/>
  <c r="S125" i="4"/>
  <c r="P122" i="4"/>
  <c r="P116" i="4"/>
  <c r="P118" i="4"/>
  <c r="T125" i="4"/>
  <c r="P113" i="4"/>
  <c r="Q122" i="4"/>
  <c r="R239" i="1"/>
  <c r="R236" i="1"/>
  <c r="P235" i="1"/>
  <c r="T236" i="1"/>
  <c r="S236" i="1"/>
  <c r="S234" i="1"/>
  <c r="Q233" i="1"/>
  <c r="P232" i="1"/>
  <c r="T242" i="1"/>
  <c r="S245" i="1"/>
  <c r="S239" i="1"/>
  <c r="T237" i="1"/>
  <c r="T238" i="1"/>
  <c r="F232" i="1"/>
  <c r="R242" i="1"/>
  <c r="R232" i="1"/>
  <c r="S233" i="1"/>
  <c r="Q238" i="1"/>
  <c r="Q237" i="1"/>
  <c r="F238" i="1"/>
  <c r="Q242" i="1"/>
  <c r="R238" i="1"/>
  <c r="R237" i="1"/>
  <c r="Q240" i="1"/>
  <c r="Q232" i="1"/>
  <c r="P238" i="1"/>
  <c r="P237" i="1"/>
  <c r="S237" i="1"/>
  <c r="S238" i="1"/>
  <c r="R235" i="1"/>
  <c r="R241" i="1"/>
  <c r="T235" i="1"/>
  <c r="T241" i="1"/>
  <c r="P245" i="1"/>
  <c r="F129" i="4"/>
  <c r="T116" i="4"/>
  <c r="T112" i="4"/>
  <c r="F128" i="4"/>
  <c r="S117" i="4"/>
  <c r="Q132" i="4"/>
  <c r="Q124" i="4"/>
  <c r="R132" i="4"/>
  <c r="T126" i="4"/>
  <c r="R122" i="4"/>
  <c r="P127" i="4"/>
  <c r="T123" i="4"/>
  <c r="F119" i="4"/>
  <c r="T127" i="4"/>
  <c r="S114" i="4"/>
  <c r="F113" i="4"/>
  <c r="F126" i="4"/>
  <c r="F127" i="4"/>
  <c r="F122" i="4"/>
  <c r="T133" i="4"/>
  <c r="P121" i="4"/>
  <c r="S126" i="4"/>
  <c r="S122" i="4"/>
  <c r="P117" i="4"/>
  <c r="F115" i="4"/>
  <c r="S128" i="4"/>
  <c r="P126" i="4"/>
  <c r="Q127" i="4"/>
  <c r="P128" i="4"/>
  <c r="Q114" i="4"/>
  <c r="S124" i="4"/>
  <c r="S132" i="4"/>
  <c r="Q126" i="4"/>
  <c r="R127" i="4"/>
  <c r="R128" i="4"/>
  <c r="T118" i="4"/>
  <c r="T132" i="4"/>
  <c r="R133" i="4"/>
  <c r="S120" i="4"/>
  <c r="P112" i="4"/>
  <c r="S129" i="4"/>
  <c r="Q116" i="4"/>
  <c r="R112" i="4"/>
  <c r="H342" i="4"/>
  <c r="I342" i="4" s="1"/>
  <c r="P129" i="4"/>
  <c r="F120" i="4"/>
  <c r="P132" i="4"/>
  <c r="T115" i="4"/>
  <c r="R116" i="4"/>
  <c r="T128" i="4"/>
  <c r="T120" i="4"/>
  <c r="Q120" i="4"/>
  <c r="F112" i="4"/>
  <c r="T129" i="4"/>
  <c r="P114" i="4"/>
  <c r="R115" i="4"/>
  <c r="F116" i="4"/>
  <c r="Q128" i="4"/>
  <c r="Q129" i="4"/>
  <c r="S116" i="4"/>
  <c r="T134" i="4"/>
  <c r="R114" i="4"/>
  <c r="F124" i="4"/>
  <c r="S123" i="4"/>
  <c r="Q119" i="4"/>
  <c r="T121" i="4"/>
  <c r="P133" i="4"/>
  <c r="P123" i="4"/>
  <c r="P134" i="4"/>
  <c r="T114" i="4"/>
  <c r="F118" i="4"/>
  <c r="R119" i="4"/>
  <c r="R124" i="4"/>
  <c r="Q115" i="4"/>
  <c r="F121" i="4"/>
  <c r="S112" i="4"/>
  <c r="Q133" i="4"/>
  <c r="R118" i="4"/>
  <c r="Q123" i="4"/>
  <c r="S119" i="4"/>
  <c r="R123" i="4"/>
  <c r="F114" i="4"/>
  <c r="D50" i="12" s="1"/>
  <c r="K50" i="12" s="1"/>
  <c r="P119" i="4"/>
  <c r="P124" i="4"/>
  <c r="S115" i="4"/>
  <c r="Q112" i="4"/>
  <c r="F133" i="4"/>
  <c r="R121" i="4"/>
  <c r="Q117" i="4"/>
  <c r="S133" i="4"/>
  <c r="R117" i="4"/>
  <c r="R134" i="4"/>
  <c r="S113" i="4"/>
  <c r="S118" i="4"/>
  <c r="R120" i="4"/>
  <c r="S121" i="4"/>
  <c r="F117" i="4"/>
  <c r="Q134" i="4"/>
  <c r="S134" i="4"/>
  <c r="Q113" i="4"/>
  <c r="Q118" i="4"/>
  <c r="P120" i="4"/>
  <c r="Q121" i="4"/>
  <c r="T117" i="4"/>
  <c r="T167" i="1"/>
  <c r="P174" i="1"/>
  <c r="F175" i="1"/>
  <c r="T175" i="1"/>
  <c r="Q166" i="1"/>
  <c r="R169" i="1"/>
  <c r="T177" i="1"/>
  <c r="P178" i="1"/>
  <c r="P173" i="1"/>
  <c r="F169" i="1"/>
  <c r="D23" i="5" s="1"/>
  <c r="F178" i="1"/>
  <c r="D32" i="12" s="1"/>
  <c r="K32" i="12" s="1"/>
  <c r="R178" i="1"/>
  <c r="R166" i="1"/>
  <c r="F166" i="1"/>
  <c r="N19" i="6" s="1"/>
  <c r="T166" i="1"/>
  <c r="P175" i="1"/>
  <c r="F177" i="1"/>
  <c r="M29" i="5" s="1"/>
  <c r="T165" i="1"/>
  <c r="Q176" i="1"/>
  <c r="P169" i="1"/>
  <c r="P177" i="1"/>
  <c r="S175" i="1"/>
  <c r="Q175" i="1"/>
  <c r="S166" i="1"/>
  <c r="R175" i="1"/>
  <c r="P167" i="1"/>
  <c r="R168" i="1"/>
  <c r="Q168" i="1"/>
  <c r="S176" i="1"/>
  <c r="R167" i="1"/>
  <c r="Q177" i="1"/>
  <c r="F173" i="1"/>
  <c r="D27" i="12" s="1"/>
  <c r="K27" i="12" s="1"/>
  <c r="P170" i="1"/>
  <c r="T178" i="1"/>
  <c r="R240" i="1"/>
  <c r="S235" i="1"/>
  <c r="Q235" i="1"/>
  <c r="F245" i="1"/>
  <c r="N141" i="6" s="1"/>
  <c r="Q245" i="1"/>
  <c r="R233" i="1"/>
  <c r="T232" i="1"/>
  <c r="R245" i="1"/>
  <c r="S232" i="1"/>
  <c r="E856" i="1"/>
  <c r="F804" i="1"/>
  <c r="G803" i="1"/>
  <c r="B857" i="1" s="1"/>
  <c r="Q854" i="1"/>
  <c r="S854" i="1"/>
  <c r="P854" i="1"/>
  <c r="T854" i="1"/>
  <c r="R854" i="1"/>
  <c r="I837" i="1"/>
  <c r="D855" i="1" s="1"/>
  <c r="H838" i="1"/>
  <c r="J94" i="1"/>
  <c r="E106" i="1" s="1"/>
  <c r="J77" i="1"/>
  <c r="B103" i="1" s="1"/>
  <c r="J89" i="1"/>
  <c r="E101" i="1" s="1"/>
  <c r="J79" i="1"/>
  <c r="B105" i="1" s="1"/>
  <c r="J93" i="1"/>
  <c r="E105" i="1" s="1"/>
  <c r="J80" i="1"/>
  <c r="B106" i="1" s="1"/>
  <c r="J91" i="1"/>
  <c r="E103" i="1" s="1"/>
  <c r="Q169" i="1"/>
  <c r="Q178" i="1"/>
  <c r="R177" i="1"/>
  <c r="P165" i="1"/>
  <c r="S169" i="1"/>
  <c r="S178" i="1"/>
  <c r="Q165" i="1"/>
  <c r="S177" i="1"/>
  <c r="T173" i="1"/>
  <c r="T176" i="1"/>
  <c r="P176" i="1"/>
  <c r="P179" i="1"/>
  <c r="S170" i="1"/>
  <c r="R173" i="1"/>
  <c r="T170" i="1"/>
  <c r="R176" i="1"/>
  <c r="R170" i="1"/>
  <c r="S168" i="1"/>
  <c r="F176" i="1"/>
  <c r="M28" i="5" s="1"/>
  <c r="F167" i="1"/>
  <c r="D21" i="12" s="1"/>
  <c r="K21" i="12" s="1"/>
  <c r="Q170" i="1"/>
  <c r="R179" i="1"/>
  <c r="T168" i="1"/>
  <c r="T179" i="1"/>
  <c r="Q173" i="1"/>
  <c r="Q179" i="1"/>
  <c r="F168" i="1"/>
  <c r="S179" i="1"/>
  <c r="P168" i="1"/>
  <c r="F179" i="1"/>
  <c r="N30" i="6" s="1"/>
  <c r="S173" i="1"/>
  <c r="F165" i="1"/>
  <c r="S167" i="1"/>
  <c r="R165" i="1"/>
  <c r="Q167" i="1"/>
  <c r="S165" i="1"/>
  <c r="P242" i="1"/>
  <c r="P241" i="1"/>
  <c r="F242" i="1"/>
  <c r="D23" i="8" s="1"/>
  <c r="S241" i="1"/>
  <c r="S242" i="1"/>
  <c r="F241" i="1"/>
  <c r="F240" i="1"/>
  <c r="S240" i="1"/>
  <c r="F233" i="1"/>
  <c r="P240" i="1"/>
  <c r="T240" i="1"/>
  <c r="T233" i="1"/>
  <c r="P233" i="1"/>
  <c r="F87" i="3"/>
  <c r="D93" i="14" s="1"/>
  <c r="S77" i="3"/>
  <c r="U77" i="3"/>
  <c r="Q77" i="3"/>
  <c r="T77" i="3"/>
  <c r="R77" i="3"/>
  <c r="F77" i="3"/>
  <c r="D83" i="14" s="1"/>
  <c r="F83" i="3"/>
  <c r="D89" i="14" s="1"/>
  <c r="F89" i="3"/>
  <c r="D95" i="14" s="1"/>
  <c r="S78" i="3"/>
  <c r="U78" i="3"/>
  <c r="Q78" i="3"/>
  <c r="T78" i="3"/>
  <c r="R78" i="3"/>
  <c r="F78" i="3"/>
  <c r="D84" i="14" s="1"/>
  <c r="F84" i="3"/>
  <c r="D90" i="14" s="1"/>
  <c r="F90" i="3"/>
  <c r="D96" i="14" s="1"/>
  <c r="F80" i="3"/>
  <c r="D86" i="14" s="1"/>
  <c r="F86" i="3"/>
  <c r="D92" i="14" s="1"/>
  <c r="F81" i="3"/>
  <c r="D87" i="14" s="1"/>
  <c r="B752" i="1"/>
  <c r="G752" i="1" s="1"/>
  <c r="O715" i="1"/>
  <c r="K715" i="1"/>
  <c r="M715" i="1"/>
  <c r="B733" i="1"/>
  <c r="G733" i="1" s="1"/>
  <c r="N715" i="1"/>
  <c r="E715" i="1"/>
  <c r="L715" i="1"/>
  <c r="S707" i="1"/>
  <c r="H707" i="1"/>
  <c r="R707" i="1"/>
  <c r="V707" i="1" s="1"/>
  <c r="N97" i="6"/>
  <c r="N66" i="6"/>
  <c r="M68" i="5"/>
  <c r="C97" i="6"/>
  <c r="C66" i="6"/>
  <c r="D68" i="5"/>
  <c r="M710" i="1"/>
  <c r="B751" i="1"/>
  <c r="G751" i="1" s="1"/>
  <c r="O710" i="1"/>
  <c r="K710" i="1"/>
  <c r="N710" i="1"/>
  <c r="L710" i="1"/>
  <c r="B732" i="1"/>
  <c r="G732" i="1" s="1"/>
  <c r="E710" i="1"/>
  <c r="B746" i="1"/>
  <c r="G746" i="1" s="1"/>
  <c r="O705" i="1"/>
  <c r="K705" i="1"/>
  <c r="M705" i="1"/>
  <c r="N705" i="1"/>
  <c r="E705" i="1"/>
  <c r="B727" i="1"/>
  <c r="G727" i="1" s="1"/>
  <c r="L705" i="1"/>
  <c r="H341" i="4"/>
  <c r="I341" i="4" s="1"/>
  <c r="S719" i="1"/>
  <c r="H719" i="1"/>
  <c r="R719" i="1"/>
  <c r="V719" i="1" s="1"/>
  <c r="M714" i="1"/>
  <c r="O714" i="1"/>
  <c r="K714" i="1"/>
  <c r="E714" i="1"/>
  <c r="L714" i="1"/>
  <c r="N714" i="1"/>
  <c r="M706" i="1"/>
  <c r="B747" i="1"/>
  <c r="G747" i="1" s="1"/>
  <c r="O706" i="1"/>
  <c r="K706" i="1"/>
  <c r="N706" i="1"/>
  <c r="L706" i="1"/>
  <c r="B728" i="1"/>
  <c r="G728" i="1" s="1"/>
  <c r="E706" i="1"/>
  <c r="B748" i="1"/>
  <c r="G748" i="1" s="1"/>
  <c r="O707" i="1"/>
  <c r="K707" i="1"/>
  <c r="M707" i="1"/>
  <c r="B729" i="1"/>
  <c r="G729" i="1" s="1"/>
  <c r="N707" i="1"/>
  <c r="E707" i="1"/>
  <c r="L707" i="1"/>
  <c r="M716" i="1"/>
  <c r="B753" i="1"/>
  <c r="G753" i="1" s="1"/>
  <c r="O716" i="1"/>
  <c r="K716" i="1"/>
  <c r="N716" i="1"/>
  <c r="E716" i="1"/>
  <c r="L716" i="1"/>
  <c r="B734" i="1"/>
  <c r="G734" i="1" s="1"/>
  <c r="M718" i="1"/>
  <c r="O718" i="1"/>
  <c r="K718" i="1"/>
  <c r="L718" i="1"/>
  <c r="N718" i="1"/>
  <c r="E718" i="1"/>
  <c r="S708" i="1"/>
  <c r="H708" i="1"/>
  <c r="R708" i="1"/>
  <c r="V708" i="1" s="1"/>
  <c r="B754" i="1"/>
  <c r="O717" i="1"/>
  <c r="K717" i="1"/>
  <c r="M717" i="1"/>
  <c r="N717" i="1"/>
  <c r="E717" i="1"/>
  <c r="B735" i="1"/>
  <c r="L717" i="1"/>
  <c r="S709" i="1"/>
  <c r="H709" i="1"/>
  <c r="R709" i="1"/>
  <c r="V709" i="1" s="1"/>
  <c r="S715" i="1"/>
  <c r="H715" i="1"/>
  <c r="R715" i="1"/>
  <c r="V715" i="1" s="1"/>
  <c r="S713" i="1"/>
  <c r="H713" i="1"/>
  <c r="R713" i="1"/>
  <c r="V713" i="1" s="1"/>
  <c r="L342" i="4"/>
  <c r="N342" i="4"/>
  <c r="E342" i="4"/>
  <c r="O342" i="4"/>
  <c r="M342" i="4"/>
  <c r="K342" i="4"/>
  <c r="S716" i="1"/>
  <c r="H716" i="1"/>
  <c r="R716" i="1"/>
  <c r="V716" i="1" s="1"/>
  <c r="S718" i="1"/>
  <c r="H718" i="1"/>
  <c r="R718" i="1"/>
  <c r="V718" i="1" s="1"/>
  <c r="L341" i="4"/>
  <c r="N341" i="4"/>
  <c r="E341" i="4"/>
  <c r="M341" i="4"/>
  <c r="K341" i="4"/>
  <c r="O341" i="4"/>
  <c r="M708" i="1"/>
  <c r="B749" i="1"/>
  <c r="G749" i="1" s="1"/>
  <c r="O708" i="1"/>
  <c r="K708" i="1"/>
  <c r="N708" i="1"/>
  <c r="E708" i="1"/>
  <c r="L708" i="1"/>
  <c r="B730" i="1"/>
  <c r="G730" i="1" s="1"/>
  <c r="S717" i="1"/>
  <c r="H717" i="1"/>
  <c r="R717" i="1"/>
  <c r="V717" i="1" s="1"/>
  <c r="B750" i="1"/>
  <c r="G750" i="1" s="1"/>
  <c r="O709" i="1"/>
  <c r="K709" i="1"/>
  <c r="M709" i="1"/>
  <c r="N709" i="1"/>
  <c r="E709" i="1"/>
  <c r="B731" i="1"/>
  <c r="G731" i="1" s="1"/>
  <c r="L709" i="1"/>
  <c r="O713" i="1"/>
  <c r="K713" i="1"/>
  <c r="M713" i="1"/>
  <c r="N713" i="1"/>
  <c r="E713" i="1"/>
  <c r="L713" i="1"/>
  <c r="N55" i="6"/>
  <c r="N86" i="6"/>
  <c r="C55" i="6"/>
  <c r="D57" i="5"/>
  <c r="C86" i="6"/>
  <c r="M57" i="5"/>
  <c r="S710" i="1"/>
  <c r="H710" i="1"/>
  <c r="R710" i="1"/>
  <c r="V710" i="1" s="1"/>
  <c r="S705" i="1"/>
  <c r="H705" i="1"/>
  <c r="R705" i="1"/>
  <c r="V705" i="1" s="1"/>
  <c r="O719" i="1"/>
  <c r="K719" i="1"/>
  <c r="M719" i="1"/>
  <c r="N719" i="1"/>
  <c r="E719" i="1"/>
  <c r="L719" i="1"/>
  <c r="S714" i="1"/>
  <c r="H714" i="1"/>
  <c r="R714" i="1"/>
  <c r="V714" i="1" s="1"/>
  <c r="S706" i="1"/>
  <c r="H706" i="1"/>
  <c r="R706" i="1"/>
  <c r="V706" i="1" s="1"/>
  <c r="D28" i="12"/>
  <c r="K28" i="12" s="1"/>
  <c r="N25" i="6"/>
  <c r="D26" i="5"/>
  <c r="C25" i="6"/>
  <c r="M26" i="5"/>
  <c r="G25" i="12" l="1"/>
  <c r="H25" i="12"/>
  <c r="I25" i="12"/>
  <c r="J25" i="12"/>
  <c r="F25" i="12"/>
  <c r="K25" i="12"/>
  <c r="I712" i="1"/>
  <c r="D97" i="12" s="1"/>
  <c r="H97" i="12" s="1"/>
  <c r="B378" i="4"/>
  <c r="G378" i="4" s="1"/>
  <c r="B379" i="4"/>
  <c r="G379" i="4" s="1"/>
  <c r="G377" i="4"/>
  <c r="U353" i="4"/>
  <c r="M353" i="4"/>
  <c r="S353" i="4"/>
  <c r="T353" i="4"/>
  <c r="N353" i="4"/>
  <c r="L353" i="4"/>
  <c r="V353" i="4"/>
  <c r="K353" i="4"/>
  <c r="M352" i="4"/>
  <c r="V352" i="4"/>
  <c r="K352" i="4"/>
  <c r="U352" i="4"/>
  <c r="N352" i="4"/>
  <c r="L352" i="4"/>
  <c r="S352" i="4"/>
  <c r="T352" i="4"/>
  <c r="B359" i="4"/>
  <c r="G358" i="4"/>
  <c r="T370" i="4"/>
  <c r="L370" i="4"/>
  <c r="U370" i="4"/>
  <c r="K370" i="4"/>
  <c r="V370" i="4"/>
  <c r="N370" i="4"/>
  <c r="M370" i="4"/>
  <c r="S370" i="4"/>
  <c r="V372" i="4"/>
  <c r="N372" i="4"/>
  <c r="U372" i="4"/>
  <c r="L372" i="4"/>
  <c r="S372" i="4"/>
  <c r="T372" i="4"/>
  <c r="M372" i="4"/>
  <c r="K372" i="4"/>
  <c r="U712" i="1"/>
  <c r="T376" i="4"/>
  <c r="L376" i="4"/>
  <c r="N376" i="4"/>
  <c r="M376" i="4"/>
  <c r="K376" i="4"/>
  <c r="U376" i="4"/>
  <c r="S376" i="4"/>
  <c r="V376" i="4"/>
  <c r="T712" i="1"/>
  <c r="W712" i="1" s="1"/>
  <c r="S355" i="4"/>
  <c r="N355" i="4"/>
  <c r="V355" i="4"/>
  <c r="K355" i="4"/>
  <c r="U355" i="4"/>
  <c r="T355" i="4"/>
  <c r="L355" i="4"/>
  <c r="M355" i="4"/>
  <c r="V369" i="4"/>
  <c r="N369" i="4"/>
  <c r="T369" i="4"/>
  <c r="K369" i="4"/>
  <c r="U369" i="4"/>
  <c r="S369" i="4"/>
  <c r="M369" i="4"/>
  <c r="L369" i="4"/>
  <c r="S357" i="4"/>
  <c r="K357" i="4"/>
  <c r="T357" i="4"/>
  <c r="M357" i="4"/>
  <c r="N357" i="4"/>
  <c r="L357" i="4"/>
  <c r="V357" i="4"/>
  <c r="U357" i="4"/>
  <c r="V374" i="4"/>
  <c r="M374" i="4"/>
  <c r="K374" i="4"/>
  <c r="U374" i="4"/>
  <c r="S374" i="4"/>
  <c r="N374" i="4"/>
  <c r="L374" i="4"/>
  <c r="T374" i="4"/>
  <c r="S354" i="4"/>
  <c r="K354" i="4"/>
  <c r="V354" i="4"/>
  <c r="L354" i="4"/>
  <c r="N354" i="4"/>
  <c r="M354" i="4"/>
  <c r="T354" i="4"/>
  <c r="U354" i="4"/>
  <c r="V375" i="4"/>
  <c r="N375" i="4"/>
  <c r="M375" i="4"/>
  <c r="T375" i="4"/>
  <c r="S375" i="4"/>
  <c r="U375" i="4"/>
  <c r="L375" i="4"/>
  <c r="K375" i="4"/>
  <c r="U356" i="4"/>
  <c r="M356" i="4"/>
  <c r="S356" i="4"/>
  <c r="T356" i="4"/>
  <c r="V356" i="4"/>
  <c r="L356" i="4"/>
  <c r="N356" i="4"/>
  <c r="K356" i="4"/>
  <c r="U371" i="4"/>
  <c r="L371" i="4"/>
  <c r="N371" i="4"/>
  <c r="K371" i="4"/>
  <c r="V371" i="4"/>
  <c r="M371" i="4"/>
  <c r="S371" i="4"/>
  <c r="T371" i="4"/>
  <c r="S351" i="4"/>
  <c r="K351" i="4"/>
  <c r="U351" i="4"/>
  <c r="N351" i="4"/>
  <c r="M351" i="4"/>
  <c r="L351" i="4"/>
  <c r="V351" i="4"/>
  <c r="T351" i="4"/>
  <c r="T373" i="4"/>
  <c r="L373" i="4"/>
  <c r="V373" i="4"/>
  <c r="M373" i="4"/>
  <c r="K373" i="4"/>
  <c r="N373" i="4"/>
  <c r="U373" i="4"/>
  <c r="S373" i="4"/>
  <c r="U350" i="4"/>
  <c r="M350" i="4"/>
  <c r="T350" i="4"/>
  <c r="S350" i="4"/>
  <c r="K350" i="4"/>
  <c r="L350" i="4"/>
  <c r="V350" i="4"/>
  <c r="N350" i="4"/>
  <c r="E97" i="12"/>
  <c r="I97" i="12" s="1"/>
  <c r="F97" i="12"/>
  <c r="G97" i="12"/>
  <c r="J97" i="12" s="1"/>
  <c r="J91" i="14"/>
  <c r="H91" i="14"/>
  <c r="G91" i="14"/>
  <c r="I91" i="14"/>
  <c r="K91" i="14"/>
  <c r="F91" i="14"/>
  <c r="F82" i="14"/>
  <c r="J82" i="14"/>
  <c r="I82" i="14"/>
  <c r="G82" i="14"/>
  <c r="K82" i="14"/>
  <c r="H82" i="14"/>
  <c r="K88" i="14"/>
  <c r="J88" i="14"/>
  <c r="H88" i="14"/>
  <c r="G88" i="14"/>
  <c r="I88" i="14"/>
  <c r="F88" i="14"/>
  <c r="I85" i="14"/>
  <c r="F85" i="14"/>
  <c r="K85" i="14"/>
  <c r="H85" i="14"/>
  <c r="J85" i="14"/>
  <c r="G85" i="14"/>
  <c r="I94" i="14"/>
  <c r="G94" i="14"/>
  <c r="H94" i="14"/>
  <c r="F94" i="14"/>
  <c r="K94" i="14"/>
  <c r="J94" i="14"/>
  <c r="C140" i="6"/>
  <c r="S140" i="6" s="1"/>
  <c r="D24" i="12"/>
  <c r="K24" i="12" s="1"/>
  <c r="F107" i="1"/>
  <c r="D23" i="13" s="1"/>
  <c r="J23" i="13" s="1"/>
  <c r="Q104" i="1"/>
  <c r="P104" i="1"/>
  <c r="M25" i="8"/>
  <c r="N140" i="6"/>
  <c r="D25" i="8"/>
  <c r="F25" i="8" s="1"/>
  <c r="R104" i="1"/>
  <c r="T104" i="1"/>
  <c r="Q102" i="1"/>
  <c r="T107" i="1"/>
  <c r="F102" i="1"/>
  <c r="F104" i="1"/>
  <c r="D20" i="13" s="1"/>
  <c r="J20" i="13" s="1"/>
  <c r="S104" i="1"/>
  <c r="P107" i="1"/>
  <c r="P102" i="1"/>
  <c r="D24" i="14"/>
  <c r="T102" i="1"/>
  <c r="R102" i="1"/>
  <c r="S107" i="1"/>
  <c r="R107" i="1"/>
  <c r="S102" i="1"/>
  <c r="Q107" i="1"/>
  <c r="P106" i="1"/>
  <c r="Q106" i="1"/>
  <c r="R106" i="1"/>
  <c r="S106" i="1"/>
  <c r="T106" i="1"/>
  <c r="P105" i="1"/>
  <c r="R105" i="1"/>
  <c r="S105" i="1"/>
  <c r="T105" i="1"/>
  <c r="Q105" i="1"/>
  <c r="S103" i="1"/>
  <c r="T103" i="1"/>
  <c r="P103" i="1"/>
  <c r="Q103" i="1"/>
  <c r="R103" i="1"/>
  <c r="R108" i="1"/>
  <c r="S108" i="1"/>
  <c r="P108" i="1"/>
  <c r="Q108" i="1"/>
  <c r="T108" i="1"/>
  <c r="C74" i="6"/>
  <c r="R74" i="6" s="1"/>
  <c r="D45" i="5"/>
  <c r="Q45" i="5" s="1"/>
  <c r="D24" i="8"/>
  <c r="O24" i="8" s="1"/>
  <c r="N139" i="6"/>
  <c r="M24" i="5"/>
  <c r="D24" i="5"/>
  <c r="R24" i="5" s="1"/>
  <c r="N23" i="6"/>
  <c r="N64" i="6"/>
  <c r="P101" i="1"/>
  <c r="C23" i="6"/>
  <c r="F23" i="6" s="1"/>
  <c r="C88" i="6"/>
  <c r="R88" i="6" s="1"/>
  <c r="N93" i="6"/>
  <c r="N88" i="6"/>
  <c r="D64" i="5"/>
  <c r="H64" i="5" s="1"/>
  <c r="C62" i="6"/>
  <c r="F62" i="6" s="1"/>
  <c r="N62" i="6"/>
  <c r="M45" i="5"/>
  <c r="M64" i="5"/>
  <c r="D47" i="12"/>
  <c r="C93" i="6"/>
  <c r="F93" i="6" s="1"/>
  <c r="N90" i="6"/>
  <c r="D63" i="12"/>
  <c r="K63" i="12" s="1"/>
  <c r="C81" i="6"/>
  <c r="R81" i="6" s="1"/>
  <c r="D54" i="12"/>
  <c r="K54" i="12" s="1"/>
  <c r="C75" i="6"/>
  <c r="Q75" i="6" s="1"/>
  <c r="D48" i="12"/>
  <c r="N89" i="6"/>
  <c r="D62" i="12"/>
  <c r="K62" i="12" s="1"/>
  <c r="C94" i="6"/>
  <c r="G94" i="6" s="1"/>
  <c r="D67" i="12"/>
  <c r="K67" i="12" s="1"/>
  <c r="C43" i="6"/>
  <c r="R43" i="6" s="1"/>
  <c r="N52" i="6"/>
  <c r="D56" i="12"/>
  <c r="N45" i="6"/>
  <c r="D49" i="12"/>
  <c r="N60" i="6"/>
  <c r="D64" i="12"/>
  <c r="K64" i="12" s="1"/>
  <c r="C57" i="6"/>
  <c r="H57" i="6" s="1"/>
  <c r="D61" i="12"/>
  <c r="K61" i="12" s="1"/>
  <c r="N48" i="6"/>
  <c r="D52" i="12"/>
  <c r="M65" i="5"/>
  <c r="D69" i="12"/>
  <c r="K69" i="12" s="1"/>
  <c r="N84" i="6"/>
  <c r="D57" i="12"/>
  <c r="K57" i="12" s="1"/>
  <c r="C87" i="6"/>
  <c r="R87" i="6" s="1"/>
  <c r="D60" i="12"/>
  <c r="K60" i="12" s="1"/>
  <c r="N43" i="6"/>
  <c r="N63" i="6"/>
  <c r="C49" i="6"/>
  <c r="D49" i="6" s="1"/>
  <c r="D53" i="12"/>
  <c r="D51" i="12"/>
  <c r="C85" i="6"/>
  <c r="F85" i="6" s="1"/>
  <c r="D58" i="12"/>
  <c r="K58" i="12" s="1"/>
  <c r="D53" i="5"/>
  <c r="F53" i="5" s="1"/>
  <c r="D55" i="12"/>
  <c r="K55" i="12" s="1"/>
  <c r="N61" i="6"/>
  <c r="D65" i="12"/>
  <c r="K65" i="12" s="1"/>
  <c r="D65" i="5"/>
  <c r="P65" i="5" s="1"/>
  <c r="C63" i="6"/>
  <c r="Q63" i="6" s="1"/>
  <c r="C64" i="6"/>
  <c r="P64" i="6" s="1"/>
  <c r="N95" i="6"/>
  <c r="C95" i="6"/>
  <c r="R95" i="6" s="1"/>
  <c r="M66" i="5"/>
  <c r="D66" i="5"/>
  <c r="Q66" i="5" s="1"/>
  <c r="M59" i="5"/>
  <c r="D59" i="5"/>
  <c r="N59" i="5" s="1"/>
  <c r="N91" i="6"/>
  <c r="F108" i="1"/>
  <c r="D24" i="13" s="1"/>
  <c r="M24" i="8"/>
  <c r="M30" i="5"/>
  <c r="D29" i="5"/>
  <c r="R29" i="5" s="1"/>
  <c r="C22" i="6"/>
  <c r="F22" i="6" s="1"/>
  <c r="C26" i="6"/>
  <c r="F26" i="6" s="1"/>
  <c r="N22" i="6"/>
  <c r="D29" i="12"/>
  <c r="M63" i="5"/>
  <c r="C76" i="6"/>
  <c r="P76" i="6" s="1"/>
  <c r="C82" i="6"/>
  <c r="R82" i="6" s="1"/>
  <c r="C92" i="6"/>
  <c r="Q92" i="6" s="1"/>
  <c r="C51" i="6"/>
  <c r="F51" i="6" s="1"/>
  <c r="C78" i="6"/>
  <c r="P78" i="6" s="1"/>
  <c r="M56" i="5"/>
  <c r="N92" i="6"/>
  <c r="M62" i="5"/>
  <c r="N50" i="6"/>
  <c r="N54" i="6"/>
  <c r="D63" i="5"/>
  <c r="P63" i="5" s="1"/>
  <c r="C61" i="6"/>
  <c r="Q61" i="6" s="1"/>
  <c r="D62" i="5"/>
  <c r="Q62" i="5" s="1"/>
  <c r="M22" i="8"/>
  <c r="N137" i="6"/>
  <c r="D26" i="14"/>
  <c r="D21" i="8"/>
  <c r="G21" i="8" s="1"/>
  <c r="T101" i="1"/>
  <c r="M46" i="5"/>
  <c r="N59" i="6"/>
  <c r="N75" i="6"/>
  <c r="N76" i="6"/>
  <c r="C58" i="6"/>
  <c r="H58" i="6" s="1"/>
  <c r="M60" i="5"/>
  <c r="C60" i="6"/>
  <c r="R60" i="6" s="1"/>
  <c r="C89" i="6"/>
  <c r="R89" i="6" s="1"/>
  <c r="C91" i="6"/>
  <c r="F91" i="6" s="1"/>
  <c r="N58" i="6"/>
  <c r="C44" i="6"/>
  <c r="R44" i="6" s="1"/>
  <c r="M52" i="5"/>
  <c r="C90" i="6"/>
  <c r="Q90" i="6" s="1"/>
  <c r="N44" i="6"/>
  <c r="C50" i="6"/>
  <c r="D50" i="6" s="1"/>
  <c r="D61" i="5"/>
  <c r="R61" i="5" s="1"/>
  <c r="M61" i="5"/>
  <c r="C59" i="6"/>
  <c r="P59" i="6" s="1"/>
  <c r="D60" i="5"/>
  <c r="R60" i="5" s="1"/>
  <c r="N81" i="6"/>
  <c r="M47" i="5"/>
  <c r="M51" i="5"/>
  <c r="N47" i="6"/>
  <c r="N82" i="6"/>
  <c r="N85" i="6"/>
  <c r="D49" i="5"/>
  <c r="N49" i="5" s="1"/>
  <c r="N51" i="6"/>
  <c r="D47" i="5"/>
  <c r="H47" i="5" s="1"/>
  <c r="C47" i="6"/>
  <c r="D47" i="6" s="1"/>
  <c r="M53" i="5"/>
  <c r="C45" i="6"/>
  <c r="D45" i="6" s="1"/>
  <c r="C54" i="6"/>
  <c r="Q54" i="6" s="1"/>
  <c r="M50" i="5"/>
  <c r="D46" i="5"/>
  <c r="H46" i="5" s="1"/>
  <c r="N78" i="6"/>
  <c r="D52" i="5"/>
  <c r="F52" i="5" s="1"/>
  <c r="D56" i="5"/>
  <c r="R56" i="5" s="1"/>
  <c r="C96" i="6"/>
  <c r="H96" i="6" s="1"/>
  <c r="N79" i="6"/>
  <c r="D55" i="5"/>
  <c r="F55" i="5" s="1"/>
  <c r="C56" i="6"/>
  <c r="F56" i="6" s="1"/>
  <c r="M49" i="5"/>
  <c r="C46" i="6"/>
  <c r="Q46" i="6" s="1"/>
  <c r="C79" i="6"/>
  <c r="F79" i="6" s="1"/>
  <c r="N83" i="6"/>
  <c r="N56" i="6"/>
  <c r="N87" i="6"/>
  <c r="C84" i="6"/>
  <c r="P84" i="6" s="1"/>
  <c r="D50" i="5"/>
  <c r="Q50" i="5" s="1"/>
  <c r="M58" i="5"/>
  <c r="N46" i="6"/>
  <c r="M67" i="5"/>
  <c r="N53" i="6"/>
  <c r="D54" i="5"/>
  <c r="P54" i="5" s="1"/>
  <c r="M54" i="5"/>
  <c r="C48" i="6"/>
  <c r="R48" i="6" s="1"/>
  <c r="D58" i="5"/>
  <c r="H58" i="5" s="1"/>
  <c r="N77" i="6"/>
  <c r="N65" i="6"/>
  <c r="C52" i="6"/>
  <c r="Q52" i="6" s="1"/>
  <c r="C77" i="6"/>
  <c r="R77" i="6" s="1"/>
  <c r="M48" i="5"/>
  <c r="C83" i="6"/>
  <c r="F83" i="6" s="1"/>
  <c r="D48" i="5"/>
  <c r="F48" i="5" s="1"/>
  <c r="N80" i="6"/>
  <c r="N49" i="6"/>
  <c r="N96" i="6"/>
  <c r="M55" i="5"/>
  <c r="D51" i="5"/>
  <c r="Q51" i="5" s="1"/>
  <c r="D67" i="5"/>
  <c r="G67" i="5" s="1"/>
  <c r="C53" i="6"/>
  <c r="H53" i="6" s="1"/>
  <c r="C80" i="6"/>
  <c r="R80" i="6" s="1"/>
  <c r="C65" i="6"/>
  <c r="Q65" i="6" s="1"/>
  <c r="M27" i="5"/>
  <c r="D27" i="5"/>
  <c r="F27" i="5" s="1"/>
  <c r="N26" i="6"/>
  <c r="C28" i="6"/>
  <c r="P28" i="6" s="1"/>
  <c r="C29" i="6"/>
  <c r="R29" i="6" s="1"/>
  <c r="D23" i="12"/>
  <c r="M23" i="5"/>
  <c r="D30" i="5"/>
  <c r="N30" i="5" s="1"/>
  <c r="N29" i="6"/>
  <c r="C27" i="6"/>
  <c r="H27" i="6" s="1"/>
  <c r="D28" i="5"/>
  <c r="H28" i="5" s="1"/>
  <c r="D20" i="12"/>
  <c r="D25" i="5"/>
  <c r="R25" i="5" s="1"/>
  <c r="M20" i="5"/>
  <c r="N24" i="6"/>
  <c r="C19" i="6"/>
  <c r="F19" i="6" s="1"/>
  <c r="D31" i="5"/>
  <c r="N31" i="5" s="1"/>
  <c r="D20" i="5"/>
  <c r="H20" i="5" s="1"/>
  <c r="N28" i="6"/>
  <c r="D31" i="12"/>
  <c r="D19" i="5"/>
  <c r="N19" i="5" s="1"/>
  <c r="N20" i="6"/>
  <c r="C18" i="6"/>
  <c r="R18" i="6" s="1"/>
  <c r="N27" i="6"/>
  <c r="D19" i="12"/>
  <c r="M21" i="5"/>
  <c r="M25" i="5"/>
  <c r="C20" i="6"/>
  <c r="D20" i="6" s="1"/>
  <c r="D21" i="5"/>
  <c r="R21" i="5" s="1"/>
  <c r="D30" i="12"/>
  <c r="C24" i="6"/>
  <c r="P24" i="6" s="1"/>
  <c r="M26" i="8"/>
  <c r="C141" i="6"/>
  <c r="G141" i="6" s="1"/>
  <c r="C136" i="6"/>
  <c r="E136" i="6" s="1"/>
  <c r="D23" i="14"/>
  <c r="D26" i="8"/>
  <c r="I26" i="8" s="1"/>
  <c r="N136" i="6"/>
  <c r="M21" i="8"/>
  <c r="D22" i="14"/>
  <c r="D21" i="14"/>
  <c r="N138" i="6"/>
  <c r="T855" i="1"/>
  <c r="Q855" i="1"/>
  <c r="S855" i="1"/>
  <c r="R855" i="1"/>
  <c r="P855" i="1"/>
  <c r="E857" i="1"/>
  <c r="H839" i="1"/>
  <c r="I838" i="1"/>
  <c r="D856" i="1" s="1"/>
  <c r="F805" i="1"/>
  <c r="G804" i="1"/>
  <c r="B858" i="1" s="1"/>
  <c r="S101" i="1"/>
  <c r="F101" i="1"/>
  <c r="R101" i="1"/>
  <c r="Q101" i="1"/>
  <c r="F105" i="1"/>
  <c r="D21" i="13" s="1"/>
  <c r="F106" i="1"/>
  <c r="D22" i="13" s="1"/>
  <c r="F103" i="1"/>
  <c r="D19" i="13" s="1"/>
  <c r="M31" i="5"/>
  <c r="C21" i="6"/>
  <c r="H21" i="6" s="1"/>
  <c r="D33" i="12"/>
  <c r="C30" i="6"/>
  <c r="F30" i="6" s="1"/>
  <c r="D22" i="12"/>
  <c r="M19" i="5"/>
  <c r="M22" i="5"/>
  <c r="D22" i="5"/>
  <c r="P22" i="5" s="1"/>
  <c r="N18" i="6"/>
  <c r="N21" i="6"/>
  <c r="D22" i="8"/>
  <c r="O22" i="8" s="1"/>
  <c r="C138" i="6"/>
  <c r="Q138" i="6" s="1"/>
  <c r="C137" i="6"/>
  <c r="S137" i="6" s="1"/>
  <c r="M23" i="8"/>
  <c r="M53" i="8"/>
  <c r="C177" i="6"/>
  <c r="N177" i="6"/>
  <c r="D53" i="8"/>
  <c r="N176" i="6"/>
  <c r="D52" i="8"/>
  <c r="M52" i="8"/>
  <c r="C176" i="6"/>
  <c r="M55" i="8"/>
  <c r="C179" i="6"/>
  <c r="N179" i="6"/>
  <c r="D55" i="8"/>
  <c r="N182" i="6"/>
  <c r="D58" i="8"/>
  <c r="M58" i="8"/>
  <c r="C182" i="6"/>
  <c r="N174" i="6"/>
  <c r="D50" i="8"/>
  <c r="M50" i="8"/>
  <c r="C174" i="6"/>
  <c r="N180" i="6"/>
  <c r="D56" i="8"/>
  <c r="M56" i="8"/>
  <c r="C180" i="6"/>
  <c r="M59" i="8"/>
  <c r="C183" i="6"/>
  <c r="N183" i="6"/>
  <c r="D59" i="8"/>
  <c r="M51" i="8"/>
  <c r="C175" i="6"/>
  <c r="N175" i="6"/>
  <c r="D51" i="8"/>
  <c r="N178" i="6"/>
  <c r="D54" i="8"/>
  <c r="M54" i="8"/>
  <c r="C178" i="6"/>
  <c r="M57" i="8"/>
  <c r="C181" i="6"/>
  <c r="N181" i="6"/>
  <c r="D57" i="8"/>
  <c r="G25" i="14"/>
  <c r="J25" i="14"/>
  <c r="H25" i="14"/>
  <c r="I25" i="14"/>
  <c r="F25" i="14"/>
  <c r="Q23" i="8"/>
  <c r="G23" i="8"/>
  <c r="P23" i="8"/>
  <c r="F23" i="8"/>
  <c r="O23" i="8"/>
  <c r="I23" i="8"/>
  <c r="E23" i="8"/>
  <c r="R23" i="8"/>
  <c r="N23" i="8"/>
  <c r="H23" i="8"/>
  <c r="S139" i="6"/>
  <c r="O139" i="6"/>
  <c r="G139" i="6"/>
  <c r="R139" i="6"/>
  <c r="F139" i="6"/>
  <c r="Q139" i="6"/>
  <c r="E139" i="6"/>
  <c r="P139" i="6"/>
  <c r="H139" i="6"/>
  <c r="D139" i="6"/>
  <c r="I28" i="12"/>
  <c r="J28" i="12"/>
  <c r="H28" i="12"/>
  <c r="G28" i="12"/>
  <c r="F28" i="12"/>
  <c r="C91" i="12"/>
  <c r="B216" i="6"/>
  <c r="M216" i="6"/>
  <c r="L89" i="5"/>
  <c r="C89" i="5"/>
  <c r="I706" i="1"/>
  <c r="G21" i="12"/>
  <c r="I21" i="12"/>
  <c r="H21" i="12"/>
  <c r="F21" i="12"/>
  <c r="J21" i="12"/>
  <c r="C90" i="12"/>
  <c r="B215" i="6"/>
  <c r="M215" i="6"/>
  <c r="L88" i="5"/>
  <c r="C88" i="5"/>
  <c r="I705" i="1"/>
  <c r="G50" i="12"/>
  <c r="I50" i="12"/>
  <c r="H50" i="12"/>
  <c r="J50" i="12"/>
  <c r="F50" i="12"/>
  <c r="R55" i="6"/>
  <c r="F55" i="6"/>
  <c r="P55" i="6"/>
  <c r="H55" i="6"/>
  <c r="D55" i="6"/>
  <c r="Q55" i="6"/>
  <c r="E55" i="6"/>
  <c r="G55" i="6"/>
  <c r="S55" i="6"/>
  <c r="O55" i="6"/>
  <c r="G27" i="12"/>
  <c r="I27" i="12"/>
  <c r="H27" i="12"/>
  <c r="F27" i="12"/>
  <c r="J27" i="12"/>
  <c r="C101" i="12"/>
  <c r="B224" i="6"/>
  <c r="M224" i="6"/>
  <c r="L97" i="5"/>
  <c r="C97" i="5"/>
  <c r="I716" i="1"/>
  <c r="G735" i="1"/>
  <c r="B736" i="1"/>
  <c r="C93" i="12"/>
  <c r="B218" i="6"/>
  <c r="M218" i="6"/>
  <c r="L91" i="5"/>
  <c r="C91" i="5"/>
  <c r="I708" i="1"/>
  <c r="L734" i="1"/>
  <c r="N734" i="1"/>
  <c r="M734" i="1"/>
  <c r="K734" i="1"/>
  <c r="R26" i="5"/>
  <c r="N26" i="5"/>
  <c r="H26" i="5"/>
  <c r="P26" i="5"/>
  <c r="F26" i="5"/>
  <c r="Q26" i="5"/>
  <c r="I26" i="5"/>
  <c r="O26" i="5"/>
  <c r="G26" i="5"/>
  <c r="E26" i="5"/>
  <c r="C99" i="12"/>
  <c r="B222" i="6"/>
  <c r="M222" i="6"/>
  <c r="L95" i="5"/>
  <c r="C95" i="5"/>
  <c r="I714" i="1"/>
  <c r="C103" i="12"/>
  <c r="B226" i="6"/>
  <c r="M226" i="6"/>
  <c r="L99" i="5"/>
  <c r="C99" i="5"/>
  <c r="I718" i="1"/>
  <c r="C94" i="12"/>
  <c r="B219" i="6"/>
  <c r="M219" i="6"/>
  <c r="L92" i="5"/>
  <c r="C92" i="5"/>
  <c r="I709" i="1"/>
  <c r="N729" i="1"/>
  <c r="L729" i="1"/>
  <c r="M729" i="1"/>
  <c r="K729" i="1"/>
  <c r="U748" i="1"/>
  <c r="K748" i="1"/>
  <c r="S748" i="1"/>
  <c r="M748" i="1"/>
  <c r="V748" i="1"/>
  <c r="T748" i="1"/>
  <c r="N748" i="1"/>
  <c r="L748" i="1"/>
  <c r="U746" i="1"/>
  <c r="K746" i="1"/>
  <c r="S746" i="1"/>
  <c r="M746" i="1"/>
  <c r="V746" i="1"/>
  <c r="T746" i="1"/>
  <c r="N746" i="1"/>
  <c r="L746" i="1"/>
  <c r="P86" i="6"/>
  <c r="H86" i="6"/>
  <c r="D86" i="6"/>
  <c r="R86" i="6"/>
  <c r="F86" i="6"/>
  <c r="Q86" i="6"/>
  <c r="E86" i="6"/>
  <c r="O86" i="6"/>
  <c r="G86" i="6"/>
  <c r="S86" i="6"/>
  <c r="L730" i="1"/>
  <c r="N730" i="1"/>
  <c r="M730" i="1"/>
  <c r="K730" i="1"/>
  <c r="C100" i="12"/>
  <c r="B223" i="6"/>
  <c r="M223" i="6"/>
  <c r="L96" i="5"/>
  <c r="C96" i="5"/>
  <c r="I715" i="1"/>
  <c r="P23" i="5"/>
  <c r="F23" i="5"/>
  <c r="R23" i="5"/>
  <c r="N23" i="5"/>
  <c r="H23" i="5"/>
  <c r="Q23" i="5"/>
  <c r="I23" i="5"/>
  <c r="O23" i="5"/>
  <c r="G23" i="5"/>
  <c r="E23" i="5"/>
  <c r="S753" i="1"/>
  <c r="M753" i="1"/>
  <c r="U753" i="1"/>
  <c r="K753" i="1"/>
  <c r="V753" i="1"/>
  <c r="L753" i="1"/>
  <c r="T753" i="1"/>
  <c r="N753" i="1"/>
  <c r="Q68" i="5"/>
  <c r="G68" i="5"/>
  <c r="O68" i="5"/>
  <c r="I68" i="5"/>
  <c r="E68" i="5"/>
  <c r="P68" i="5"/>
  <c r="F68" i="5"/>
  <c r="H68" i="5"/>
  <c r="R68" i="5"/>
  <c r="N68" i="5"/>
  <c r="U750" i="1"/>
  <c r="K750" i="1"/>
  <c r="S750" i="1"/>
  <c r="M750" i="1"/>
  <c r="V750" i="1"/>
  <c r="T750" i="1"/>
  <c r="N750" i="1"/>
  <c r="L750" i="1"/>
  <c r="B756" i="1"/>
  <c r="G756" i="1" s="1"/>
  <c r="B755" i="1"/>
  <c r="G755" i="1" s="1"/>
  <c r="G754" i="1"/>
  <c r="C95" i="12"/>
  <c r="B220" i="6"/>
  <c r="M220" i="6"/>
  <c r="C93" i="5"/>
  <c r="L93" i="5"/>
  <c r="I710" i="1"/>
  <c r="R57" i="5"/>
  <c r="N57" i="5"/>
  <c r="H57" i="5"/>
  <c r="P57" i="5"/>
  <c r="F57" i="5"/>
  <c r="Q57" i="5"/>
  <c r="I57" i="5"/>
  <c r="O57" i="5"/>
  <c r="G57" i="5"/>
  <c r="E57" i="5"/>
  <c r="C98" i="12"/>
  <c r="B221" i="6"/>
  <c r="M221" i="6"/>
  <c r="L94" i="5"/>
  <c r="C94" i="5"/>
  <c r="I713" i="1"/>
  <c r="L728" i="1"/>
  <c r="N728" i="1"/>
  <c r="M728" i="1"/>
  <c r="K728" i="1"/>
  <c r="C104" i="12"/>
  <c r="B227" i="6"/>
  <c r="M227" i="6"/>
  <c r="L100" i="5"/>
  <c r="C100" i="5"/>
  <c r="I719" i="1"/>
  <c r="N727" i="1"/>
  <c r="L727" i="1"/>
  <c r="M727" i="1"/>
  <c r="K727" i="1"/>
  <c r="L732" i="1"/>
  <c r="N732" i="1"/>
  <c r="M732" i="1"/>
  <c r="K732" i="1"/>
  <c r="P66" i="6"/>
  <c r="H66" i="6"/>
  <c r="D66" i="6"/>
  <c r="R66" i="6"/>
  <c r="F66" i="6"/>
  <c r="Q66" i="6"/>
  <c r="E66" i="6"/>
  <c r="O66" i="6"/>
  <c r="G66" i="6"/>
  <c r="S66" i="6"/>
  <c r="C92" i="12"/>
  <c r="B217" i="6"/>
  <c r="M217" i="6"/>
  <c r="L90" i="5"/>
  <c r="C90" i="5"/>
  <c r="I707" i="1"/>
  <c r="P25" i="6"/>
  <c r="H25" i="6"/>
  <c r="D25" i="6"/>
  <c r="R25" i="6"/>
  <c r="F25" i="6"/>
  <c r="S25" i="6"/>
  <c r="G25" i="6"/>
  <c r="Q25" i="6"/>
  <c r="E25" i="6"/>
  <c r="O25" i="6"/>
  <c r="N731" i="1"/>
  <c r="L731" i="1"/>
  <c r="M731" i="1"/>
  <c r="K731" i="1"/>
  <c r="C102" i="12"/>
  <c r="B225" i="6"/>
  <c r="M225" i="6"/>
  <c r="L98" i="5"/>
  <c r="C98" i="5"/>
  <c r="I717" i="1"/>
  <c r="S749" i="1"/>
  <c r="M749" i="1"/>
  <c r="U749" i="1"/>
  <c r="K749" i="1"/>
  <c r="V749" i="1"/>
  <c r="T749" i="1"/>
  <c r="N749" i="1"/>
  <c r="L749" i="1"/>
  <c r="I32" i="12"/>
  <c r="J32" i="12"/>
  <c r="H32" i="12"/>
  <c r="G32" i="12"/>
  <c r="F32" i="12"/>
  <c r="S747" i="1"/>
  <c r="M747" i="1"/>
  <c r="U747" i="1"/>
  <c r="K747" i="1"/>
  <c r="V747" i="1"/>
  <c r="T747" i="1"/>
  <c r="N747" i="1"/>
  <c r="L747" i="1"/>
  <c r="S751" i="1"/>
  <c r="M751" i="1"/>
  <c r="U751" i="1"/>
  <c r="K751" i="1"/>
  <c r="V751" i="1"/>
  <c r="T751" i="1"/>
  <c r="N751" i="1"/>
  <c r="L751" i="1"/>
  <c r="R97" i="6"/>
  <c r="F97" i="6"/>
  <c r="Q97" i="6"/>
  <c r="E97" i="6"/>
  <c r="S97" i="6"/>
  <c r="H97" i="6"/>
  <c r="O97" i="6"/>
  <c r="D97" i="6"/>
  <c r="P97" i="6"/>
  <c r="G97" i="6"/>
  <c r="N733" i="1"/>
  <c r="L733" i="1"/>
  <c r="M733" i="1"/>
  <c r="K733" i="1"/>
  <c r="U752" i="1"/>
  <c r="K752" i="1"/>
  <c r="S752" i="1"/>
  <c r="M752" i="1"/>
  <c r="V752" i="1"/>
  <c r="L752" i="1"/>
  <c r="T752" i="1"/>
  <c r="N752" i="1"/>
  <c r="Q371" i="4" l="1"/>
  <c r="P371" i="4"/>
  <c r="Q375" i="4"/>
  <c r="P375" i="4"/>
  <c r="Q357" i="4"/>
  <c r="P357" i="4"/>
  <c r="P373" i="4"/>
  <c r="Q373" i="4"/>
  <c r="P350" i="4"/>
  <c r="Q350" i="4"/>
  <c r="P351" i="4"/>
  <c r="Q351" i="4"/>
  <c r="Q354" i="4"/>
  <c r="P354" i="4"/>
  <c r="P355" i="4"/>
  <c r="Q355" i="4"/>
  <c r="T358" i="4"/>
  <c r="K358" i="4"/>
  <c r="V358" i="4"/>
  <c r="U358" i="4"/>
  <c r="N358" i="4"/>
  <c r="L358" i="4"/>
  <c r="M358" i="4"/>
  <c r="S358" i="4"/>
  <c r="Q374" i="4"/>
  <c r="P374" i="4"/>
  <c r="B360" i="4"/>
  <c r="G360" i="4" s="1"/>
  <c r="G359" i="4"/>
  <c r="P352" i="4"/>
  <c r="Q352" i="4"/>
  <c r="T379" i="4"/>
  <c r="L379" i="4"/>
  <c r="N379" i="4"/>
  <c r="M379" i="4"/>
  <c r="K379" i="4"/>
  <c r="V379" i="4"/>
  <c r="U379" i="4"/>
  <c r="S379" i="4"/>
  <c r="Q369" i="4"/>
  <c r="P369" i="4"/>
  <c r="Q353" i="4"/>
  <c r="P353" i="4"/>
  <c r="N377" i="4"/>
  <c r="S377" i="4"/>
  <c r="V377" i="4"/>
  <c r="K377" i="4"/>
  <c r="U377" i="4"/>
  <c r="T377" i="4"/>
  <c r="M377" i="4"/>
  <c r="L377" i="4"/>
  <c r="Q356" i="4"/>
  <c r="P356" i="4"/>
  <c r="P376" i="4"/>
  <c r="Q376" i="4"/>
  <c r="Q372" i="4"/>
  <c r="P372" i="4"/>
  <c r="P370" i="4"/>
  <c r="Q370" i="4"/>
  <c r="V378" i="4"/>
  <c r="N378" i="4"/>
  <c r="U378" i="4"/>
  <c r="K378" i="4"/>
  <c r="S378" i="4"/>
  <c r="L378" i="4"/>
  <c r="T378" i="4"/>
  <c r="M378" i="4"/>
  <c r="H140" i="6"/>
  <c r="P140" i="6"/>
  <c r="I24" i="12"/>
  <c r="F24" i="12"/>
  <c r="F140" i="6"/>
  <c r="R140" i="6"/>
  <c r="G25" i="8"/>
  <c r="J24" i="12"/>
  <c r="H24" i="12"/>
  <c r="G24" i="12"/>
  <c r="D140" i="6"/>
  <c r="K84" i="14"/>
  <c r="J84" i="14"/>
  <c r="J93" i="14"/>
  <c r="K93" i="14"/>
  <c r="J83" i="14"/>
  <c r="K83" i="14"/>
  <c r="J95" i="14"/>
  <c r="K95" i="14"/>
  <c r="K87" i="14"/>
  <c r="J87" i="14"/>
  <c r="J92" i="14"/>
  <c r="K92" i="14"/>
  <c r="J89" i="14"/>
  <c r="K89" i="14"/>
  <c r="K90" i="14"/>
  <c r="J90" i="14"/>
  <c r="J86" i="14"/>
  <c r="K86" i="14"/>
  <c r="K96" i="14"/>
  <c r="J96" i="14"/>
  <c r="G140" i="6"/>
  <c r="R25" i="8"/>
  <c r="O140" i="6"/>
  <c r="Q140" i="6"/>
  <c r="E25" i="8"/>
  <c r="N25" i="8"/>
  <c r="E140" i="6"/>
  <c r="P25" i="8"/>
  <c r="K22" i="14"/>
  <c r="G26" i="14"/>
  <c r="K26" i="14"/>
  <c r="G23" i="14"/>
  <c r="K23" i="14"/>
  <c r="K21" i="14"/>
  <c r="G24" i="14"/>
  <c r="K24" i="14"/>
  <c r="Q25" i="8"/>
  <c r="G20" i="13"/>
  <c r="P24" i="5"/>
  <c r="F23" i="13"/>
  <c r="K23" i="13"/>
  <c r="H24" i="8"/>
  <c r="H23" i="13"/>
  <c r="G23" i="13"/>
  <c r="I23" i="13"/>
  <c r="I25" i="8"/>
  <c r="I20" i="13"/>
  <c r="O25" i="8"/>
  <c r="H20" i="13"/>
  <c r="H25" i="8"/>
  <c r="K20" i="13"/>
  <c r="E45" i="5"/>
  <c r="H24" i="14"/>
  <c r="I24" i="14"/>
  <c r="I45" i="5"/>
  <c r="F24" i="14"/>
  <c r="F20" i="13"/>
  <c r="J24" i="14"/>
  <c r="F24" i="8"/>
  <c r="R45" i="5"/>
  <c r="P24" i="8"/>
  <c r="E24" i="8"/>
  <c r="G24" i="8"/>
  <c r="I24" i="8"/>
  <c r="N24" i="8"/>
  <c r="F45" i="5"/>
  <c r="R24" i="8"/>
  <c r="G74" i="6"/>
  <c r="D74" i="6"/>
  <c r="F24" i="5"/>
  <c r="Q24" i="8"/>
  <c r="O74" i="6"/>
  <c r="R23" i="6"/>
  <c r="P74" i="6"/>
  <c r="Q74" i="6"/>
  <c r="F74" i="6"/>
  <c r="H74" i="6"/>
  <c r="E74" i="6"/>
  <c r="S74" i="6"/>
  <c r="H21" i="13"/>
  <c r="I21" i="13"/>
  <c r="J21" i="13"/>
  <c r="K21" i="13"/>
  <c r="F21" i="13"/>
  <c r="G21" i="13"/>
  <c r="N112" i="6"/>
  <c r="D18" i="13"/>
  <c r="P18" i="13" s="1"/>
  <c r="H19" i="13"/>
  <c r="F19" i="13"/>
  <c r="I19" i="13"/>
  <c r="J19" i="13"/>
  <c r="G19" i="13"/>
  <c r="K19" i="13"/>
  <c r="H22" i="13"/>
  <c r="K22" i="13"/>
  <c r="J22" i="13"/>
  <c r="I22" i="13"/>
  <c r="F22" i="13"/>
  <c r="G22" i="13"/>
  <c r="K24" i="13"/>
  <c r="F24" i="13"/>
  <c r="G24" i="13"/>
  <c r="H24" i="13"/>
  <c r="J24" i="13"/>
  <c r="I24" i="13"/>
  <c r="P45" i="5"/>
  <c r="G45" i="5"/>
  <c r="H45" i="5"/>
  <c r="O45" i="5"/>
  <c r="N45" i="5"/>
  <c r="O23" i="6"/>
  <c r="O88" i="6"/>
  <c r="H24" i="5"/>
  <c r="D88" i="6"/>
  <c r="G24" i="5"/>
  <c r="N24" i="5"/>
  <c r="H88" i="6"/>
  <c r="O24" i="5"/>
  <c r="G88" i="6"/>
  <c r="F25" i="5"/>
  <c r="E24" i="5"/>
  <c r="Q24" i="5"/>
  <c r="Q88" i="6"/>
  <c r="I24" i="5"/>
  <c r="P141" i="6"/>
  <c r="E88" i="6"/>
  <c r="P88" i="6"/>
  <c r="F88" i="6"/>
  <c r="S88" i="6"/>
  <c r="E23" i="6"/>
  <c r="D23" i="6"/>
  <c r="O136" i="6"/>
  <c r="Q23" i="6"/>
  <c r="G23" i="6"/>
  <c r="P23" i="6"/>
  <c r="I64" i="5"/>
  <c r="S23" i="6"/>
  <c r="H26" i="8"/>
  <c r="H23" i="6"/>
  <c r="R30" i="5"/>
  <c r="C116" i="6"/>
  <c r="D116" i="6" s="1"/>
  <c r="N24" i="13"/>
  <c r="P87" i="6"/>
  <c r="K48" i="12"/>
  <c r="K51" i="12"/>
  <c r="J56" i="12"/>
  <c r="K56" i="12"/>
  <c r="G52" i="12"/>
  <c r="K52" i="12"/>
  <c r="K49" i="12"/>
  <c r="K53" i="12"/>
  <c r="N64" i="5"/>
  <c r="E43" i="6"/>
  <c r="E85" i="6"/>
  <c r="I65" i="5"/>
  <c r="Q43" i="6"/>
  <c r="K20" i="12"/>
  <c r="Q65" i="5"/>
  <c r="P64" i="5"/>
  <c r="G75" i="6"/>
  <c r="D85" i="6"/>
  <c r="I31" i="12"/>
  <c r="K31" i="12"/>
  <c r="K29" i="12"/>
  <c r="K33" i="12"/>
  <c r="I19" i="12"/>
  <c r="K19" i="12"/>
  <c r="K23" i="12"/>
  <c r="K30" i="12"/>
  <c r="F75" i="6"/>
  <c r="R85" i="6"/>
  <c r="P95" i="6"/>
  <c r="F47" i="12"/>
  <c r="H95" i="6"/>
  <c r="K22" i="12"/>
  <c r="I30" i="5"/>
  <c r="H29" i="5"/>
  <c r="D26" i="6"/>
  <c r="G95" i="6"/>
  <c r="G65" i="5"/>
  <c r="F64" i="5"/>
  <c r="O43" i="6"/>
  <c r="S75" i="6"/>
  <c r="H85" i="6"/>
  <c r="E95" i="6"/>
  <c r="R65" i="5"/>
  <c r="E64" i="5"/>
  <c r="G47" i="12"/>
  <c r="F43" i="6"/>
  <c r="D75" i="6"/>
  <c r="Q95" i="6"/>
  <c r="H65" i="5"/>
  <c r="O64" i="5"/>
  <c r="H43" i="6"/>
  <c r="P75" i="6"/>
  <c r="O85" i="6"/>
  <c r="D93" i="6"/>
  <c r="R62" i="6"/>
  <c r="G62" i="6"/>
  <c r="S95" i="6"/>
  <c r="O62" i="6"/>
  <c r="O65" i="5"/>
  <c r="N65" i="5"/>
  <c r="G64" i="5"/>
  <c r="R64" i="5"/>
  <c r="H47" i="12"/>
  <c r="D43" i="6"/>
  <c r="O75" i="6"/>
  <c r="H75" i="6"/>
  <c r="Q85" i="6"/>
  <c r="Q93" i="6"/>
  <c r="D95" i="6"/>
  <c r="F65" i="5"/>
  <c r="Q64" i="5"/>
  <c r="I47" i="12"/>
  <c r="J47" i="12"/>
  <c r="S43" i="6"/>
  <c r="P43" i="6"/>
  <c r="E75" i="6"/>
  <c r="R75" i="6"/>
  <c r="S85" i="6"/>
  <c r="P85" i="6"/>
  <c r="R93" i="6"/>
  <c r="F95" i="6"/>
  <c r="O95" i="6"/>
  <c r="E65" i="5"/>
  <c r="G43" i="6"/>
  <c r="G85" i="6"/>
  <c r="D62" i="6"/>
  <c r="P57" i="6"/>
  <c r="R57" i="6"/>
  <c r="P89" i="6"/>
  <c r="H62" i="6"/>
  <c r="S62" i="6"/>
  <c r="E93" i="6"/>
  <c r="Q49" i="6"/>
  <c r="E62" i="6"/>
  <c r="P62" i="6"/>
  <c r="S57" i="6"/>
  <c r="O93" i="6"/>
  <c r="H93" i="6"/>
  <c r="E57" i="6"/>
  <c r="Q49" i="5"/>
  <c r="S93" i="6"/>
  <c r="P93" i="6"/>
  <c r="Q62" i="6"/>
  <c r="Q63" i="5"/>
  <c r="Q57" i="6"/>
  <c r="G93" i="6"/>
  <c r="I53" i="5"/>
  <c r="Q91" i="6"/>
  <c r="F63" i="6"/>
  <c r="E53" i="5"/>
  <c r="S54" i="6"/>
  <c r="S64" i="6"/>
  <c r="E54" i="6"/>
  <c r="Q64" i="6"/>
  <c r="O49" i="6"/>
  <c r="P53" i="5"/>
  <c r="P91" i="6"/>
  <c r="Q76" i="6"/>
  <c r="G82" i="6"/>
  <c r="H81" i="6"/>
  <c r="F64" i="6"/>
  <c r="R64" i="6"/>
  <c r="Q94" i="6"/>
  <c r="S87" i="6"/>
  <c r="H94" i="6"/>
  <c r="Q53" i="5"/>
  <c r="E49" i="6"/>
  <c r="R53" i="5"/>
  <c r="H49" i="6"/>
  <c r="E61" i="6"/>
  <c r="R49" i="6"/>
  <c r="D61" i="6"/>
  <c r="D64" i="6"/>
  <c r="G64" i="6"/>
  <c r="O81" i="6"/>
  <c r="O64" i="6"/>
  <c r="H64" i="6"/>
  <c r="E64" i="6"/>
  <c r="S81" i="6"/>
  <c r="G63" i="6"/>
  <c r="Q87" i="6"/>
  <c r="P81" i="6"/>
  <c r="F76" i="6"/>
  <c r="G53" i="5"/>
  <c r="H53" i="5"/>
  <c r="S49" i="6"/>
  <c r="P49" i="6"/>
  <c r="D63" i="6"/>
  <c r="H87" i="6"/>
  <c r="F94" i="6"/>
  <c r="G49" i="12"/>
  <c r="S56" i="6"/>
  <c r="D76" i="6"/>
  <c r="G56" i="12"/>
  <c r="O53" i="5"/>
  <c r="N53" i="5"/>
  <c r="G49" i="6"/>
  <c r="F49" i="6"/>
  <c r="O87" i="6"/>
  <c r="O94" i="6"/>
  <c r="Q81" i="6"/>
  <c r="G76" i="6"/>
  <c r="H91" i="6"/>
  <c r="H61" i="6"/>
  <c r="F61" i="5"/>
  <c r="H61" i="5"/>
  <c r="D87" i="6"/>
  <c r="P94" i="6"/>
  <c r="S94" i="6"/>
  <c r="D81" i="6"/>
  <c r="H63" i="5"/>
  <c r="G57" i="6"/>
  <c r="F57" i="6"/>
  <c r="R59" i="5"/>
  <c r="F87" i="6"/>
  <c r="E94" i="6"/>
  <c r="G81" i="6"/>
  <c r="F81" i="6"/>
  <c r="G63" i="5"/>
  <c r="H51" i="6"/>
  <c r="D57" i="6"/>
  <c r="S89" i="6"/>
  <c r="G61" i="5"/>
  <c r="R54" i="6"/>
  <c r="G87" i="6"/>
  <c r="D94" i="6"/>
  <c r="E90" i="6"/>
  <c r="Q61" i="5"/>
  <c r="E87" i="6"/>
  <c r="R94" i="6"/>
  <c r="F90" i="6"/>
  <c r="E81" i="6"/>
  <c r="O63" i="5"/>
  <c r="O57" i="6"/>
  <c r="D89" i="6"/>
  <c r="O63" i="6"/>
  <c r="H63" i="6"/>
  <c r="S63" i="6"/>
  <c r="P63" i="6"/>
  <c r="E59" i="5"/>
  <c r="E63" i="6"/>
  <c r="R63" i="6"/>
  <c r="R66" i="5"/>
  <c r="N63" i="5"/>
  <c r="O66" i="5"/>
  <c r="J55" i="12"/>
  <c r="Q89" i="6"/>
  <c r="D60" i="6"/>
  <c r="E66" i="5"/>
  <c r="P51" i="6"/>
  <c r="I59" i="5"/>
  <c r="G78" i="6"/>
  <c r="P66" i="5"/>
  <c r="O50" i="6"/>
  <c r="N66" i="5"/>
  <c r="I66" i="5"/>
  <c r="P59" i="5"/>
  <c r="H66" i="5"/>
  <c r="G66" i="5"/>
  <c r="Q44" i="6"/>
  <c r="F66" i="5"/>
  <c r="S51" i="6"/>
  <c r="Q78" i="6"/>
  <c r="F50" i="6"/>
  <c r="D44" i="6"/>
  <c r="Q59" i="5"/>
  <c r="F78" i="6"/>
  <c r="H50" i="6"/>
  <c r="O51" i="6"/>
  <c r="R51" i="6"/>
  <c r="F59" i="5"/>
  <c r="G60" i="6"/>
  <c r="E51" i="6"/>
  <c r="G59" i="5"/>
  <c r="H59" i="5"/>
  <c r="D78" i="6"/>
  <c r="Q60" i="6"/>
  <c r="N47" i="5"/>
  <c r="Q51" i="6"/>
  <c r="G44" i="6"/>
  <c r="O59" i="5"/>
  <c r="O62" i="5"/>
  <c r="P90" i="6"/>
  <c r="Q82" i="6"/>
  <c r="O60" i="5"/>
  <c r="O91" i="6"/>
  <c r="R91" i="6"/>
  <c r="F61" i="6"/>
  <c r="F56" i="5"/>
  <c r="D82" i="6"/>
  <c r="H47" i="6"/>
  <c r="F92" i="6"/>
  <c r="S91" i="6"/>
  <c r="O61" i="6"/>
  <c r="R61" i="6"/>
  <c r="O82" i="6"/>
  <c r="J49" i="12"/>
  <c r="H82" i="6"/>
  <c r="E91" i="6"/>
  <c r="G61" i="6"/>
  <c r="N29" i="5"/>
  <c r="E29" i="5"/>
  <c r="G26" i="6"/>
  <c r="R26" i="6"/>
  <c r="S26" i="6"/>
  <c r="R22" i="6"/>
  <c r="H26" i="6"/>
  <c r="P26" i="6"/>
  <c r="O26" i="6"/>
  <c r="E26" i="6"/>
  <c r="Q26" i="6"/>
  <c r="I29" i="12"/>
  <c r="N22" i="7"/>
  <c r="N116" i="6"/>
  <c r="D22" i="7"/>
  <c r="Q22" i="7" s="1"/>
  <c r="D137" i="6"/>
  <c r="O141" i="6"/>
  <c r="S141" i="6"/>
  <c r="G22" i="6"/>
  <c r="H22" i="6"/>
  <c r="O29" i="5"/>
  <c r="F29" i="5"/>
  <c r="O22" i="6"/>
  <c r="F33" i="12"/>
  <c r="P29" i="6"/>
  <c r="G29" i="12"/>
  <c r="S22" i="6"/>
  <c r="I29" i="5"/>
  <c r="P29" i="5"/>
  <c r="D22" i="6"/>
  <c r="Q29" i="5"/>
  <c r="E22" i="6"/>
  <c r="P22" i="6"/>
  <c r="Q22" i="6"/>
  <c r="G29" i="5"/>
  <c r="H29" i="6"/>
  <c r="F29" i="12"/>
  <c r="H29" i="12"/>
  <c r="Q28" i="6"/>
  <c r="J29" i="12"/>
  <c r="I27" i="5"/>
  <c r="S18" i="6"/>
  <c r="P27" i="5"/>
  <c r="F28" i="6"/>
  <c r="F20" i="6"/>
  <c r="G23" i="12"/>
  <c r="Q27" i="5"/>
  <c r="I60" i="5"/>
  <c r="S92" i="6"/>
  <c r="R92" i="6"/>
  <c r="H49" i="5"/>
  <c r="E61" i="5"/>
  <c r="P61" i="5"/>
  <c r="F54" i="6"/>
  <c r="E58" i="6"/>
  <c r="H27" i="5"/>
  <c r="E82" i="6"/>
  <c r="P82" i="6"/>
  <c r="I63" i="5"/>
  <c r="R63" i="5"/>
  <c r="F60" i="5"/>
  <c r="G92" i="6"/>
  <c r="D92" i="6"/>
  <c r="I23" i="12"/>
  <c r="S76" i="6"/>
  <c r="R76" i="6"/>
  <c r="O89" i="6"/>
  <c r="H89" i="6"/>
  <c r="G62" i="12"/>
  <c r="E27" i="5"/>
  <c r="P60" i="5"/>
  <c r="H92" i="6"/>
  <c r="N61" i="5"/>
  <c r="P58" i="6"/>
  <c r="G27" i="5"/>
  <c r="R27" i="5"/>
  <c r="F82" i="6"/>
  <c r="F63" i="5"/>
  <c r="I28" i="5"/>
  <c r="H62" i="5"/>
  <c r="E92" i="6"/>
  <c r="P92" i="6"/>
  <c r="O76" i="6"/>
  <c r="H76" i="6"/>
  <c r="G89" i="6"/>
  <c r="F89" i="6"/>
  <c r="N67" i="5"/>
  <c r="Q58" i="6"/>
  <c r="N27" i="5"/>
  <c r="O92" i="6"/>
  <c r="O61" i="5"/>
  <c r="P54" i="6"/>
  <c r="I61" i="5"/>
  <c r="O27" i="5"/>
  <c r="S82" i="6"/>
  <c r="E63" i="5"/>
  <c r="F62" i="5"/>
  <c r="G58" i="5"/>
  <c r="E76" i="6"/>
  <c r="E89" i="6"/>
  <c r="E29" i="6"/>
  <c r="O48" i="6"/>
  <c r="G28" i="6"/>
  <c r="O60" i="6"/>
  <c r="H60" i="6"/>
  <c r="N28" i="5"/>
  <c r="E62" i="5"/>
  <c r="N62" i="5"/>
  <c r="E50" i="6"/>
  <c r="P50" i="6"/>
  <c r="F23" i="12"/>
  <c r="O44" i="6"/>
  <c r="H44" i="6"/>
  <c r="Q84" i="6"/>
  <c r="S78" i="6"/>
  <c r="R78" i="6"/>
  <c r="O18" i="6"/>
  <c r="S90" i="6"/>
  <c r="Q54" i="5"/>
  <c r="S28" i="6"/>
  <c r="E60" i="6"/>
  <c r="P60" i="6"/>
  <c r="O47" i="6"/>
  <c r="G62" i="5"/>
  <c r="R62" i="5"/>
  <c r="O47" i="5"/>
  <c r="Q50" i="6"/>
  <c r="H51" i="12"/>
  <c r="D51" i="6"/>
  <c r="E44" i="6"/>
  <c r="P44" i="6"/>
  <c r="D91" i="6"/>
  <c r="S61" i="6"/>
  <c r="P61" i="6"/>
  <c r="Q26" i="8"/>
  <c r="E141" i="6"/>
  <c r="O78" i="6"/>
  <c r="H78" i="6"/>
  <c r="R28" i="6"/>
  <c r="F60" i="6"/>
  <c r="H20" i="6"/>
  <c r="I62" i="5"/>
  <c r="P62" i="5"/>
  <c r="S50" i="6"/>
  <c r="R50" i="6"/>
  <c r="G59" i="6"/>
  <c r="P21" i="6"/>
  <c r="P55" i="5"/>
  <c r="F44" i="6"/>
  <c r="E78" i="6"/>
  <c r="R90" i="6"/>
  <c r="S60" i="6"/>
  <c r="P20" i="6"/>
  <c r="O25" i="5"/>
  <c r="G50" i="6"/>
  <c r="H23" i="12"/>
  <c r="F59" i="6"/>
  <c r="O31" i="5"/>
  <c r="G51" i="6"/>
  <c r="S44" i="6"/>
  <c r="G91" i="6"/>
  <c r="H137" i="6"/>
  <c r="N26" i="8"/>
  <c r="E21" i="8"/>
  <c r="R22" i="8"/>
  <c r="F26" i="14"/>
  <c r="O26" i="8"/>
  <c r="J26" i="14"/>
  <c r="O21" i="8"/>
  <c r="H22" i="8"/>
  <c r="I26" i="14"/>
  <c r="F26" i="8"/>
  <c r="R26" i="8"/>
  <c r="S138" i="6"/>
  <c r="N21" i="8"/>
  <c r="F21" i="8"/>
  <c r="H26" i="14"/>
  <c r="F22" i="8"/>
  <c r="P26" i="8"/>
  <c r="E26" i="8"/>
  <c r="D138" i="6"/>
  <c r="R21" i="8"/>
  <c r="Q21" i="8"/>
  <c r="E22" i="8"/>
  <c r="F138" i="6"/>
  <c r="H21" i="8"/>
  <c r="P21" i="8"/>
  <c r="P22" i="8"/>
  <c r="G26" i="8"/>
  <c r="H138" i="6"/>
  <c r="I21" i="8"/>
  <c r="R137" i="6"/>
  <c r="Q136" i="6"/>
  <c r="F141" i="6"/>
  <c r="R138" i="6"/>
  <c r="P138" i="6"/>
  <c r="G22" i="14"/>
  <c r="G21" i="14"/>
  <c r="Q137" i="6"/>
  <c r="Q141" i="6"/>
  <c r="H21" i="14"/>
  <c r="G137" i="6"/>
  <c r="D141" i="6"/>
  <c r="R141" i="6"/>
  <c r="G138" i="6"/>
  <c r="E138" i="6"/>
  <c r="D136" i="6"/>
  <c r="H136" i="6"/>
  <c r="J21" i="14"/>
  <c r="F136" i="6"/>
  <c r="H141" i="6"/>
  <c r="O138" i="6"/>
  <c r="H23" i="14"/>
  <c r="N22" i="8"/>
  <c r="S136" i="6"/>
  <c r="I21" i="14"/>
  <c r="F21" i="14"/>
  <c r="G22" i="8"/>
  <c r="I22" i="8"/>
  <c r="R136" i="6"/>
  <c r="P136" i="6"/>
  <c r="I23" i="14"/>
  <c r="Q22" i="8"/>
  <c r="G136" i="6"/>
  <c r="D18" i="7"/>
  <c r="R18" i="7" s="1"/>
  <c r="N18" i="13"/>
  <c r="C112" i="6"/>
  <c r="D112" i="6" s="1"/>
  <c r="N18" i="7"/>
  <c r="S45" i="6"/>
  <c r="Q60" i="5"/>
  <c r="E46" i="5"/>
  <c r="S58" i="6"/>
  <c r="R58" i="6"/>
  <c r="H60" i="5"/>
  <c r="R96" i="6"/>
  <c r="H45" i="6"/>
  <c r="R58" i="5"/>
  <c r="R49" i="5"/>
  <c r="N46" i="5"/>
  <c r="G58" i="6"/>
  <c r="D58" i="6"/>
  <c r="E60" i="5"/>
  <c r="N60" i="5"/>
  <c r="F58" i="6"/>
  <c r="O58" i="6"/>
  <c r="G60" i="5"/>
  <c r="E79" i="6"/>
  <c r="H67" i="5"/>
  <c r="D77" i="6"/>
  <c r="R46" i="5"/>
  <c r="E59" i="6"/>
  <c r="O46" i="5"/>
  <c r="F46" i="5"/>
  <c r="G90" i="6"/>
  <c r="D90" i="6"/>
  <c r="H49" i="12"/>
  <c r="I49" i="12"/>
  <c r="P45" i="6"/>
  <c r="Q59" i="6"/>
  <c r="J58" i="12"/>
  <c r="Q79" i="6"/>
  <c r="G46" i="5"/>
  <c r="R59" i="6"/>
  <c r="I46" i="5"/>
  <c r="P46" i="5"/>
  <c r="O90" i="6"/>
  <c r="H90" i="6"/>
  <c r="F49" i="12"/>
  <c r="P51" i="5"/>
  <c r="D59" i="6"/>
  <c r="R79" i="6"/>
  <c r="Q46" i="5"/>
  <c r="O59" i="6"/>
  <c r="H59" i="6"/>
  <c r="I58" i="12"/>
  <c r="O56" i="5"/>
  <c r="O45" i="6"/>
  <c r="R56" i="6"/>
  <c r="S59" i="6"/>
  <c r="I51" i="12"/>
  <c r="J52" i="12"/>
  <c r="F45" i="6"/>
  <c r="Q47" i="5"/>
  <c r="I52" i="5"/>
  <c r="E45" i="6"/>
  <c r="R45" i="6"/>
  <c r="F47" i="5"/>
  <c r="Q52" i="5"/>
  <c r="E55" i="5"/>
  <c r="Q96" i="6"/>
  <c r="O79" i="6"/>
  <c r="H79" i="6"/>
  <c r="I47" i="5"/>
  <c r="F51" i="12"/>
  <c r="H55" i="5"/>
  <c r="G45" i="6"/>
  <c r="R55" i="5"/>
  <c r="Q45" i="6"/>
  <c r="O46" i="6"/>
  <c r="I50" i="5"/>
  <c r="R53" i="6"/>
  <c r="E47" i="5"/>
  <c r="P47" i="5"/>
  <c r="G51" i="12"/>
  <c r="N52" i="5"/>
  <c r="G49" i="5"/>
  <c r="G55" i="5"/>
  <c r="P96" i="6"/>
  <c r="S79" i="6"/>
  <c r="P79" i="6"/>
  <c r="H54" i="5"/>
  <c r="R47" i="5"/>
  <c r="E52" i="5"/>
  <c r="R54" i="5"/>
  <c r="J51" i="12"/>
  <c r="D79" i="6"/>
  <c r="G54" i="5"/>
  <c r="F46" i="6"/>
  <c r="P50" i="5"/>
  <c r="G47" i="5"/>
  <c r="F48" i="12"/>
  <c r="G54" i="12" s="1"/>
  <c r="P52" i="5"/>
  <c r="I49" i="5"/>
  <c r="I55" i="5"/>
  <c r="H52" i="12"/>
  <c r="G79" i="6"/>
  <c r="P56" i="5"/>
  <c r="G56" i="6"/>
  <c r="S47" i="6"/>
  <c r="E48" i="5"/>
  <c r="G54" i="6"/>
  <c r="D54" i="6"/>
  <c r="Q56" i="5"/>
  <c r="R46" i="6"/>
  <c r="O56" i="6"/>
  <c r="H56" i="6"/>
  <c r="G47" i="6"/>
  <c r="F47" i="6"/>
  <c r="E80" i="6"/>
  <c r="N48" i="5"/>
  <c r="J48" i="12"/>
  <c r="F49" i="5"/>
  <c r="G96" i="6"/>
  <c r="Q67" i="5"/>
  <c r="H77" i="6"/>
  <c r="I56" i="5"/>
  <c r="D56" i="6"/>
  <c r="P47" i="6"/>
  <c r="O54" i="6"/>
  <c r="H54" i="6"/>
  <c r="H56" i="5"/>
  <c r="H46" i="6"/>
  <c r="J60" i="12"/>
  <c r="E56" i="6"/>
  <c r="P56" i="6"/>
  <c r="E47" i="6"/>
  <c r="R47" i="6"/>
  <c r="R48" i="5"/>
  <c r="E49" i="5"/>
  <c r="P49" i="5"/>
  <c r="S96" i="6"/>
  <c r="E56" i="5"/>
  <c r="N56" i="5"/>
  <c r="H60" i="12"/>
  <c r="Q56" i="6"/>
  <c r="Q47" i="6"/>
  <c r="G56" i="5"/>
  <c r="S46" i="6"/>
  <c r="O58" i="5"/>
  <c r="G48" i="12"/>
  <c r="O49" i="5"/>
  <c r="D80" i="6"/>
  <c r="E54" i="5"/>
  <c r="N54" i="5"/>
  <c r="G46" i="6"/>
  <c r="D46" i="6"/>
  <c r="H80" i="6"/>
  <c r="N58" i="5"/>
  <c r="H48" i="12"/>
  <c r="H52" i="5"/>
  <c r="E83" i="6"/>
  <c r="O55" i="5"/>
  <c r="N55" i="5"/>
  <c r="O96" i="6"/>
  <c r="R67" i="5"/>
  <c r="F54" i="12"/>
  <c r="Q83" i="6"/>
  <c r="H54" i="12"/>
  <c r="J54" i="12"/>
  <c r="O54" i="5"/>
  <c r="F54" i="5"/>
  <c r="E46" i="6"/>
  <c r="P46" i="6"/>
  <c r="G80" i="6"/>
  <c r="F58" i="5"/>
  <c r="I48" i="12"/>
  <c r="G52" i="5"/>
  <c r="R52" i="5"/>
  <c r="D83" i="6"/>
  <c r="Q55" i="5"/>
  <c r="F96" i="6"/>
  <c r="D96" i="6"/>
  <c r="E67" i="5"/>
  <c r="O77" i="6"/>
  <c r="P80" i="6"/>
  <c r="I56" i="12"/>
  <c r="I54" i="5"/>
  <c r="E53" i="6"/>
  <c r="O80" i="6"/>
  <c r="E58" i="5"/>
  <c r="O52" i="5"/>
  <c r="R83" i="6"/>
  <c r="E96" i="6"/>
  <c r="F52" i="12"/>
  <c r="I67" i="5"/>
  <c r="Q77" i="6"/>
  <c r="S52" i="6"/>
  <c r="S84" i="6"/>
  <c r="F52" i="6"/>
  <c r="J53" i="12"/>
  <c r="H48" i="6"/>
  <c r="E51" i="5"/>
  <c r="Q80" i="6"/>
  <c r="I48" i="5"/>
  <c r="H57" i="12"/>
  <c r="O83" i="6"/>
  <c r="H83" i="6"/>
  <c r="D65" i="6"/>
  <c r="G84" i="6"/>
  <c r="D84" i="6"/>
  <c r="H51" i="5"/>
  <c r="F84" i="6"/>
  <c r="P48" i="5"/>
  <c r="P48" i="6"/>
  <c r="G51" i="5"/>
  <c r="F80" i="6"/>
  <c r="Q48" i="5"/>
  <c r="F56" i="12"/>
  <c r="S83" i="6"/>
  <c r="P83" i="6"/>
  <c r="P65" i="6"/>
  <c r="O84" i="6"/>
  <c r="H84" i="6"/>
  <c r="E48" i="6"/>
  <c r="G52" i="6"/>
  <c r="D48" i="6"/>
  <c r="G48" i="5"/>
  <c r="S65" i="6"/>
  <c r="R84" i="6"/>
  <c r="R52" i="6"/>
  <c r="D52" i="6"/>
  <c r="I53" i="12"/>
  <c r="G48" i="6"/>
  <c r="F51" i="5"/>
  <c r="S80" i="6"/>
  <c r="H48" i="5"/>
  <c r="H56" i="12"/>
  <c r="G83" i="6"/>
  <c r="F65" i="6"/>
  <c r="E84" i="6"/>
  <c r="O52" i="6"/>
  <c r="H52" i="6"/>
  <c r="Q48" i="6"/>
  <c r="O51" i="5"/>
  <c r="N51" i="5"/>
  <c r="E50" i="5"/>
  <c r="N50" i="5"/>
  <c r="I58" i="5"/>
  <c r="P58" i="5"/>
  <c r="F67" i="5"/>
  <c r="O67" i="5"/>
  <c r="S77" i="6"/>
  <c r="P77" i="6"/>
  <c r="E52" i="6"/>
  <c r="P52" i="6"/>
  <c r="H53" i="12"/>
  <c r="F48" i="6"/>
  <c r="I51" i="5"/>
  <c r="R51" i="5"/>
  <c r="G50" i="5"/>
  <c r="R50" i="5"/>
  <c r="O48" i="5"/>
  <c r="Q58" i="5"/>
  <c r="G65" i="6"/>
  <c r="I52" i="12"/>
  <c r="P67" i="5"/>
  <c r="G77" i="6"/>
  <c r="F77" i="6"/>
  <c r="H50" i="5"/>
  <c r="S48" i="6"/>
  <c r="O50" i="5"/>
  <c r="F50" i="5"/>
  <c r="E77" i="6"/>
  <c r="S53" i="6"/>
  <c r="P53" i="6"/>
  <c r="F53" i="12"/>
  <c r="G53" i="6"/>
  <c r="F53" i="6"/>
  <c r="O65" i="6"/>
  <c r="H65" i="6"/>
  <c r="G53" i="12"/>
  <c r="D53" i="6"/>
  <c r="E65" i="6"/>
  <c r="R65" i="6"/>
  <c r="Q53" i="6"/>
  <c r="O53" i="6"/>
  <c r="D18" i="6"/>
  <c r="D28" i="6"/>
  <c r="O20" i="6"/>
  <c r="E30" i="6"/>
  <c r="G29" i="6"/>
  <c r="F21" i="5"/>
  <c r="P27" i="6"/>
  <c r="H18" i="6"/>
  <c r="O28" i="6"/>
  <c r="H28" i="6"/>
  <c r="E20" i="6"/>
  <c r="D30" i="6"/>
  <c r="F29" i="6"/>
  <c r="Q29" i="6"/>
  <c r="E28" i="6"/>
  <c r="Q20" i="6"/>
  <c r="D29" i="6"/>
  <c r="Q30" i="5"/>
  <c r="Q25" i="5"/>
  <c r="F30" i="5"/>
  <c r="H25" i="5"/>
  <c r="R31" i="5"/>
  <c r="E30" i="5"/>
  <c r="P30" i="5"/>
  <c r="S29" i="6"/>
  <c r="F31" i="12"/>
  <c r="I25" i="5"/>
  <c r="P25" i="5"/>
  <c r="E25" i="5"/>
  <c r="N25" i="5"/>
  <c r="J23" i="12"/>
  <c r="G30" i="5"/>
  <c r="H30" i="5"/>
  <c r="G25" i="5"/>
  <c r="P21" i="5"/>
  <c r="O30" i="5"/>
  <c r="O29" i="6"/>
  <c r="G31" i="12"/>
  <c r="O19" i="6"/>
  <c r="G27" i="6"/>
  <c r="R19" i="6"/>
  <c r="S27" i="6"/>
  <c r="J20" i="12"/>
  <c r="R28" i="5"/>
  <c r="F31" i="5"/>
  <c r="O20" i="5"/>
  <c r="N20" i="5"/>
  <c r="O28" i="5"/>
  <c r="F27" i="6"/>
  <c r="G31" i="5"/>
  <c r="R20" i="5"/>
  <c r="P31" i="5"/>
  <c r="H20" i="12"/>
  <c r="F28" i="5"/>
  <c r="H30" i="12"/>
  <c r="O27" i="6"/>
  <c r="R27" i="6"/>
  <c r="Q31" i="5"/>
  <c r="R19" i="5"/>
  <c r="F20" i="12"/>
  <c r="I31" i="5"/>
  <c r="I20" i="12"/>
  <c r="E28" i="5"/>
  <c r="P28" i="5"/>
  <c r="E27" i="6"/>
  <c r="D27" i="6"/>
  <c r="H31" i="5"/>
  <c r="I20" i="5"/>
  <c r="Q20" i="5"/>
  <c r="Q28" i="5"/>
  <c r="F20" i="5"/>
  <c r="E20" i="5"/>
  <c r="P20" i="5"/>
  <c r="G20" i="5"/>
  <c r="G20" i="12"/>
  <c r="G28" i="5"/>
  <c r="Q27" i="6"/>
  <c r="E31" i="5"/>
  <c r="E18" i="6"/>
  <c r="P18" i="6"/>
  <c r="G19" i="6"/>
  <c r="P19" i="6"/>
  <c r="G20" i="6"/>
  <c r="R20" i="6"/>
  <c r="I21" i="5"/>
  <c r="P30" i="6"/>
  <c r="H31" i="12"/>
  <c r="D19" i="6"/>
  <c r="H19" i="6"/>
  <c r="O21" i="5"/>
  <c r="Q18" i="6"/>
  <c r="F18" i="6"/>
  <c r="S19" i="6"/>
  <c r="S20" i="6"/>
  <c r="Q21" i="5"/>
  <c r="R30" i="6"/>
  <c r="E19" i="6"/>
  <c r="J30" i="12"/>
  <c r="Q19" i="6"/>
  <c r="H30" i="6"/>
  <c r="G18" i="6"/>
  <c r="H21" i="5"/>
  <c r="O30" i="6"/>
  <c r="J31" i="12"/>
  <c r="I22" i="5"/>
  <c r="O21" i="6"/>
  <c r="G19" i="5"/>
  <c r="G21" i="6"/>
  <c r="F19" i="5"/>
  <c r="P19" i="5"/>
  <c r="H19" i="5"/>
  <c r="E21" i="5"/>
  <c r="N21" i="5"/>
  <c r="G30" i="6"/>
  <c r="O19" i="5"/>
  <c r="I19" i="5"/>
  <c r="S24" i="6"/>
  <c r="Q19" i="5"/>
  <c r="G30" i="12"/>
  <c r="E19" i="5"/>
  <c r="G21" i="5"/>
  <c r="S30" i="6"/>
  <c r="Q24" i="6"/>
  <c r="F24" i="6"/>
  <c r="G24" i="6"/>
  <c r="R24" i="6"/>
  <c r="F19" i="12"/>
  <c r="J19" i="12"/>
  <c r="I30" i="12"/>
  <c r="I22" i="12"/>
  <c r="D24" i="6"/>
  <c r="G19" i="12"/>
  <c r="O24" i="6"/>
  <c r="H24" i="6"/>
  <c r="F30" i="12"/>
  <c r="F21" i="6"/>
  <c r="H19" i="12"/>
  <c r="E24" i="6"/>
  <c r="R21" i="6"/>
  <c r="J23" i="14"/>
  <c r="F22" i="14"/>
  <c r="H22" i="14"/>
  <c r="J22" i="14"/>
  <c r="I22" i="14"/>
  <c r="F23" i="14"/>
  <c r="H840" i="1"/>
  <c r="I839" i="1"/>
  <c r="D857" i="1" s="1"/>
  <c r="E858" i="1"/>
  <c r="F806" i="1"/>
  <c r="G805" i="1"/>
  <c r="B859" i="1" s="1"/>
  <c r="S856" i="1"/>
  <c r="R856" i="1"/>
  <c r="Q856" i="1"/>
  <c r="P856" i="1"/>
  <c r="T856" i="1"/>
  <c r="C114" i="6"/>
  <c r="N114" i="6"/>
  <c r="N20" i="7"/>
  <c r="D20" i="7"/>
  <c r="N21" i="13"/>
  <c r="C115" i="6"/>
  <c r="D21" i="7"/>
  <c r="N22" i="13"/>
  <c r="N115" i="6"/>
  <c r="N21" i="7"/>
  <c r="O24" i="13"/>
  <c r="S24" i="13"/>
  <c r="P24" i="13"/>
  <c r="R24" i="13"/>
  <c r="Q24" i="13"/>
  <c r="N19" i="13"/>
  <c r="N113" i="6"/>
  <c r="D19" i="7"/>
  <c r="N19" i="7"/>
  <c r="C113" i="6"/>
  <c r="J33" i="12"/>
  <c r="J22" i="12"/>
  <c r="S21" i="6"/>
  <c r="H33" i="12"/>
  <c r="R22" i="5"/>
  <c r="I33" i="12"/>
  <c r="G33" i="12"/>
  <c r="E21" i="6"/>
  <c r="D21" i="6"/>
  <c r="Q21" i="6"/>
  <c r="F22" i="12"/>
  <c r="G22" i="12"/>
  <c r="Q30" i="6"/>
  <c r="H22" i="12"/>
  <c r="G22" i="5"/>
  <c r="H22" i="5"/>
  <c r="O22" i="5"/>
  <c r="N22" i="5"/>
  <c r="F22" i="5"/>
  <c r="Q22" i="5"/>
  <c r="E22" i="5"/>
  <c r="F137" i="6"/>
  <c r="P137" i="6"/>
  <c r="O137" i="6"/>
  <c r="E137" i="6"/>
  <c r="Q57" i="8"/>
  <c r="G57" i="8"/>
  <c r="P57" i="8"/>
  <c r="F57" i="8"/>
  <c r="O57" i="8"/>
  <c r="I57" i="8"/>
  <c r="E57" i="8"/>
  <c r="R57" i="8"/>
  <c r="N57" i="8"/>
  <c r="H57" i="8"/>
  <c r="F93" i="14"/>
  <c r="G93" i="14"/>
  <c r="H93" i="14"/>
  <c r="I93" i="14"/>
  <c r="Q51" i="8"/>
  <c r="G51" i="8"/>
  <c r="P51" i="8"/>
  <c r="F51" i="8"/>
  <c r="O51" i="8"/>
  <c r="I51" i="8"/>
  <c r="E51" i="8"/>
  <c r="R51" i="8"/>
  <c r="N51" i="8"/>
  <c r="H51" i="8"/>
  <c r="P183" i="6"/>
  <c r="H183" i="6"/>
  <c r="D183" i="6"/>
  <c r="S183" i="6"/>
  <c r="O183" i="6"/>
  <c r="G183" i="6"/>
  <c r="R183" i="6"/>
  <c r="F183" i="6"/>
  <c r="Q183" i="6"/>
  <c r="E183" i="6"/>
  <c r="R180" i="6"/>
  <c r="F180" i="6"/>
  <c r="Q180" i="6"/>
  <c r="E180" i="6"/>
  <c r="P180" i="6"/>
  <c r="H180" i="6"/>
  <c r="D180" i="6"/>
  <c r="S180" i="6"/>
  <c r="O180" i="6"/>
  <c r="G180" i="6"/>
  <c r="R182" i="6"/>
  <c r="F182" i="6"/>
  <c r="Q182" i="6"/>
  <c r="E182" i="6"/>
  <c r="P182" i="6"/>
  <c r="H182" i="6"/>
  <c r="D182" i="6"/>
  <c r="S182" i="6"/>
  <c r="O182" i="6"/>
  <c r="G182" i="6"/>
  <c r="H95" i="14"/>
  <c r="G95" i="14"/>
  <c r="I95" i="14"/>
  <c r="F95" i="14"/>
  <c r="R176" i="6"/>
  <c r="F176" i="6"/>
  <c r="Q176" i="6"/>
  <c r="E176" i="6"/>
  <c r="P176" i="6"/>
  <c r="H176" i="6"/>
  <c r="D176" i="6"/>
  <c r="S176" i="6"/>
  <c r="O176" i="6"/>
  <c r="G176" i="6"/>
  <c r="F87" i="14"/>
  <c r="I87" i="14"/>
  <c r="G87" i="14"/>
  <c r="H87" i="14"/>
  <c r="O54" i="8"/>
  <c r="I54" i="8"/>
  <c r="E54" i="8"/>
  <c r="R54" i="8"/>
  <c r="N54" i="8"/>
  <c r="H54" i="8"/>
  <c r="Q54" i="8"/>
  <c r="G54" i="8"/>
  <c r="P54" i="8"/>
  <c r="F54" i="8"/>
  <c r="F96" i="14"/>
  <c r="G96" i="14"/>
  <c r="I96" i="14"/>
  <c r="H96" i="14"/>
  <c r="H92" i="14"/>
  <c r="I92" i="14"/>
  <c r="G92" i="14"/>
  <c r="F92" i="14"/>
  <c r="O50" i="8"/>
  <c r="I50" i="8"/>
  <c r="E50" i="8"/>
  <c r="R50" i="8"/>
  <c r="N50" i="8"/>
  <c r="H50" i="8"/>
  <c r="Q50" i="8"/>
  <c r="G50" i="8"/>
  <c r="P50" i="8"/>
  <c r="F50" i="8"/>
  <c r="P181" i="6"/>
  <c r="H181" i="6"/>
  <c r="D181" i="6"/>
  <c r="S181" i="6"/>
  <c r="O181" i="6"/>
  <c r="G181" i="6"/>
  <c r="R181" i="6"/>
  <c r="F181" i="6"/>
  <c r="Q181" i="6"/>
  <c r="E181" i="6"/>
  <c r="R178" i="6"/>
  <c r="F178" i="6"/>
  <c r="Q178" i="6"/>
  <c r="E178" i="6"/>
  <c r="P178" i="6"/>
  <c r="H178" i="6"/>
  <c r="D178" i="6"/>
  <c r="S178" i="6"/>
  <c r="O178" i="6"/>
  <c r="G178" i="6"/>
  <c r="P175" i="6"/>
  <c r="H175" i="6"/>
  <c r="D175" i="6"/>
  <c r="S175" i="6"/>
  <c r="O175" i="6"/>
  <c r="G175" i="6"/>
  <c r="R175" i="6"/>
  <c r="F175" i="6"/>
  <c r="Q175" i="6"/>
  <c r="E175" i="6"/>
  <c r="Q59" i="8"/>
  <c r="G59" i="8"/>
  <c r="P59" i="8"/>
  <c r="F59" i="8"/>
  <c r="O59" i="8"/>
  <c r="I59" i="8"/>
  <c r="E59" i="8"/>
  <c r="R59" i="8"/>
  <c r="N59" i="8"/>
  <c r="H59" i="8"/>
  <c r="R174" i="6"/>
  <c r="F174" i="6"/>
  <c r="Q174" i="6"/>
  <c r="E174" i="6"/>
  <c r="P174" i="6"/>
  <c r="H174" i="6"/>
  <c r="D174" i="6"/>
  <c r="S174" i="6"/>
  <c r="O174" i="6"/>
  <c r="G174" i="6"/>
  <c r="F83" i="14"/>
  <c r="G83" i="14"/>
  <c r="H83" i="14"/>
  <c r="I83" i="14"/>
  <c r="Q55" i="8"/>
  <c r="G55" i="8"/>
  <c r="P55" i="8"/>
  <c r="F55" i="8"/>
  <c r="O55" i="8"/>
  <c r="I55" i="8"/>
  <c r="E55" i="8"/>
  <c r="R55" i="8"/>
  <c r="N55" i="8"/>
  <c r="H55" i="8"/>
  <c r="P179" i="6"/>
  <c r="H179" i="6"/>
  <c r="D179" i="6"/>
  <c r="S179" i="6"/>
  <c r="O179" i="6"/>
  <c r="G179" i="6"/>
  <c r="R179" i="6"/>
  <c r="F179" i="6"/>
  <c r="Q179" i="6"/>
  <c r="E179" i="6"/>
  <c r="I86" i="14"/>
  <c r="G86" i="14"/>
  <c r="F86" i="14"/>
  <c r="H86" i="14"/>
  <c r="Q53" i="8"/>
  <c r="G53" i="8"/>
  <c r="P53" i="8"/>
  <c r="F53" i="8"/>
  <c r="O53" i="8"/>
  <c r="I53" i="8"/>
  <c r="E53" i="8"/>
  <c r="R53" i="8"/>
  <c r="N53" i="8"/>
  <c r="H53" i="8"/>
  <c r="P177" i="6"/>
  <c r="H177" i="6"/>
  <c r="D177" i="6"/>
  <c r="S177" i="6"/>
  <c r="O177" i="6"/>
  <c r="G177" i="6"/>
  <c r="R177" i="6"/>
  <c r="F177" i="6"/>
  <c r="Q177" i="6"/>
  <c r="E177" i="6"/>
  <c r="H89" i="14"/>
  <c r="I89" i="14"/>
  <c r="F89" i="14"/>
  <c r="G89" i="14"/>
  <c r="F84" i="14"/>
  <c r="G84" i="14"/>
  <c r="I84" i="14"/>
  <c r="H84" i="14"/>
  <c r="O56" i="8"/>
  <c r="I56" i="8"/>
  <c r="E56" i="8"/>
  <c r="R56" i="8"/>
  <c r="N56" i="8"/>
  <c r="H56" i="8"/>
  <c r="Q56" i="8"/>
  <c r="G56" i="8"/>
  <c r="P56" i="8"/>
  <c r="F56" i="8"/>
  <c r="O58" i="8"/>
  <c r="I58" i="8"/>
  <c r="E58" i="8"/>
  <c r="R58" i="8"/>
  <c r="N58" i="8"/>
  <c r="H58" i="8"/>
  <c r="Q58" i="8"/>
  <c r="G58" i="8"/>
  <c r="P58" i="8"/>
  <c r="F58" i="8"/>
  <c r="F90" i="14"/>
  <c r="H90" i="14"/>
  <c r="G90" i="14"/>
  <c r="I90" i="14"/>
  <c r="O52" i="8"/>
  <c r="I52" i="8"/>
  <c r="E52" i="8"/>
  <c r="R52" i="8"/>
  <c r="N52" i="8"/>
  <c r="H52" i="8"/>
  <c r="Q52" i="8"/>
  <c r="G52" i="8"/>
  <c r="P52" i="8"/>
  <c r="F52" i="8"/>
  <c r="O98" i="5"/>
  <c r="F98" i="5"/>
  <c r="N98" i="5"/>
  <c r="R98" i="5" s="1"/>
  <c r="E98" i="5"/>
  <c r="I98" i="5" s="1"/>
  <c r="P752" i="1"/>
  <c r="Q752" i="1"/>
  <c r="P747" i="1"/>
  <c r="Q747" i="1"/>
  <c r="O94" i="5"/>
  <c r="F94" i="5"/>
  <c r="N94" i="5"/>
  <c r="R94" i="5" s="1"/>
  <c r="E94" i="5"/>
  <c r="I94" i="5" s="1"/>
  <c r="F98" i="12"/>
  <c r="E98" i="12"/>
  <c r="I98" i="12" s="1"/>
  <c r="O93" i="5"/>
  <c r="F93" i="5"/>
  <c r="N93" i="5"/>
  <c r="R93" i="5" s="1"/>
  <c r="E93" i="5"/>
  <c r="I93" i="5" s="1"/>
  <c r="P753" i="1"/>
  <c r="Q753" i="1"/>
  <c r="D100" i="12"/>
  <c r="N223" i="6"/>
  <c r="C223" i="6"/>
  <c r="M96" i="5"/>
  <c r="D96" i="5"/>
  <c r="U715" i="1"/>
  <c r="T715" i="1"/>
  <c r="W715" i="1" s="1"/>
  <c r="O223" i="6"/>
  <c r="S223" i="6" s="1"/>
  <c r="D223" i="6"/>
  <c r="H223" i="6" s="1"/>
  <c r="P223" i="6"/>
  <c r="E223" i="6"/>
  <c r="O92" i="5"/>
  <c r="F92" i="5"/>
  <c r="N92" i="5"/>
  <c r="R92" i="5" s="1"/>
  <c r="E92" i="5"/>
  <c r="I92" i="5" s="1"/>
  <c r="F94" i="12"/>
  <c r="E94" i="12"/>
  <c r="I94" i="12" s="1"/>
  <c r="O95" i="5"/>
  <c r="F95" i="5"/>
  <c r="N95" i="5"/>
  <c r="R95" i="5" s="1"/>
  <c r="E95" i="5"/>
  <c r="I95" i="5" s="1"/>
  <c r="F99" i="12"/>
  <c r="E99" i="12"/>
  <c r="I99" i="12" s="1"/>
  <c r="D90" i="12"/>
  <c r="N215" i="6"/>
  <c r="C215" i="6"/>
  <c r="M88" i="5"/>
  <c r="D88" i="5"/>
  <c r="U705" i="1"/>
  <c r="T705" i="1"/>
  <c r="W705" i="1" s="1"/>
  <c r="O215" i="6"/>
  <c r="S215" i="6" s="1"/>
  <c r="D215" i="6"/>
  <c r="H215" i="6" s="1"/>
  <c r="P215" i="6"/>
  <c r="E215" i="6"/>
  <c r="O89" i="5"/>
  <c r="F89" i="5"/>
  <c r="N89" i="5"/>
  <c r="R89" i="5" s="1"/>
  <c r="E89" i="5"/>
  <c r="I89" i="5" s="1"/>
  <c r="F91" i="12"/>
  <c r="E91" i="12"/>
  <c r="I91" i="12" s="1"/>
  <c r="D92" i="12"/>
  <c r="N217" i="6"/>
  <c r="C217" i="6"/>
  <c r="M90" i="5"/>
  <c r="D90" i="5"/>
  <c r="U707" i="1"/>
  <c r="T707" i="1"/>
  <c r="W707" i="1" s="1"/>
  <c r="O217" i="6"/>
  <c r="S217" i="6" s="1"/>
  <c r="D217" i="6"/>
  <c r="H217" i="6" s="1"/>
  <c r="P217" i="6"/>
  <c r="E217" i="6"/>
  <c r="U754" i="1"/>
  <c r="K754" i="1"/>
  <c r="S754" i="1"/>
  <c r="M754" i="1"/>
  <c r="V754" i="1"/>
  <c r="L754" i="1"/>
  <c r="T754" i="1"/>
  <c r="N754" i="1"/>
  <c r="O96" i="5"/>
  <c r="F96" i="5"/>
  <c r="N96" i="5"/>
  <c r="R96" i="5" s="1"/>
  <c r="E96" i="5"/>
  <c r="I96" i="5" s="1"/>
  <c r="F100" i="12"/>
  <c r="E100" i="12"/>
  <c r="I100" i="12" s="1"/>
  <c r="P730" i="1"/>
  <c r="O730" i="1"/>
  <c r="P746" i="1"/>
  <c r="Q746" i="1"/>
  <c r="P729" i="1"/>
  <c r="O729" i="1"/>
  <c r="G736" i="1"/>
  <c r="B737" i="1"/>
  <c r="G737" i="1" s="1"/>
  <c r="D101" i="12"/>
  <c r="N224" i="6"/>
  <c r="C224" i="6"/>
  <c r="M97" i="5"/>
  <c r="D97" i="5"/>
  <c r="U716" i="1"/>
  <c r="T716" i="1"/>
  <c r="W716" i="1" s="1"/>
  <c r="O224" i="6"/>
  <c r="S224" i="6" s="1"/>
  <c r="D224" i="6"/>
  <c r="H224" i="6" s="1"/>
  <c r="P224" i="6"/>
  <c r="E224" i="6"/>
  <c r="O88" i="5"/>
  <c r="F88" i="5"/>
  <c r="N88" i="5"/>
  <c r="R88" i="5" s="1"/>
  <c r="E88" i="5"/>
  <c r="I88" i="5" s="1"/>
  <c r="F90" i="12"/>
  <c r="E90" i="12"/>
  <c r="I90" i="12" s="1"/>
  <c r="P731" i="1"/>
  <c r="O731" i="1"/>
  <c r="P733" i="1"/>
  <c r="O733" i="1"/>
  <c r="P751" i="1"/>
  <c r="Q751" i="1"/>
  <c r="P749" i="1"/>
  <c r="Q749" i="1"/>
  <c r="D102" i="12"/>
  <c r="N225" i="6"/>
  <c r="C225" i="6"/>
  <c r="M98" i="5"/>
  <c r="D98" i="5"/>
  <c r="U717" i="1"/>
  <c r="T717" i="1"/>
  <c r="W717" i="1" s="1"/>
  <c r="O225" i="6"/>
  <c r="S225" i="6" s="1"/>
  <c r="D225" i="6"/>
  <c r="H225" i="6" s="1"/>
  <c r="P225" i="6"/>
  <c r="E225" i="6"/>
  <c r="O90" i="5"/>
  <c r="F90" i="5"/>
  <c r="N90" i="5"/>
  <c r="R90" i="5" s="1"/>
  <c r="E90" i="5"/>
  <c r="I90" i="5" s="1"/>
  <c r="F92" i="12"/>
  <c r="E92" i="12"/>
  <c r="I92" i="12" s="1"/>
  <c r="P732" i="1"/>
  <c r="O732" i="1"/>
  <c r="P727" i="1"/>
  <c r="O727" i="1"/>
  <c r="D104" i="12"/>
  <c r="N227" i="6"/>
  <c r="C227" i="6"/>
  <c r="M100" i="5"/>
  <c r="D100" i="5"/>
  <c r="U719" i="1"/>
  <c r="T719" i="1"/>
  <c r="W719" i="1" s="1"/>
  <c r="O227" i="6"/>
  <c r="S227" i="6" s="1"/>
  <c r="D227" i="6"/>
  <c r="H227" i="6" s="1"/>
  <c r="P227" i="6"/>
  <c r="E227" i="6"/>
  <c r="D95" i="12"/>
  <c r="N220" i="6"/>
  <c r="C220" i="6"/>
  <c r="M93" i="5"/>
  <c r="D93" i="5"/>
  <c r="U710" i="1"/>
  <c r="T710" i="1"/>
  <c r="W710" i="1" s="1"/>
  <c r="O220" i="6"/>
  <c r="S220" i="6" s="1"/>
  <c r="D220" i="6"/>
  <c r="H220" i="6" s="1"/>
  <c r="P220" i="6"/>
  <c r="E220" i="6"/>
  <c r="S755" i="1"/>
  <c r="M755" i="1"/>
  <c r="U755" i="1"/>
  <c r="K755" i="1"/>
  <c r="V755" i="1"/>
  <c r="T755" i="1"/>
  <c r="N755" i="1"/>
  <c r="L755" i="1"/>
  <c r="P750" i="1"/>
  <c r="Q750" i="1"/>
  <c r="D103" i="12"/>
  <c r="N226" i="6"/>
  <c r="C226" i="6"/>
  <c r="M99" i="5"/>
  <c r="D99" i="5"/>
  <c r="U718" i="1"/>
  <c r="T718" i="1"/>
  <c r="W718" i="1" s="1"/>
  <c r="O226" i="6"/>
  <c r="S226" i="6" s="1"/>
  <c r="D226" i="6"/>
  <c r="H226" i="6" s="1"/>
  <c r="P226" i="6"/>
  <c r="E226" i="6"/>
  <c r="P734" i="1"/>
  <c r="O734" i="1"/>
  <c r="D93" i="12"/>
  <c r="N218" i="6"/>
  <c r="C218" i="6"/>
  <c r="M91" i="5"/>
  <c r="D91" i="5"/>
  <c r="U708" i="1"/>
  <c r="T708" i="1"/>
  <c r="W708" i="1" s="1"/>
  <c r="O218" i="6"/>
  <c r="S218" i="6" s="1"/>
  <c r="D218" i="6"/>
  <c r="H218" i="6" s="1"/>
  <c r="P218" i="6"/>
  <c r="E218" i="6"/>
  <c r="N735" i="1"/>
  <c r="L735" i="1"/>
  <c r="M735" i="1"/>
  <c r="K735" i="1"/>
  <c r="O97" i="5"/>
  <c r="F97" i="5"/>
  <c r="N97" i="5"/>
  <c r="R97" i="5" s="1"/>
  <c r="E97" i="5"/>
  <c r="I97" i="5" s="1"/>
  <c r="F101" i="12"/>
  <c r="E101" i="12"/>
  <c r="I101" i="12" s="1"/>
  <c r="F102" i="12"/>
  <c r="E102" i="12"/>
  <c r="I102" i="12" s="1"/>
  <c r="O100" i="5"/>
  <c r="F100" i="5"/>
  <c r="N100" i="5"/>
  <c r="R100" i="5" s="1"/>
  <c r="E100" i="5"/>
  <c r="I100" i="5" s="1"/>
  <c r="F104" i="12"/>
  <c r="E104" i="12"/>
  <c r="I104" i="12" s="1"/>
  <c r="P728" i="1"/>
  <c r="O728" i="1"/>
  <c r="D98" i="12"/>
  <c r="N221" i="6"/>
  <c r="C221" i="6"/>
  <c r="M94" i="5"/>
  <c r="D94" i="5"/>
  <c r="U713" i="1"/>
  <c r="T713" i="1"/>
  <c r="W713" i="1" s="1"/>
  <c r="O221" i="6"/>
  <c r="S221" i="6" s="1"/>
  <c r="D221" i="6"/>
  <c r="H221" i="6" s="1"/>
  <c r="P221" i="6"/>
  <c r="E221" i="6"/>
  <c r="F95" i="12"/>
  <c r="E95" i="12"/>
  <c r="I95" i="12" s="1"/>
  <c r="U756" i="1"/>
  <c r="K756" i="1"/>
  <c r="S756" i="1"/>
  <c r="M756" i="1"/>
  <c r="V756" i="1"/>
  <c r="L756" i="1"/>
  <c r="T756" i="1"/>
  <c r="N756" i="1"/>
  <c r="P748" i="1"/>
  <c r="Q748" i="1"/>
  <c r="D94" i="12"/>
  <c r="N219" i="6"/>
  <c r="C219" i="6"/>
  <c r="M92" i="5"/>
  <c r="D92" i="5"/>
  <c r="U709" i="1"/>
  <c r="T709" i="1"/>
  <c r="W709" i="1" s="1"/>
  <c r="O219" i="6"/>
  <c r="S219" i="6" s="1"/>
  <c r="D219" i="6"/>
  <c r="H219" i="6" s="1"/>
  <c r="P219" i="6"/>
  <c r="E219" i="6"/>
  <c r="O99" i="5"/>
  <c r="F99" i="5"/>
  <c r="N99" i="5"/>
  <c r="R99" i="5" s="1"/>
  <c r="E99" i="5"/>
  <c r="I99" i="5" s="1"/>
  <c r="F103" i="12"/>
  <c r="E103" i="12"/>
  <c r="I103" i="12" s="1"/>
  <c r="D99" i="12"/>
  <c r="N222" i="6"/>
  <c r="C222" i="6"/>
  <c r="M95" i="5"/>
  <c r="D95" i="5"/>
  <c r="U714" i="1"/>
  <c r="T714" i="1"/>
  <c r="W714" i="1" s="1"/>
  <c r="O222" i="6"/>
  <c r="S222" i="6" s="1"/>
  <c r="D222" i="6"/>
  <c r="H222" i="6" s="1"/>
  <c r="P222" i="6"/>
  <c r="E222" i="6"/>
  <c r="O91" i="5"/>
  <c r="F91" i="5"/>
  <c r="N91" i="5"/>
  <c r="R91" i="5" s="1"/>
  <c r="E91" i="5"/>
  <c r="I91" i="5" s="1"/>
  <c r="F93" i="12"/>
  <c r="E93" i="12"/>
  <c r="I93" i="12" s="1"/>
  <c r="D91" i="12"/>
  <c r="N216" i="6"/>
  <c r="C216" i="6"/>
  <c r="M89" i="5"/>
  <c r="D89" i="5"/>
  <c r="U706" i="1"/>
  <c r="T706" i="1"/>
  <c r="W706" i="1" s="1"/>
  <c r="O216" i="6"/>
  <c r="S216" i="6" s="1"/>
  <c r="D216" i="6"/>
  <c r="H216" i="6" s="1"/>
  <c r="P216" i="6"/>
  <c r="E216" i="6"/>
  <c r="Q377" i="4" l="1"/>
  <c r="P377" i="4"/>
  <c r="P358" i="4"/>
  <c r="Q358" i="4"/>
  <c r="P379" i="4"/>
  <c r="Q379" i="4"/>
  <c r="U359" i="4"/>
  <c r="M359" i="4"/>
  <c r="T359" i="4"/>
  <c r="K359" i="4"/>
  <c r="V359" i="4"/>
  <c r="S359" i="4"/>
  <c r="N359" i="4"/>
  <c r="L359" i="4"/>
  <c r="S360" i="4"/>
  <c r="K360" i="4"/>
  <c r="U360" i="4"/>
  <c r="L360" i="4"/>
  <c r="N360" i="4"/>
  <c r="M360" i="4"/>
  <c r="T360" i="4"/>
  <c r="V360" i="4"/>
  <c r="P378" i="4"/>
  <c r="Q378" i="4"/>
  <c r="K18" i="13"/>
  <c r="J18" i="13"/>
  <c r="F18" i="13"/>
  <c r="H18" i="13"/>
  <c r="G18" i="13"/>
  <c r="I18" i="13"/>
  <c r="H116" i="6"/>
  <c r="G116" i="6"/>
  <c r="R116" i="6"/>
  <c r="Q116" i="6"/>
  <c r="O116" i="6"/>
  <c r="F116" i="6"/>
  <c r="S116" i="6"/>
  <c r="P116" i="6"/>
  <c r="E116" i="6"/>
  <c r="S18" i="7"/>
  <c r="E22" i="7"/>
  <c r="F22" i="7"/>
  <c r="G18" i="7"/>
  <c r="E18" i="7"/>
  <c r="G60" i="12"/>
  <c r="F60" i="12"/>
  <c r="H66" i="12" s="1"/>
  <c r="I54" i="12"/>
  <c r="H58" i="12"/>
  <c r="I66" i="12"/>
  <c r="J66" i="12"/>
  <c r="F66" i="12"/>
  <c r="H62" i="12"/>
  <c r="I57" i="12"/>
  <c r="J57" i="12"/>
  <c r="I62" i="12"/>
  <c r="F62" i="12"/>
  <c r="H59" i="12"/>
  <c r="G59" i="12"/>
  <c r="I59" i="12"/>
  <c r="J59" i="12"/>
  <c r="F59" i="12"/>
  <c r="G57" i="12"/>
  <c r="F57" i="12"/>
  <c r="I60" i="12"/>
  <c r="G58" i="12"/>
  <c r="I55" i="12"/>
  <c r="H55" i="12"/>
  <c r="G55" i="12"/>
  <c r="F55" i="12"/>
  <c r="F58" i="12"/>
  <c r="J62" i="12"/>
  <c r="R22" i="7"/>
  <c r="G22" i="7"/>
  <c r="H18" i="7"/>
  <c r="S22" i="7"/>
  <c r="P22" i="7"/>
  <c r="O22" i="7"/>
  <c r="H22" i="7"/>
  <c r="I22" i="7"/>
  <c r="Q18" i="7"/>
  <c r="O18" i="7"/>
  <c r="I18" i="7"/>
  <c r="P18" i="7"/>
  <c r="F18" i="7"/>
  <c r="O18" i="13"/>
  <c r="F112" i="6"/>
  <c r="R112" i="6"/>
  <c r="G112" i="6"/>
  <c r="E112" i="6"/>
  <c r="H112" i="6"/>
  <c r="O112" i="6"/>
  <c r="Q112" i="6"/>
  <c r="P112" i="6"/>
  <c r="S112" i="6"/>
  <c r="R18" i="13"/>
  <c r="Q18" i="13"/>
  <c r="S18" i="13"/>
  <c r="E859" i="1"/>
  <c r="F807" i="1"/>
  <c r="G806" i="1"/>
  <c r="B860" i="1" s="1"/>
  <c r="Q857" i="1"/>
  <c r="S857" i="1"/>
  <c r="R857" i="1"/>
  <c r="T857" i="1"/>
  <c r="P857" i="1"/>
  <c r="I840" i="1"/>
  <c r="D858" i="1" s="1"/>
  <c r="H841" i="1"/>
  <c r="O114" i="6"/>
  <c r="E114" i="6"/>
  <c r="R114" i="6"/>
  <c r="D114" i="6"/>
  <c r="P114" i="6"/>
  <c r="F114" i="6"/>
  <c r="S114" i="6"/>
  <c r="H114" i="6"/>
  <c r="G114" i="6"/>
  <c r="Q114" i="6"/>
  <c r="O19" i="13"/>
  <c r="S19" i="13"/>
  <c r="R19" i="13"/>
  <c r="P19" i="13"/>
  <c r="Q19" i="13"/>
  <c r="S21" i="13"/>
  <c r="Q21" i="13"/>
  <c r="R21" i="13"/>
  <c r="P21" i="13"/>
  <c r="O21" i="13"/>
  <c r="Q19" i="7"/>
  <c r="H19" i="7"/>
  <c r="F19" i="7"/>
  <c r="P19" i="7"/>
  <c r="G19" i="7"/>
  <c r="R19" i="7"/>
  <c r="I19" i="7"/>
  <c r="O19" i="7"/>
  <c r="E19" i="7"/>
  <c r="S19" i="7"/>
  <c r="S115" i="6"/>
  <c r="Q115" i="6"/>
  <c r="R115" i="6"/>
  <c r="H115" i="6"/>
  <c r="G115" i="6"/>
  <c r="F115" i="6"/>
  <c r="D115" i="6"/>
  <c r="P115" i="6"/>
  <c r="O115" i="6"/>
  <c r="E115" i="6"/>
  <c r="Q113" i="6"/>
  <c r="G113" i="6"/>
  <c r="P113" i="6"/>
  <c r="F113" i="6"/>
  <c r="O113" i="6"/>
  <c r="R113" i="6"/>
  <c r="H113" i="6"/>
  <c r="E113" i="6"/>
  <c r="S113" i="6"/>
  <c r="D113" i="6"/>
  <c r="Q22" i="13"/>
  <c r="O22" i="13"/>
  <c r="P22" i="13"/>
  <c r="R22" i="13"/>
  <c r="S22" i="13"/>
  <c r="S21" i="7"/>
  <c r="R21" i="7"/>
  <c r="I21" i="7"/>
  <c r="Q21" i="7"/>
  <c r="E21" i="7"/>
  <c r="H21" i="7"/>
  <c r="G21" i="7"/>
  <c r="F21" i="7"/>
  <c r="P21" i="7"/>
  <c r="O21" i="7"/>
  <c r="O20" i="7"/>
  <c r="F20" i="7"/>
  <c r="S20" i="7"/>
  <c r="E20" i="7"/>
  <c r="P20" i="7"/>
  <c r="G20" i="7"/>
  <c r="I20" i="7"/>
  <c r="H20" i="7"/>
  <c r="R20" i="7"/>
  <c r="Q20" i="7"/>
  <c r="H91" i="12"/>
  <c r="G91" i="12"/>
  <c r="J91" i="12" s="1"/>
  <c r="Q95" i="5"/>
  <c r="H95" i="5"/>
  <c r="P95" i="5"/>
  <c r="S95" i="5" s="1"/>
  <c r="G95" i="5"/>
  <c r="J95" i="5" s="1"/>
  <c r="H94" i="12"/>
  <c r="G94" i="12"/>
  <c r="J94" i="12" s="1"/>
  <c r="G221" i="6"/>
  <c r="F221" i="6"/>
  <c r="I221" i="6" s="1"/>
  <c r="R221" i="6"/>
  <c r="Q221" i="6"/>
  <c r="T221" i="6" s="1"/>
  <c r="Q91" i="5"/>
  <c r="H91" i="5"/>
  <c r="G91" i="5"/>
  <c r="J91" i="5" s="1"/>
  <c r="P91" i="5"/>
  <c r="S91" i="5" s="1"/>
  <c r="G226" i="6"/>
  <c r="F226" i="6"/>
  <c r="I226" i="6" s="1"/>
  <c r="R226" i="6"/>
  <c r="Q226" i="6"/>
  <c r="T226" i="6" s="1"/>
  <c r="Q100" i="5"/>
  <c r="H100" i="5"/>
  <c r="P100" i="5"/>
  <c r="S100" i="5" s="1"/>
  <c r="G100" i="5"/>
  <c r="J100" i="5" s="1"/>
  <c r="Q97" i="5"/>
  <c r="H97" i="5"/>
  <c r="P97" i="5"/>
  <c r="S97" i="5" s="1"/>
  <c r="G97" i="5"/>
  <c r="J97" i="5" s="1"/>
  <c r="Q96" i="5"/>
  <c r="H96" i="5"/>
  <c r="P96" i="5"/>
  <c r="S96" i="5" s="1"/>
  <c r="G96" i="5"/>
  <c r="J96" i="5" s="1"/>
  <c r="Q89" i="5"/>
  <c r="H89" i="5"/>
  <c r="G89" i="5"/>
  <c r="J89" i="5" s="1"/>
  <c r="P89" i="5"/>
  <c r="S89" i="5" s="1"/>
  <c r="H99" i="12"/>
  <c r="G99" i="12"/>
  <c r="J99" i="12" s="1"/>
  <c r="Q92" i="5"/>
  <c r="H92" i="5"/>
  <c r="P92" i="5"/>
  <c r="S92" i="5" s="1"/>
  <c r="G92" i="5"/>
  <c r="J92" i="5" s="1"/>
  <c r="H93" i="12"/>
  <c r="G93" i="12"/>
  <c r="J93" i="12" s="1"/>
  <c r="Q93" i="5"/>
  <c r="H93" i="5"/>
  <c r="P93" i="5"/>
  <c r="S93" i="5" s="1"/>
  <c r="G93" i="5"/>
  <c r="J93" i="5" s="1"/>
  <c r="H95" i="12"/>
  <c r="G95" i="12"/>
  <c r="J95" i="12" s="1"/>
  <c r="H104" i="12"/>
  <c r="G104" i="12"/>
  <c r="J104" i="12" s="1"/>
  <c r="Q98" i="5"/>
  <c r="H98" i="5"/>
  <c r="P98" i="5"/>
  <c r="S98" i="5" s="1"/>
  <c r="G98" i="5"/>
  <c r="J98" i="5" s="1"/>
  <c r="H102" i="12"/>
  <c r="G102" i="12"/>
  <c r="J102" i="12" s="1"/>
  <c r="H101" i="12"/>
  <c r="G101" i="12"/>
  <c r="J101" i="12" s="1"/>
  <c r="P754" i="1"/>
  <c r="Q754" i="1"/>
  <c r="Q90" i="5"/>
  <c r="H90" i="5"/>
  <c r="G90" i="5"/>
  <c r="J90" i="5" s="1"/>
  <c r="P90" i="5"/>
  <c r="S90" i="5" s="1"/>
  <c r="H92" i="12"/>
  <c r="G92" i="12"/>
  <c r="J92" i="12" s="1"/>
  <c r="Q88" i="5"/>
  <c r="H88" i="5"/>
  <c r="G88" i="5"/>
  <c r="J88" i="5" s="1"/>
  <c r="P88" i="5"/>
  <c r="S88" i="5" s="1"/>
  <c r="H90" i="12"/>
  <c r="G90" i="12"/>
  <c r="J90" i="12" s="1"/>
  <c r="H100" i="12"/>
  <c r="G100" i="12"/>
  <c r="J100" i="12" s="1"/>
  <c r="G216" i="6"/>
  <c r="F216" i="6"/>
  <c r="I216" i="6" s="1"/>
  <c r="R216" i="6"/>
  <c r="Q216" i="6"/>
  <c r="T216" i="6" s="1"/>
  <c r="G222" i="6"/>
  <c r="F222" i="6"/>
  <c r="I222" i="6" s="1"/>
  <c r="R222" i="6"/>
  <c r="Q222" i="6"/>
  <c r="T222" i="6" s="1"/>
  <c r="G219" i="6"/>
  <c r="F219" i="6"/>
  <c r="I219" i="6" s="1"/>
  <c r="R219" i="6"/>
  <c r="Q219" i="6"/>
  <c r="T219" i="6" s="1"/>
  <c r="P756" i="1"/>
  <c r="Q756" i="1"/>
  <c r="Q94" i="5"/>
  <c r="H94" i="5"/>
  <c r="P94" i="5"/>
  <c r="S94" i="5" s="1"/>
  <c r="G94" i="5"/>
  <c r="J94" i="5" s="1"/>
  <c r="H98" i="12"/>
  <c r="G98" i="12"/>
  <c r="J98" i="12" s="1"/>
  <c r="P735" i="1"/>
  <c r="O735" i="1"/>
  <c r="G218" i="6"/>
  <c r="F218" i="6"/>
  <c r="I218" i="6" s="1"/>
  <c r="R218" i="6"/>
  <c r="Q218" i="6"/>
  <c r="T218" i="6" s="1"/>
  <c r="Q99" i="5"/>
  <c r="H99" i="5"/>
  <c r="P99" i="5"/>
  <c r="S99" i="5" s="1"/>
  <c r="G99" i="5"/>
  <c r="J99" i="5" s="1"/>
  <c r="H103" i="12"/>
  <c r="G103" i="12"/>
  <c r="J103" i="12" s="1"/>
  <c r="P755" i="1"/>
  <c r="Q755" i="1"/>
  <c r="G220" i="6"/>
  <c r="F220" i="6"/>
  <c r="I220" i="6" s="1"/>
  <c r="R220" i="6"/>
  <c r="Q220" i="6"/>
  <c r="T220" i="6" s="1"/>
  <c r="G227" i="6"/>
  <c r="F227" i="6"/>
  <c r="I227" i="6" s="1"/>
  <c r="R227" i="6"/>
  <c r="Q227" i="6"/>
  <c r="T227" i="6" s="1"/>
  <c r="G225" i="6"/>
  <c r="F225" i="6"/>
  <c r="I225" i="6" s="1"/>
  <c r="R225" i="6"/>
  <c r="Q225" i="6"/>
  <c r="T225" i="6" s="1"/>
  <c r="G224" i="6"/>
  <c r="F224" i="6"/>
  <c r="I224" i="6" s="1"/>
  <c r="R224" i="6"/>
  <c r="Q224" i="6"/>
  <c r="T224" i="6" s="1"/>
  <c r="N737" i="1"/>
  <c r="L737" i="1"/>
  <c r="M737" i="1"/>
  <c r="K737" i="1"/>
  <c r="G217" i="6"/>
  <c r="F217" i="6"/>
  <c r="I217" i="6" s="1"/>
  <c r="R217" i="6"/>
  <c r="Q217" i="6"/>
  <c r="T217" i="6" s="1"/>
  <c r="G215" i="6"/>
  <c r="F215" i="6"/>
  <c r="I215" i="6" s="1"/>
  <c r="R215" i="6"/>
  <c r="Q215" i="6"/>
  <c r="T215" i="6" s="1"/>
  <c r="G223" i="6"/>
  <c r="F223" i="6"/>
  <c r="I223" i="6" s="1"/>
  <c r="R223" i="6"/>
  <c r="Q223" i="6"/>
  <c r="T223" i="6" s="1"/>
  <c r="L736" i="1"/>
  <c r="N736" i="1"/>
  <c r="M736" i="1"/>
  <c r="K736" i="1"/>
  <c r="Q359" i="4" l="1"/>
  <c r="P359" i="4"/>
  <c r="Q360" i="4"/>
  <c r="P360" i="4"/>
  <c r="G66" i="12"/>
  <c r="H61" i="12"/>
  <c r="J61" i="12"/>
  <c r="I61" i="12"/>
  <c r="F61" i="12"/>
  <c r="G61" i="12"/>
  <c r="J68" i="12"/>
  <c r="F68" i="12"/>
  <c r="G68" i="12"/>
  <c r="H68" i="12"/>
  <c r="I68" i="12"/>
  <c r="H63" i="12"/>
  <c r="G63" i="12"/>
  <c r="J63" i="12"/>
  <c r="I63" i="12"/>
  <c r="F63" i="12"/>
  <c r="I64" i="12"/>
  <c r="J64" i="12"/>
  <c r="F64" i="12"/>
  <c r="G64" i="12"/>
  <c r="H64" i="12"/>
  <c r="I65" i="12"/>
  <c r="H65" i="12"/>
  <c r="F65" i="12"/>
  <c r="G65" i="12"/>
  <c r="J65" i="12"/>
  <c r="S858" i="1"/>
  <c r="R858" i="1"/>
  <c r="P858" i="1"/>
  <c r="T858" i="1"/>
  <c r="Q858" i="1"/>
  <c r="E860" i="1"/>
  <c r="I841" i="1"/>
  <c r="D859" i="1" s="1"/>
  <c r="H842" i="1"/>
  <c r="F808" i="1"/>
  <c r="G807" i="1"/>
  <c r="B861" i="1" s="1"/>
  <c r="P736" i="1"/>
  <c r="O736" i="1"/>
  <c r="P737" i="1"/>
  <c r="O737" i="1"/>
  <c r="F69" i="12" l="1"/>
  <c r="I69" i="12"/>
  <c r="H69" i="12"/>
  <c r="G69" i="12"/>
  <c r="J69" i="12"/>
  <c r="J67" i="12"/>
  <c r="F67" i="12"/>
  <c r="I67" i="12"/>
  <c r="H67" i="12"/>
  <c r="G67" i="12"/>
  <c r="F70" i="12"/>
  <c r="G70" i="12"/>
  <c r="H70" i="12"/>
  <c r="I70" i="12"/>
  <c r="J70" i="12"/>
  <c r="P859" i="1"/>
  <c r="Q859" i="1"/>
  <c r="S859" i="1"/>
  <c r="R859" i="1"/>
  <c r="T859" i="1"/>
  <c r="G808" i="1"/>
  <c r="B862" i="1" s="1"/>
  <c r="F809" i="1"/>
  <c r="H843" i="1"/>
  <c r="I842" i="1"/>
  <c r="D860" i="1" s="1"/>
  <c r="P860" i="1" l="1"/>
  <c r="R860" i="1"/>
  <c r="S860" i="1"/>
  <c r="Q860" i="1"/>
  <c r="T860" i="1"/>
  <c r="H844" i="1"/>
  <c r="I843" i="1"/>
  <c r="D861" i="1" s="1"/>
  <c r="F810" i="1"/>
  <c r="G809" i="1"/>
  <c r="B863" i="1" s="1"/>
  <c r="I844" i="1" l="1"/>
  <c r="D862" i="1" s="1"/>
  <c r="H845" i="1"/>
  <c r="F811" i="1"/>
  <c r="G810" i="1"/>
  <c r="B864" i="1" s="1"/>
  <c r="Q861" i="1"/>
  <c r="T861" i="1"/>
  <c r="S861" i="1"/>
  <c r="P861" i="1"/>
  <c r="E861" i="1"/>
  <c r="R861" i="1"/>
  <c r="F812" i="1" l="1"/>
  <c r="G812" i="1" s="1"/>
  <c r="B866" i="1" s="1"/>
  <c r="G811" i="1"/>
  <c r="B865" i="1" s="1"/>
  <c r="H846" i="1"/>
  <c r="I845" i="1"/>
  <c r="D863" i="1" s="1"/>
  <c r="P862" i="1"/>
  <c r="R862" i="1"/>
  <c r="E862" i="1"/>
  <c r="S862" i="1"/>
  <c r="T862" i="1"/>
  <c r="Q862" i="1"/>
  <c r="P863" i="1" l="1"/>
  <c r="E863" i="1"/>
  <c r="Q863" i="1"/>
  <c r="T863" i="1"/>
  <c r="S863" i="1"/>
  <c r="R863" i="1"/>
  <c r="I846" i="1"/>
  <c r="D864" i="1" s="1"/>
  <c r="H847" i="1"/>
  <c r="H848" i="1" l="1"/>
  <c r="I848" i="1" s="1"/>
  <c r="D866" i="1" s="1"/>
  <c r="I847" i="1"/>
  <c r="D865" i="1" s="1"/>
  <c r="S864" i="1"/>
  <c r="T864" i="1"/>
  <c r="R864" i="1"/>
  <c r="Q864" i="1"/>
  <c r="P864" i="1"/>
  <c r="E864" i="1"/>
  <c r="S865" i="1" l="1"/>
  <c r="E865" i="1"/>
  <c r="P865" i="1"/>
  <c r="Q865" i="1"/>
  <c r="R865" i="1"/>
  <c r="T865" i="1"/>
  <c r="P866" i="1"/>
  <c r="Q866" i="1"/>
  <c r="S866" i="1"/>
  <c r="T866" i="1"/>
  <c r="R866" i="1"/>
  <c r="E86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Blaß &amp; Eberhart</author>
  </authors>
  <commentList>
    <comment ref="D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Gilt nur, wenn die Zugkraft mittig zwischen den beiden äußeren Zugschrauben angeordnet ist. Damit müssten die Zeichnungen angepasst werden. Der Hinweis sollte in das Statik-Flyer aufgenommen werden.</t>
        </r>
      </text>
    </comment>
    <comment ref="K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An die Zulassungen der Schmid Schrauben angepasst.</t>
        </r>
      </text>
    </comment>
    <comment ref="L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Unterschiedliche Teilsicherheitsbeiwerte und kmod berücksichtigen.</t>
        </r>
      </text>
    </comment>
    <comment ref="D1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Gilt nur, wenn die Zugkraft mittig zwischen den beiden äußeren Zugschrauben angeordnet ist. Damit müssten die Zeichnungen angepasst werden. Der Hinweis sollte in das Statik-Flyer aufgenommen werden.</t>
        </r>
      </text>
    </comment>
    <comment ref="D3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Gilt nur, wenn die Zugkraft mittig zwischen den beiden äußeren Zugschrauben angeordnet ist. Damit müssten die Zeichnungen angepasst werden. Der Hinweis sollte in das Statik-Flyer aufgenommen werden.</t>
        </r>
      </text>
    </comment>
    <comment ref="G5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Aus Zulassung Z-9.1-435</t>
        </r>
      </text>
    </comment>
    <comment ref="J5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Bemerkung im Statik-Flyer anfügen, dass die CS-Schraube nicht ins Hirnholz eingedreht werden kann. Nur Einschraubwinkel von 90° sind zulässig.</t>
        </r>
      </text>
    </comment>
    <comment ref="K5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Unterschiedliche Teilsicherheitsbeiwerte und unterschiedliche  kmod sollten berücksichtigt werden</t>
        </r>
      </text>
    </comment>
    <comment ref="E54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Gewindelänge der TG- Schraube ist nur 50 mm</t>
        </r>
      </text>
    </comment>
    <comment ref="E57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Gewindelänge der TG- Schraube ist nur 50 mm</t>
        </r>
      </text>
    </comment>
    <comment ref="B68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Wert aus der Schmid Zulassung Z-9.1-435</t>
        </r>
      </text>
    </comment>
    <comment ref="D75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Tatsächliche Gewindelänge der TG-Schraube ansetzen</t>
        </r>
      </text>
    </comment>
    <comment ref="F96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Gemäß ETA in 1,2,2,2,2,1 (Seite 11)</t>
        </r>
      </text>
    </comment>
    <comment ref="F10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kmod und Teilsicherheitsbeiwerte sind unterschiedlich, daher Min-Wert mit Bemessungswerten ermitteln
</t>
        </r>
      </text>
    </comment>
    <comment ref="D106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ohne clip lock</t>
        </r>
      </text>
    </comment>
    <comment ref="C117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My aus der Schmid Zulassung Z-9.1-435. Hier war der Wert mit 4900 jedoch nicht gemäß der Zulassung.</t>
        </r>
      </text>
    </comment>
    <comment ref="E125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Tatsächliche Gewindelänge der TG-Schraube ansetzen</t>
        </r>
      </text>
    </comment>
    <comment ref="J125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Gewindelänge der TG-Schraube ansetzen.</t>
        </r>
      </text>
    </comment>
    <comment ref="E165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Falsche Zugtragfähigkeit angesetzt.</t>
        </r>
      </text>
    </comment>
    <comment ref="F165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Min-Werte mit Bemessungswerten ermitteln.</t>
        </r>
      </text>
    </comment>
    <comment ref="C186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My nach Schmid Zulassung Z-9.1-656</t>
        </r>
      </text>
    </comment>
    <comment ref="E23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falsche axiale Tragfähigkeit angesetzt.</t>
        </r>
      </text>
    </comment>
    <comment ref="F23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Bemessungswerte berücksichtigen wegen kmod und Teilsicherheitsbeiwerten.</t>
        </r>
      </text>
    </comment>
    <comment ref="C253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My nach Schmid Zulassung Z-9.1-656</t>
        </r>
      </text>
    </comment>
    <comment ref="E30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falsche axiale Tragfähigkeit angesetzt.</t>
        </r>
      </text>
    </comment>
    <comment ref="F30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Bemessungswerte berücksichtigen wegen kmod und Teilsicherheitsbeiwerten.</t>
        </r>
      </text>
    </comment>
    <comment ref="E330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fh wurde um 1,35+0,015*d abgemindert, da auch Winkel von 90° möglich sind.
Zusätzlich erwähnen, dass kein Eindrehen ins Hirnholz möglich ist.</t>
        </r>
      </text>
    </comment>
    <comment ref="E334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fh wurde um 1,35+0,015*d abgemindert, da auch Winkel von 90° möglich sind.
Zusätzlich erwähnen, dass kein Eindrehen ins Hirnholz möglich ist.</t>
        </r>
      </text>
    </comment>
    <comment ref="F354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Bemessungswerte berücksichtigen!</t>
        </r>
      </text>
    </comment>
    <comment ref="F358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Bemessungswerte berücksichtigen!</t>
        </r>
      </text>
    </comment>
    <comment ref="A37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Im Flyer anmerken, dass diese Lastrichtung nur mit einem "clip lock" möglich ist.</t>
        </r>
      </text>
    </comment>
    <comment ref="A408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Nur mit "clip lock" möglich</t>
        </r>
      </text>
    </comment>
    <comment ref="C4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My aus der Schmid Zulassung Z-9.1-435. Hier war der Wert mit 4900 jedoch nicht gemäß der Zulassung.</t>
        </r>
      </text>
    </comment>
    <comment ref="E420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Gewindelänge der TG-Schraube ist kürzer als lef</t>
        </r>
      </text>
    </comment>
    <comment ref="J420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Gewindelänge nur 70 mm, Rohdichtenbezug war falsch</t>
        </r>
      </text>
    </comment>
    <comment ref="E437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Gewindelänge nur 35 mm, Rohdichtenbezug war falsch</t>
        </r>
      </text>
    </comment>
    <comment ref="J437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Gewindelänge nur 40 mm, Rohdichtenbezug war falsch</t>
        </r>
      </text>
    </comment>
    <comment ref="C45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entweder mit 1 oder mit 2 "clip locks".</t>
        </r>
      </text>
    </comment>
    <comment ref="E454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Fax,H maßgebend für 8 mm Schraube!</t>
        </r>
      </text>
    </comment>
    <comment ref="F454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Bemessungswerte miteinander vergleichen.</t>
        </r>
      </text>
    </comment>
    <comment ref="A48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nur mit clip lock möglich</t>
        </r>
      </text>
    </comment>
    <comment ref="B485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Werte nach Z-9.1-656</t>
        </r>
      </text>
    </comment>
    <comment ref="B487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falscher Bezug zur Rohdichte</t>
        </r>
      </text>
    </comment>
    <comment ref="E494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Bezug zur Rohdichte falsch</t>
        </r>
      </text>
    </comment>
    <comment ref="J494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Bezug zur Rohdichte falsch</t>
        </r>
      </text>
    </comment>
    <comment ref="E5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Bezug zur Rohdichte ist falsch.</t>
        </r>
      </text>
    </comment>
    <comment ref="J5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Bezug zur Rohdichte ist falsch.</t>
        </r>
      </text>
    </comment>
    <comment ref="E531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Fax mit kleinster wirksamer Länge ist maßgebend.</t>
        </r>
      </text>
    </comment>
    <comment ref="F531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Bemessungswerte miteinander vergleichen</t>
        </r>
      </text>
    </comment>
    <comment ref="A548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nur mit "clip lock" möglich. Als Hinweis im Flyer aufnehmen.</t>
        </r>
      </text>
    </comment>
    <comment ref="F566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wegen kmod, Bemessungswerte miteinander vergleichen</t>
        </r>
      </text>
    </comment>
    <comment ref="I585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Im Flyer aufnehmen, dass keine Ausmitte berücksichtigt wird!!!</t>
        </r>
      </text>
    </comment>
    <comment ref="C587" authorId="0" shapeId="0" xr:uid="{00000000-0006-0000-0000-000035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eigentlich nicht in Ordnung, da eine Schraube kürzer ist. Jedoch akzeptabel, weil der Längenunterschied nicht maßgebend wird.</t>
        </r>
      </text>
    </comment>
    <comment ref="D587" authorId="0" shapeId="0" xr:uid="{00000000-0006-0000-0000-000036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Teilgewindeschraube, daher lef=84 mm.</t>
        </r>
      </text>
    </comment>
    <comment ref="J596" authorId="0" shapeId="0" xr:uid="{00000000-0006-0000-0000-000037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Im Flyer aufnehmen, dass keine Ausmitte berücksichtigt wird!!!</t>
        </r>
      </text>
    </comment>
    <comment ref="D598" authorId="0" shapeId="0" xr:uid="{00000000-0006-0000-0000-000038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lef für TG-Schraube mit 54 mm. Abminderung mit 1,2 nicht nötig, da Einschraubwinkel = 90°</t>
        </r>
      </text>
    </comment>
    <comment ref="B602" authorId="0" shapeId="0" xr:uid="{00000000-0006-0000-0000-000039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Gemäß ETA in 1,2,2,2,2,1 (Seite 11)</t>
        </r>
      </text>
    </comment>
    <comment ref="E607" authorId="0" shapeId="0" xr:uid="{00000000-0006-0000-0000-00003A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Bemessungswerte miteinander vergleichen !</t>
        </r>
      </text>
    </comment>
    <comment ref="C621" authorId="0" shapeId="0" xr:uid="{00000000-0006-0000-0000-00003B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My aus der Schmid Zulassung Z-9.1-435. Hier war der Wert mit 4900 jedoch nicht gemäß der Zulassung.</t>
        </r>
      </text>
    </comment>
    <comment ref="B623" authorId="0" shapeId="0" xr:uid="{00000000-0006-0000-0000-00003C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Bezug zur Rohdichte wurde korrigiert</t>
        </r>
      </text>
    </comment>
    <comment ref="E629" authorId="0" shapeId="0" xr:uid="{00000000-0006-0000-0000-00003D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die wirksame Länge beträgt 65 mm</t>
        </r>
      </text>
    </comment>
    <comment ref="G648" authorId="0" shapeId="0" xr:uid="{00000000-0006-0000-0000-00003E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Fv nur für die 8 mm Schraube maßgebend</t>
        </r>
      </text>
    </comment>
    <comment ref="H648" authorId="0" shapeId="0" xr:uid="{00000000-0006-0000-0000-00003F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was ist das für eine maximale Ausmitte? Andere Ausmitten sind doch auch möglich!</t>
        </r>
      </text>
    </comment>
    <comment ref="I648" authorId="0" shapeId="0" xr:uid="{00000000-0006-0000-0000-000040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Fv nur für die 8 mm Schraube maßgebend</t>
        </r>
      </text>
    </comment>
    <comment ref="K648" authorId="0" shapeId="0" xr:uid="{00000000-0006-0000-0000-000041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was ist das für eine maximale Ausmitte? Andere Ausmitten sind doch auch möglich!</t>
        </r>
      </text>
    </comment>
    <comment ref="X648" authorId="0" shapeId="0" xr:uid="{00000000-0006-0000-0000-000042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was ist das für eine maximale Ausmitte? Andere Ausmitten sind doch auch möglich!</t>
        </r>
      </text>
    </comment>
    <comment ref="Y648" authorId="0" shapeId="0" xr:uid="{00000000-0006-0000-0000-000043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was ist das für eine maximale Ausmitte? Andere Ausmitten sind doch auch möglich!</t>
        </r>
      </text>
    </comment>
    <comment ref="Z648" authorId="0" shapeId="0" xr:uid="{00000000-0006-0000-0000-000044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was ist das für eine maximale Ausmitte? Andere Ausmitten sind doch auch möglich!</t>
        </r>
      </text>
    </comment>
    <comment ref="AA648" authorId="0" shapeId="0" xr:uid="{00000000-0006-0000-0000-000045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was ist das für eine maximale Ausmitte? Andere Ausmitten sind doch auch möglich!</t>
        </r>
      </text>
    </comment>
    <comment ref="E667" authorId="0" shapeId="0" xr:uid="{00000000-0006-0000-0000-000046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TG-Schraube mit lef = 35 mm</t>
        </r>
      </text>
    </comment>
    <comment ref="I686" authorId="0" shapeId="0" xr:uid="{00000000-0006-0000-0000-000047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wird nur mit der 8 mm Schraube berechnet</t>
        </r>
      </text>
    </comment>
    <comment ref="J686" authorId="0" shapeId="0" xr:uid="{00000000-0006-0000-0000-000048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was ist das für eine maximale Ausmitte? Andere Ausmitten sind doch auch möglich!</t>
        </r>
      </text>
    </comment>
    <comment ref="K686" authorId="0" shapeId="0" xr:uid="{00000000-0006-0000-0000-000049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wird nur mit der 8 mm Schraube berechnet. Zusätzlich wurde eine Komponente in der Gleichung vergessen.</t>
        </r>
      </text>
    </comment>
    <comment ref="X687" authorId="0" shapeId="0" xr:uid="{00000000-0006-0000-0000-00004A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was ist das für eine maximale Ausmitte? Andere Ausmitten sind doch auch möglich!</t>
        </r>
      </text>
    </comment>
    <comment ref="Y687" authorId="0" shapeId="0" xr:uid="{00000000-0006-0000-0000-00004B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was ist das für eine maximale Ausmitte? Andere Ausmitten sind doch auch möglich!</t>
        </r>
      </text>
    </comment>
    <comment ref="Z687" authorId="0" shapeId="0" xr:uid="{00000000-0006-0000-0000-00004C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was ist das für eine maximale Ausmitte? Andere Ausmitten sind doch auch möglich!</t>
        </r>
      </text>
    </comment>
    <comment ref="AA687" authorId="0" shapeId="0" xr:uid="{00000000-0006-0000-0000-00004D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was ist das für eine maximale Ausmitte? Andere Ausmitten sind doch auch möglich!</t>
        </r>
      </text>
    </comment>
    <comment ref="E705" authorId="0" shapeId="0" xr:uid="{00000000-0006-0000-0000-00004E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Bemessungswerte berücksichtigen</t>
        </r>
      </text>
    </comment>
    <comment ref="H705" authorId="0" shapeId="0" xr:uid="{00000000-0006-0000-0000-00004F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Bemessungswerte berücksichtigen</t>
        </r>
      </text>
    </comment>
    <comment ref="I705" authorId="0" shapeId="0" xr:uid="{00000000-0006-0000-0000-000050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Bemessungswerte berücksichtigen</t>
        </r>
      </text>
    </comment>
    <comment ref="G780" authorId="0" shapeId="0" xr:uid="{00000000-0006-0000-0000-000051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Hier können die mittleren Lasten belassen werden, da kaum Unterschied vorhanden ist.</t>
        </r>
      </text>
    </comment>
    <comment ref="F797" authorId="0" shapeId="0" xr:uid="{00000000-0006-0000-0000-000052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Im Flyer erwähnen, dass keine Ausmitte angesetzt wurde. Bei Ausmitte sind die Werte der Tragfähigkeit deutlich geringer.</t>
        </r>
      </text>
    </comment>
    <comment ref="G799" authorId="0" shapeId="0" xr:uid="{00000000-0006-0000-0000-000053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a2 aus der Gleichung wurde bei der Berechnung nicht berücksichtigt</t>
        </r>
      </text>
    </comment>
    <comment ref="G817" authorId="0" shapeId="0" xr:uid="{00000000-0006-0000-0000-000054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hier können die mittleren Lasten belassen werden, da kaum Unterschied vorhanden ist.</t>
        </r>
      </text>
    </comment>
    <comment ref="C835" authorId="0" shapeId="0" xr:uid="{00000000-0006-0000-0000-000055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auch hier können die mittleren Lasten belassen werden, da kaum Unterschied zur Einzellast</t>
        </r>
      </text>
    </comment>
    <comment ref="H835" authorId="0" shapeId="0" xr:uid="{00000000-0006-0000-0000-000056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Im Flyer erwähnen, dass keine Ausmitte angesetzt wurde. Bei Ausmitte sind die Werte der Tragfähigkeit deutlich geringer.</t>
        </r>
      </text>
    </comment>
    <comment ref="I835" authorId="0" shapeId="0" xr:uid="{00000000-0006-0000-0000-000057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Gleichung wurde fehlerhaft eingegeben.</t>
        </r>
      </text>
    </comment>
    <comment ref="E853" authorId="0" shapeId="0" xr:uid="{00000000-0006-0000-0000-000058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Bemessungswerte miteinander vergleichen</t>
        </r>
      </text>
    </comment>
    <comment ref="E874" authorId="0" shapeId="0" xr:uid="{00000000-0006-0000-0000-000059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Belastung auch parallel und rechtwinklig zur Faser möglich, daher die Lochleibungsfestigkeit mit 1,35+0,015*d abgemindert.</t>
        </r>
      </text>
    </comment>
    <comment ref="E902" authorId="0" shapeId="0" xr:uid="{00000000-0006-0000-0000-00005A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Bemessungswerte miteinander vergleichen.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Blaß &amp; Eberhart</author>
    <author>Torsten Langejürgen</author>
  </authors>
  <commentList>
    <comment ref="F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Gilt nur, wenn die Zugkraft mittig zwischen den beiden äußeren Zugschrauben angeordnet ist. Damit müssten die Zeichnungen angepasst werden. Der Hinweis sollte in das Statik-Flyer aufgenommen werden.</t>
        </r>
      </text>
    </comment>
    <comment ref="E129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Torsten Langejürgen:</t>
        </r>
        <r>
          <rPr>
            <sz val="9"/>
            <color indexed="81"/>
            <rFont val="Tahoma"/>
            <family val="2"/>
          </rPr>
          <t xml:space="preserve">
a1 muss auf Schraubenanzahl von 20 umgerechnet werden !</t>
        </r>
      </text>
    </comment>
    <comment ref="F12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Torsten Langejürgen:</t>
        </r>
        <r>
          <rPr>
            <sz val="9"/>
            <color indexed="81"/>
            <rFont val="Tahoma"/>
            <family val="2"/>
          </rPr>
          <t xml:space="preserve">
a2 Wert muss auf Schraubenanzahl 20 umgerechnet werden 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Blaß &amp; Eberhart</author>
  </authors>
  <commentList>
    <comment ref="D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Gilt nur, wenn die Zugkraft mittig zwischen den beiden äußeren Zugschrauben angeordnet ist. Damit müssten die Zeichnungen angepasst werden. Der Hinweis sollte in das Statik-Flyer aufgenommen werden.</t>
        </r>
      </text>
    </comment>
    <comment ref="C47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My aus der Schmid Zulassung Z-9.1-435. Hier war der Wert mit 4900 jedoch nicht gemäß der Zulassung.</t>
        </r>
      </text>
    </comment>
    <comment ref="E5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Tatsächliche Gewindelänge der TG-Schraube ansetzen</t>
        </r>
      </text>
    </comment>
    <comment ref="J55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Gewindelänge der TG-Schraube ansetzen.</t>
        </r>
      </text>
    </comment>
    <comment ref="E6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Tatsächliche Gewindelänge der TG-Schraube ansetzen</t>
        </r>
      </text>
    </comment>
    <comment ref="J66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Gewindelänge der TG-Schraube ansetzen.</t>
        </r>
      </text>
    </comment>
    <comment ref="E111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Falsche Zugtragfähigkeit angesetzt.</t>
        </r>
      </text>
    </comment>
    <comment ref="F1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Min-Werte mit Bemessungswerten ermitteln.</t>
        </r>
      </text>
    </comment>
    <comment ref="E122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Falsche Zugtragfähigkeit angesetzt.</t>
        </r>
      </text>
    </comment>
    <comment ref="F122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Min-Werte mit Bemessungswerten ermitteln.</t>
        </r>
      </text>
    </comment>
    <comment ref="B157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Bemessungswerte berücksichtigen!</t>
        </r>
      </text>
    </comment>
    <comment ref="A168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Nur mit "clip lock" möglich</t>
        </r>
      </text>
    </comment>
    <comment ref="A18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nur mit "clip lock" möglich. Als Hinweis im Flyer aufnehmen.</t>
        </r>
      </text>
    </comment>
    <comment ref="C199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My aus der Schmid Zulassung Z-9.1-435. Hier war der Wert mit 4900 jedoch nicht gemäß der Zulassung.</t>
        </r>
      </text>
    </comment>
    <comment ref="B201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Bezug zur Rohdichte wurde korrigiert</t>
        </r>
      </text>
    </comment>
    <comment ref="E207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die wirksame Länge beträgt 65 mm</t>
        </r>
      </text>
    </comment>
    <comment ref="E218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die wirksame Länge beträgt 65 mm</t>
        </r>
      </text>
    </comment>
    <comment ref="G235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Fv nur für die 8 mm Schraube maßgebend</t>
        </r>
      </text>
    </comment>
    <comment ref="H235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was ist das für eine maximale Ausmitte? Andere Ausmitten sind doch auch möglich!</t>
        </r>
      </text>
    </comment>
    <comment ref="I235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Fv nur für die 8 mm Schraube maßgebend</t>
        </r>
      </text>
    </comment>
    <comment ref="N235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was ist das für eine maximale Ausmitte? Andere Ausmitten sind doch auch möglich!</t>
        </r>
      </text>
    </comment>
    <comment ref="O235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was ist das für eine maximale Ausmitte? Andere Ausmitten sind doch auch möglich!</t>
        </r>
      </text>
    </comment>
    <comment ref="P235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was ist das für eine maximale Ausmitte? Andere Ausmitten sind doch auch möglich!</t>
        </r>
      </text>
    </comment>
    <comment ref="Q235" authorId="0" shapeId="0" xr:uid="{00000000-0006-0000-0200-000018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was ist das für eine maximale Ausmitte? Andere Ausmitten sind doch auch möglich!</t>
        </r>
      </text>
    </comment>
    <comment ref="E263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TG-Schraube mit lef = 35 mm</t>
        </r>
      </text>
    </comment>
    <comment ref="E274" authorId="0" shapeId="0" xr:uid="{00000000-0006-0000-0200-00001A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TG-Schraube mit lef = 35 mm</t>
        </r>
      </text>
    </comment>
    <comment ref="I291" authorId="0" shapeId="0" xr:uid="{00000000-0006-0000-0200-00001B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wird nur mit der 8 mm Schraube berechnet</t>
        </r>
      </text>
    </comment>
    <comment ref="J291" authorId="0" shapeId="0" xr:uid="{00000000-0006-0000-0200-00001C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was ist das für eine maximale Ausmitte? Andere Ausmitten sind doch auch möglich!</t>
        </r>
      </text>
    </comment>
    <comment ref="K291" authorId="0" shapeId="0" xr:uid="{00000000-0006-0000-0200-00001D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wird nur mit der 8 mm Schraube berechnet. Zusätzlich wurde eine Komponente in der Gleichung vergessen.</t>
        </r>
      </text>
    </comment>
    <comment ref="N291" authorId="0" shapeId="0" xr:uid="{00000000-0006-0000-0200-00001E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was ist das für eine maximale Ausmitte? Andere Ausmitten sind doch auch möglich!</t>
        </r>
      </text>
    </comment>
    <comment ref="O291" authorId="0" shapeId="0" xr:uid="{00000000-0006-0000-0200-00001F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was ist das für eine maximale Ausmitte? Andere Ausmitten sind doch auch möglich!</t>
        </r>
      </text>
    </comment>
    <comment ref="P291" authorId="0" shapeId="0" xr:uid="{00000000-0006-0000-0200-000020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was ist das für eine maximale Ausmitte? Andere Ausmitten sind doch auch möglich!</t>
        </r>
      </text>
    </comment>
    <comment ref="Q291" authorId="0" shapeId="0" xr:uid="{00000000-0006-0000-0200-000021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was ist das für eine maximale Ausmitte? Andere Ausmitten sind doch auch möglich!</t>
        </r>
      </text>
    </comment>
    <comment ref="I302" authorId="0" shapeId="0" xr:uid="{00000000-0006-0000-0200-000022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wird nur mit der 8 mm Schraube berechnet</t>
        </r>
      </text>
    </comment>
    <comment ref="J302" authorId="0" shapeId="0" xr:uid="{00000000-0006-0000-0200-000023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was ist das für eine maximale Ausmitte? Andere Ausmitten sind doch auch möglich!</t>
        </r>
      </text>
    </comment>
    <comment ref="K302" authorId="0" shapeId="0" xr:uid="{00000000-0006-0000-0200-000024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wird nur mit der 8 mm Schraube berechnet. Zusätzlich wurde eine Komponente in der Gleichung vergessen.</t>
        </r>
      </text>
    </comment>
    <comment ref="E319" authorId="0" shapeId="0" xr:uid="{00000000-0006-0000-0200-000025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Bemessungswerte berücksichtigen</t>
        </r>
      </text>
    </comment>
    <comment ref="H319" authorId="0" shapeId="0" xr:uid="{00000000-0006-0000-0200-000026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Bemessungswerte berücksichtigen</t>
        </r>
      </text>
    </comment>
    <comment ref="I319" authorId="0" shapeId="0" xr:uid="{00000000-0006-0000-0200-000027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Bemessungswerte berücksichtigen</t>
        </r>
      </text>
    </comment>
    <comment ref="E387" authorId="0" shapeId="0" xr:uid="{00000000-0006-0000-0200-000028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Belastung auch parallel und rechtwinklig zur Faser möglich, daher die Lochleibungsfestigkeit mit 1,35+0,015*d abgemindert.</t>
        </r>
      </text>
    </comment>
    <comment ref="E415" authorId="0" shapeId="0" xr:uid="{00000000-0006-0000-0200-000029000000}">
      <text>
        <r>
          <rPr>
            <b/>
            <sz val="9"/>
            <color indexed="81"/>
            <rFont val="Tahoma"/>
            <family val="2"/>
          </rPr>
          <t>Blaß &amp; Eberhart:</t>
        </r>
        <r>
          <rPr>
            <sz val="9"/>
            <color indexed="81"/>
            <rFont val="Tahoma"/>
            <family val="2"/>
          </rPr>
          <t xml:space="preserve">
Bemessungswerte miteinander vergleichen.</t>
        </r>
      </text>
    </comment>
  </commentList>
</comments>
</file>

<file path=xl/sharedStrings.xml><?xml version="1.0" encoding="utf-8"?>
<sst xmlns="http://schemas.openxmlformats.org/spreadsheetml/2006/main" count="4278" uniqueCount="860">
  <si>
    <r>
      <t>Load direction F</t>
    </r>
    <r>
      <rPr>
        <b/>
        <vertAlign val="subscript"/>
        <sz val="18"/>
        <color indexed="8"/>
        <rFont val="Calibri"/>
        <family val="2"/>
      </rPr>
      <t>1</t>
    </r>
    <r>
      <rPr>
        <b/>
        <sz val="18"/>
        <color indexed="8"/>
        <rFont val="Calibri"/>
        <family val="2"/>
      </rPr>
      <t xml:space="preserve"> perpendicular to the connector plate</t>
    </r>
  </si>
  <si>
    <t>EC5</t>
  </si>
  <si>
    <t>Knapp Connector</t>
  </si>
  <si>
    <r>
      <t>F</t>
    </r>
    <r>
      <rPr>
        <vertAlign val="subscript"/>
        <sz val="11"/>
        <color indexed="8"/>
        <rFont val="Calibri"/>
        <family val="2"/>
      </rPr>
      <t>1,KCC,RK</t>
    </r>
  </si>
  <si>
    <r>
      <t>a</t>
    </r>
    <r>
      <rPr>
        <vertAlign val="subscript"/>
        <sz val="11"/>
        <color indexed="8"/>
        <rFont val="Calibri"/>
        <family val="2"/>
      </rPr>
      <t>c</t>
    </r>
  </si>
  <si>
    <r>
      <t>e</t>
    </r>
    <r>
      <rPr>
        <vertAlign val="subscript"/>
        <sz val="11"/>
        <color indexed="8"/>
        <rFont val="Calibri"/>
        <family val="2"/>
      </rPr>
      <t>1</t>
    </r>
  </si>
  <si>
    <r>
      <t>n</t>
    </r>
    <r>
      <rPr>
        <vertAlign val="subscript"/>
        <sz val="11"/>
        <color indexed="8"/>
        <rFont val="Calibri"/>
        <family val="2"/>
      </rPr>
      <t>ef</t>
    </r>
  </si>
  <si>
    <r>
      <t>l</t>
    </r>
    <r>
      <rPr>
        <vertAlign val="subscript"/>
        <sz val="11"/>
        <color indexed="8"/>
        <rFont val="Calibri"/>
        <family val="2"/>
      </rPr>
      <t>ef (H)</t>
    </r>
  </si>
  <si>
    <r>
      <t>l</t>
    </r>
    <r>
      <rPr>
        <vertAlign val="subscript"/>
        <sz val="11"/>
        <color indexed="8"/>
        <rFont val="Calibri"/>
        <family val="2"/>
      </rPr>
      <t>ef (J)</t>
    </r>
  </si>
  <si>
    <t>d</t>
  </si>
  <si>
    <r>
      <t>F</t>
    </r>
    <r>
      <rPr>
        <vertAlign val="subscript"/>
        <sz val="11"/>
        <color indexed="8"/>
        <rFont val="Calibri"/>
        <family val="2"/>
      </rPr>
      <t>ax,Rk (H)</t>
    </r>
  </si>
  <si>
    <r>
      <t>F</t>
    </r>
    <r>
      <rPr>
        <vertAlign val="subscript"/>
        <sz val="11"/>
        <color indexed="8"/>
        <rFont val="Calibri"/>
        <family val="2"/>
      </rPr>
      <t>ax,Rk (J)</t>
    </r>
  </si>
  <si>
    <r>
      <t>F</t>
    </r>
    <r>
      <rPr>
        <vertAlign val="subscript"/>
        <sz val="11"/>
        <color indexed="8"/>
        <rFont val="Calibri"/>
        <family val="2"/>
      </rPr>
      <t>t,Rk</t>
    </r>
  </si>
  <si>
    <r>
      <t>F</t>
    </r>
    <r>
      <rPr>
        <b/>
        <vertAlign val="subscript"/>
        <sz val="11"/>
        <color indexed="8"/>
        <rFont val="Calibri"/>
        <family val="2"/>
      </rPr>
      <t>1,Rk</t>
    </r>
  </si>
  <si>
    <t>Design value F1,Rd centric</t>
  </si>
  <si>
    <t>Wood</t>
  </si>
  <si>
    <t>Characteristic</t>
  </si>
  <si>
    <t>[kN]</t>
  </si>
  <si>
    <t>[mm]</t>
  </si>
  <si>
    <t>[pcs]</t>
  </si>
  <si>
    <t>material</t>
  </si>
  <si>
    <r>
      <t xml:space="preserve">density </t>
    </r>
    <r>
      <rPr>
        <sz val="11"/>
        <color indexed="8"/>
        <rFont val="Symbol"/>
        <family val="1"/>
        <charset val="2"/>
      </rPr>
      <t>r</t>
    </r>
    <r>
      <rPr>
        <sz val="11"/>
        <color theme="1"/>
        <rFont val="Calibri"/>
        <family val="2"/>
        <scheme val="minor"/>
      </rPr>
      <t>k</t>
    </r>
  </si>
  <si>
    <t>C24</t>
  </si>
  <si>
    <t>C30</t>
  </si>
  <si>
    <t>GL24c</t>
  </si>
  <si>
    <t>GL24h</t>
  </si>
  <si>
    <t>GL28h</t>
  </si>
  <si>
    <t>GL28c/GL30c</t>
  </si>
  <si>
    <t>D50</t>
  </si>
  <si>
    <t>RICON S 140/60 VK</t>
  </si>
  <si>
    <t>RICON S 170/60 VK</t>
  </si>
  <si>
    <t>RICON S 200/60 VK</t>
  </si>
  <si>
    <t>RICON S 230/60 VK</t>
  </si>
  <si>
    <t>RICON S 200/80 VK</t>
  </si>
  <si>
    <t>RICON S 230/80 VK</t>
  </si>
  <si>
    <t>RICON S 260/80 VK</t>
  </si>
  <si>
    <t>RICON S 290/80 VK</t>
  </si>
  <si>
    <t>Wood Material:</t>
  </si>
  <si>
    <t>Für alle Fälle 1 bis 6 identisch</t>
  </si>
  <si>
    <r>
      <t>charateristic density</t>
    </r>
    <r>
      <rPr>
        <sz val="11"/>
        <color indexed="8"/>
        <rFont val="Symbol"/>
        <family val="1"/>
        <charset val="2"/>
      </rPr>
      <t xml:space="preserve"> r</t>
    </r>
    <r>
      <rPr>
        <vertAlign val="subscript"/>
        <sz val="11"/>
        <color indexed="8"/>
        <rFont val="Calibri"/>
        <family val="2"/>
      </rPr>
      <t>k</t>
    </r>
    <r>
      <rPr>
        <sz val="11"/>
        <color theme="1"/>
        <rFont val="Calibri"/>
        <family val="2"/>
        <scheme val="minor"/>
      </rPr>
      <t xml:space="preserve"> =</t>
    </r>
  </si>
  <si>
    <t>kg/m³</t>
  </si>
  <si>
    <t>Walco V60, Fall 1, 2, 4, 5</t>
  </si>
  <si>
    <t>Walco V80, Fall 1, 2, 4, 5</t>
  </si>
  <si>
    <t>n</t>
  </si>
  <si>
    <r>
      <t>l</t>
    </r>
    <r>
      <rPr>
        <vertAlign val="subscript"/>
        <sz val="11"/>
        <color indexed="8"/>
        <rFont val="Calibri"/>
        <family val="2"/>
      </rPr>
      <t xml:space="preserve">ef </t>
    </r>
  </si>
  <si>
    <r>
      <t>F</t>
    </r>
    <r>
      <rPr>
        <vertAlign val="subscript"/>
        <sz val="11"/>
        <color indexed="8"/>
        <rFont val="Calibri"/>
        <family val="2"/>
      </rPr>
      <t xml:space="preserve">ax,Rk </t>
    </r>
  </si>
  <si>
    <r>
      <t>l</t>
    </r>
    <r>
      <rPr>
        <vertAlign val="subscript"/>
        <sz val="11"/>
        <color indexed="8"/>
        <rFont val="Calibri"/>
        <family val="2"/>
      </rPr>
      <t>ef (CS)</t>
    </r>
  </si>
  <si>
    <r>
      <t>F</t>
    </r>
    <r>
      <rPr>
        <vertAlign val="subscript"/>
        <sz val="11"/>
        <color indexed="8"/>
        <rFont val="Calibri"/>
        <family val="2"/>
      </rPr>
      <t xml:space="preserve">ax,CS,Rk </t>
    </r>
  </si>
  <si>
    <r>
      <t>R</t>
    </r>
    <r>
      <rPr>
        <b/>
        <vertAlign val="subscript"/>
        <sz val="11"/>
        <color indexed="8"/>
        <rFont val="Calibri"/>
        <family val="2"/>
      </rPr>
      <t>1,k</t>
    </r>
  </si>
  <si>
    <t>Abminder-ungsfaktor f</t>
  </si>
  <si>
    <t>Walco V60 (60 mm Holz)</t>
  </si>
  <si>
    <t>Walco V60 (45 mm Holz)</t>
  </si>
  <si>
    <t>Walco V80 (60 mm Holz)</t>
  </si>
  <si>
    <t>Walco V80 (45 mm Holz)</t>
  </si>
  <si>
    <t>Walco V80 (60 mm Holz VK)</t>
  </si>
  <si>
    <t>Walco V60, Fall 3, 6</t>
  </si>
  <si>
    <t>Walco V80, Fall 3, 6</t>
  </si>
  <si>
    <r>
      <t>Load direction F</t>
    </r>
    <r>
      <rPr>
        <b/>
        <vertAlign val="subscript"/>
        <sz val="18"/>
        <color indexed="8"/>
        <rFont val="Calibri"/>
        <family val="2"/>
      </rPr>
      <t>2</t>
    </r>
    <r>
      <rPr>
        <b/>
        <sz val="18"/>
        <color indexed="8"/>
        <rFont val="Calibri"/>
        <family val="2"/>
      </rPr>
      <t xml:space="preserve"> in the direction of insertion</t>
    </r>
  </si>
  <si>
    <t>GIGANT Connector:</t>
  </si>
  <si>
    <r>
      <t>F</t>
    </r>
    <r>
      <rPr>
        <vertAlign val="subscript"/>
        <sz val="11"/>
        <color indexed="8"/>
        <rFont val="Calibri"/>
        <family val="2"/>
      </rPr>
      <t>ax,J,RK</t>
    </r>
  </si>
  <si>
    <r>
      <t>F</t>
    </r>
    <r>
      <rPr>
        <vertAlign val="subscript"/>
        <sz val="11"/>
        <color indexed="8"/>
        <rFont val="Calibri"/>
        <family val="2"/>
      </rPr>
      <t>v,J,Rk</t>
    </r>
    <r>
      <rPr>
        <sz val="11"/>
        <color theme="1"/>
        <rFont val="Calibri"/>
        <family val="2"/>
        <scheme val="minor"/>
      </rPr>
      <t xml:space="preserve"> </t>
    </r>
  </si>
  <si>
    <r>
      <rPr>
        <sz val="11"/>
        <color indexed="8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 xml:space="preserve"> F</t>
    </r>
    <r>
      <rPr>
        <vertAlign val="subscript"/>
        <sz val="11"/>
        <color indexed="8"/>
        <rFont val="Calibri"/>
        <family val="2"/>
      </rPr>
      <t>v,J,Rk</t>
    </r>
  </si>
  <si>
    <r>
      <t>char. yield moment M</t>
    </r>
    <r>
      <rPr>
        <vertAlign val="subscript"/>
        <sz val="11"/>
        <color indexed="8"/>
        <rFont val="Calibri"/>
        <family val="2"/>
      </rPr>
      <t>y,Rk</t>
    </r>
    <r>
      <rPr>
        <sz val="11"/>
        <color theme="1"/>
        <rFont val="Calibri"/>
        <family val="2"/>
        <scheme val="minor"/>
      </rPr>
      <t xml:space="preserve"> =</t>
    </r>
  </si>
  <si>
    <t>Nmm</t>
  </si>
  <si>
    <t>outer thread diameter d =</t>
  </si>
  <si>
    <t>mm</t>
  </si>
  <si>
    <r>
      <t>Embedding strength f</t>
    </r>
    <r>
      <rPr>
        <vertAlign val="subscript"/>
        <sz val="11"/>
        <color indexed="8"/>
        <rFont val="Calibri"/>
        <family val="2"/>
      </rPr>
      <t xml:space="preserve">h,J,k </t>
    </r>
    <r>
      <rPr>
        <sz val="11"/>
        <color theme="1"/>
        <rFont val="Calibri"/>
        <family val="2"/>
        <scheme val="minor"/>
      </rPr>
      <t>=</t>
    </r>
  </si>
  <si>
    <t>N/mm²</t>
  </si>
  <si>
    <r>
      <t>Embedding strength f</t>
    </r>
    <r>
      <rPr>
        <vertAlign val="subscript"/>
        <sz val="11"/>
        <color indexed="8"/>
        <rFont val="Calibri"/>
        <family val="2"/>
      </rPr>
      <t xml:space="preserve">h,H,k </t>
    </r>
    <r>
      <rPr>
        <sz val="11"/>
        <color theme="1"/>
        <rFont val="Calibri"/>
        <family val="2"/>
        <scheme val="minor"/>
      </rPr>
      <t>=</t>
    </r>
  </si>
  <si>
    <r>
      <t>F</t>
    </r>
    <r>
      <rPr>
        <vertAlign val="subscript"/>
        <sz val="11"/>
        <color indexed="8"/>
        <rFont val="Calibri"/>
        <family val="2"/>
      </rPr>
      <t>ax,H,RK</t>
    </r>
  </si>
  <si>
    <r>
      <t>F</t>
    </r>
    <r>
      <rPr>
        <vertAlign val="subscript"/>
        <sz val="11"/>
        <color indexed="8"/>
        <rFont val="Calibri"/>
        <family val="2"/>
      </rPr>
      <t>v,H,Rk</t>
    </r>
    <r>
      <rPr>
        <sz val="11"/>
        <color theme="1"/>
        <rFont val="Calibri"/>
        <family val="2"/>
        <scheme val="minor"/>
      </rPr>
      <t xml:space="preserve"> </t>
    </r>
  </si>
  <si>
    <r>
      <rPr>
        <sz val="11"/>
        <color indexed="8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 xml:space="preserve"> F</t>
    </r>
    <r>
      <rPr>
        <vertAlign val="subscript"/>
        <sz val="11"/>
        <color indexed="8"/>
        <rFont val="Calibri"/>
        <family val="2"/>
      </rPr>
      <t>v,H,Rk</t>
    </r>
  </si>
  <si>
    <t>EC 5</t>
  </si>
  <si>
    <r>
      <t>F</t>
    </r>
    <r>
      <rPr>
        <vertAlign val="subscript"/>
        <sz val="11"/>
        <color indexed="8"/>
        <rFont val="Calibri"/>
        <family val="2"/>
      </rPr>
      <t>2,KCC,RK</t>
    </r>
  </si>
  <si>
    <r>
      <t>k</t>
    </r>
    <r>
      <rPr>
        <vertAlign val="subscript"/>
        <sz val="11"/>
        <color indexed="8"/>
        <rFont val="Calibri"/>
        <family val="2"/>
      </rPr>
      <t>H,2</t>
    </r>
  </si>
  <si>
    <r>
      <t>F</t>
    </r>
    <r>
      <rPr>
        <vertAlign val="subscript"/>
        <sz val="11"/>
        <color indexed="8"/>
        <rFont val="Calibri"/>
        <family val="2"/>
      </rPr>
      <t>2,H,Rk</t>
    </r>
  </si>
  <si>
    <r>
      <t>F</t>
    </r>
    <r>
      <rPr>
        <b/>
        <vertAlign val="subscript"/>
        <sz val="11"/>
        <color indexed="8"/>
        <rFont val="Calibri"/>
        <family val="2"/>
      </rPr>
      <t>2,Rk</t>
    </r>
  </si>
  <si>
    <t>Design values F2,Rd</t>
  </si>
  <si>
    <t>[-]</t>
  </si>
  <si>
    <t>RICON Connector:</t>
  </si>
  <si>
    <r>
      <t>l</t>
    </r>
    <r>
      <rPr>
        <vertAlign val="subscript"/>
        <sz val="11"/>
        <rFont val="Calibri"/>
        <family val="2"/>
      </rPr>
      <t xml:space="preserve">ef </t>
    </r>
  </si>
  <si>
    <r>
      <t>F</t>
    </r>
    <r>
      <rPr>
        <vertAlign val="subscript"/>
        <sz val="11"/>
        <rFont val="Calibri"/>
        <family val="2"/>
      </rPr>
      <t>ax,H,RK</t>
    </r>
  </si>
  <si>
    <r>
      <t>F</t>
    </r>
    <r>
      <rPr>
        <vertAlign val="subscript"/>
        <sz val="11"/>
        <rFont val="Calibri"/>
        <family val="2"/>
      </rPr>
      <t>v,H,Rk</t>
    </r>
    <r>
      <rPr>
        <sz val="11"/>
        <rFont val="Calibri"/>
        <family val="2"/>
      </rPr>
      <t xml:space="preserve"> </t>
    </r>
  </si>
  <si>
    <r>
      <rPr>
        <sz val="11"/>
        <rFont val="Symbol"/>
        <family val="1"/>
        <charset val="2"/>
      </rPr>
      <t>S</t>
    </r>
    <r>
      <rPr>
        <sz val="11"/>
        <rFont val="Calibri"/>
        <family val="2"/>
      </rPr>
      <t xml:space="preserve"> F</t>
    </r>
    <r>
      <rPr>
        <vertAlign val="subscript"/>
        <sz val="11"/>
        <rFont val="Calibri"/>
        <family val="2"/>
      </rPr>
      <t>v,H,Rk</t>
    </r>
  </si>
  <si>
    <t>RICON S Connector</t>
  </si>
  <si>
    <r>
      <t>F</t>
    </r>
    <r>
      <rPr>
        <b/>
        <vertAlign val="subscript"/>
        <sz val="11"/>
        <color indexed="8"/>
        <rFont val="Calibri"/>
        <family val="2"/>
      </rPr>
      <t>2,R,k</t>
    </r>
  </si>
  <si>
    <t>WALCO V Connector:</t>
  </si>
  <si>
    <r>
      <t>d</t>
    </r>
    <r>
      <rPr>
        <vertAlign val="subscript"/>
        <sz val="11"/>
        <color indexed="8"/>
        <rFont val="Calibri"/>
        <family val="2"/>
      </rPr>
      <t>CS</t>
    </r>
  </si>
  <si>
    <r>
      <t>l</t>
    </r>
    <r>
      <rPr>
        <vertAlign val="subscript"/>
        <sz val="11"/>
        <color indexed="8"/>
        <rFont val="Calibri"/>
        <family val="2"/>
      </rPr>
      <t xml:space="preserve">ef,(CS) </t>
    </r>
  </si>
  <si>
    <r>
      <t>f</t>
    </r>
    <r>
      <rPr>
        <vertAlign val="subscript"/>
        <sz val="11"/>
        <color indexed="8"/>
        <rFont val="Calibri"/>
        <family val="2"/>
      </rPr>
      <t>h,CS,k</t>
    </r>
  </si>
  <si>
    <r>
      <t>F</t>
    </r>
    <r>
      <rPr>
        <vertAlign val="subscript"/>
        <sz val="11"/>
        <color indexed="8"/>
        <rFont val="Calibri"/>
        <family val="2"/>
      </rPr>
      <t>v,CS,Rk</t>
    </r>
    <r>
      <rPr>
        <sz val="11"/>
        <color theme="1"/>
        <rFont val="Calibri"/>
        <family val="2"/>
        <scheme val="minor"/>
      </rPr>
      <t xml:space="preserve"> </t>
    </r>
  </si>
  <si>
    <t>My</t>
  </si>
  <si>
    <t>[N/mm²]</t>
  </si>
  <si>
    <t>[Nmm]</t>
  </si>
  <si>
    <t>Walco V60, Fall 1, 2</t>
  </si>
  <si>
    <t>Walco V80, Fall 1, 2</t>
  </si>
  <si>
    <t xml:space="preserve">WALCO V 60 (Vers 1-2) 60 </t>
  </si>
  <si>
    <t>(60 mm Holz)</t>
  </si>
  <si>
    <t>WALCO V 60 (Vers 1-2) 45</t>
  </si>
  <si>
    <t>(45 mm Holz)</t>
  </si>
  <si>
    <t>WALCO V 60 (Vers 3)</t>
  </si>
  <si>
    <t>WALCO V 60 (Vers 4-6)</t>
  </si>
  <si>
    <t>WALCO V 60 (Vers 1-2) 60 VK</t>
  </si>
  <si>
    <t>WALCO V 80 (Vers 1-2) 60</t>
  </si>
  <si>
    <t>WALCO V 80 (Vers 1-2) 61</t>
  </si>
  <si>
    <t>WALCO V 80 (Vers 1-2) 45</t>
  </si>
  <si>
    <t>WALCO V 80 (Vers 1-2) 60 VK</t>
  </si>
  <si>
    <t>Walco V60, Fall 3</t>
  </si>
  <si>
    <t>Walco V80, Fall 3</t>
  </si>
  <si>
    <t>WALCO V 80 (Vers 3)</t>
  </si>
  <si>
    <t>WALCO V 80 (Vers. 4-6)</t>
  </si>
  <si>
    <r>
      <t>M</t>
    </r>
    <r>
      <rPr>
        <vertAlign val="subscript"/>
        <sz val="11"/>
        <rFont val="Calibri"/>
        <family val="2"/>
      </rPr>
      <t>y,k</t>
    </r>
  </si>
  <si>
    <r>
      <t>f</t>
    </r>
    <r>
      <rPr>
        <vertAlign val="subscript"/>
        <sz val="11"/>
        <rFont val="Calibri"/>
        <family val="2"/>
      </rPr>
      <t>h,H,k</t>
    </r>
  </si>
  <si>
    <r>
      <t>F</t>
    </r>
    <r>
      <rPr>
        <vertAlign val="subscript"/>
        <sz val="11"/>
        <rFont val="Calibri"/>
        <family val="2"/>
      </rPr>
      <t>ax,RK</t>
    </r>
  </si>
  <si>
    <r>
      <t>F</t>
    </r>
    <r>
      <rPr>
        <vertAlign val="subscript"/>
        <sz val="11"/>
        <rFont val="Calibri"/>
        <family val="2"/>
      </rPr>
      <t>v,Rk</t>
    </r>
    <r>
      <rPr>
        <sz val="11"/>
        <rFont val="Calibri"/>
        <family val="2"/>
      </rPr>
      <t xml:space="preserve"> </t>
    </r>
  </si>
  <si>
    <t>WALCO V 60 (Vers 1-2;4-6)</t>
  </si>
  <si>
    <t>(60 + 45 mm Holz)</t>
  </si>
  <si>
    <t>Walco V60, Fall 4, 5</t>
  </si>
  <si>
    <t>Walco V80, Fall 4, 5</t>
  </si>
  <si>
    <t>WALCO V 80 (Vers. 1-2;4-6)</t>
  </si>
  <si>
    <t>WALCO V 80 (Vers. 3)</t>
  </si>
  <si>
    <r>
      <rPr>
        <sz val="11"/>
        <color indexed="8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 xml:space="preserve"> F</t>
    </r>
    <r>
      <rPr>
        <vertAlign val="subscript"/>
        <sz val="11"/>
        <color indexed="8"/>
        <rFont val="Calibri"/>
        <family val="2"/>
      </rPr>
      <t>v,CS,Rk</t>
    </r>
  </si>
  <si>
    <r>
      <t>F</t>
    </r>
    <r>
      <rPr>
        <vertAlign val="subscript"/>
        <sz val="11"/>
        <color indexed="8"/>
        <rFont val="Calibri"/>
        <family val="2"/>
      </rPr>
      <t>2,V,Rk</t>
    </r>
  </si>
  <si>
    <t>Abminder-ungsfaktor f2</t>
  </si>
  <si>
    <t>Walco V60, Fall 6</t>
  </si>
  <si>
    <t>Walco V80, Fall 6</t>
  </si>
  <si>
    <t>WALCO V 80 (Vers 4-6)</t>
  </si>
  <si>
    <r>
      <t>Load direction F</t>
    </r>
    <r>
      <rPr>
        <b/>
        <vertAlign val="subscript"/>
        <sz val="18"/>
        <color indexed="8"/>
        <rFont val="Calibri"/>
        <family val="2"/>
      </rPr>
      <t xml:space="preserve">3 </t>
    </r>
    <r>
      <rPr>
        <b/>
        <sz val="18"/>
        <color indexed="8"/>
        <rFont val="Calibri"/>
        <family val="2"/>
      </rPr>
      <t>against the direction of insertion</t>
    </r>
  </si>
  <si>
    <r>
      <t>F</t>
    </r>
    <r>
      <rPr>
        <vertAlign val="subscript"/>
        <sz val="11"/>
        <color indexed="8"/>
        <rFont val="Calibri"/>
        <family val="2"/>
      </rPr>
      <t>3,KCC,RK</t>
    </r>
  </si>
  <si>
    <r>
      <t>k</t>
    </r>
    <r>
      <rPr>
        <vertAlign val="subscript"/>
        <sz val="11"/>
        <color indexed="8"/>
        <rFont val="Calibri"/>
        <family val="2"/>
      </rPr>
      <t xml:space="preserve">H,2 </t>
    </r>
    <r>
      <rPr>
        <sz val="11"/>
        <color indexed="8"/>
        <rFont val="Calibri"/>
        <family val="2"/>
      </rPr>
      <t>= k</t>
    </r>
    <r>
      <rPr>
        <vertAlign val="subscript"/>
        <sz val="11"/>
        <color indexed="8"/>
        <rFont val="Calibri"/>
        <family val="2"/>
      </rPr>
      <t>H,3</t>
    </r>
  </si>
  <si>
    <r>
      <t>F</t>
    </r>
    <r>
      <rPr>
        <vertAlign val="subscript"/>
        <sz val="11"/>
        <color indexed="8"/>
        <rFont val="Calibri"/>
        <family val="2"/>
      </rPr>
      <t>3,H,Rk</t>
    </r>
  </si>
  <si>
    <r>
      <t>F</t>
    </r>
    <r>
      <rPr>
        <b/>
        <vertAlign val="subscript"/>
        <sz val="11"/>
        <color indexed="8"/>
        <rFont val="Calibri"/>
        <family val="2"/>
      </rPr>
      <t>3,Rk</t>
    </r>
  </si>
  <si>
    <t>Design values F3,Rd (clip lock)</t>
  </si>
  <si>
    <t>Z.9.1.589</t>
  </si>
  <si>
    <r>
      <rPr>
        <sz val="11"/>
        <rFont val="Symbol"/>
        <family val="1"/>
        <charset val="2"/>
      </rPr>
      <t>S</t>
    </r>
    <r>
      <rPr>
        <sz val="11"/>
        <rFont val="Calibri"/>
        <family val="2"/>
      </rPr>
      <t xml:space="preserve"> F</t>
    </r>
    <r>
      <rPr>
        <vertAlign val="subscript"/>
        <sz val="11"/>
        <rFont val="Calibri"/>
        <family val="2"/>
      </rPr>
      <t>v,J,Rk</t>
    </r>
  </si>
  <si>
    <r>
      <t>F</t>
    </r>
    <r>
      <rPr>
        <vertAlign val="subscript"/>
        <sz val="11"/>
        <rFont val="Calibri"/>
        <family val="2"/>
      </rPr>
      <t>3,KCC,RK</t>
    </r>
  </si>
  <si>
    <r>
      <t>k</t>
    </r>
    <r>
      <rPr>
        <vertAlign val="subscript"/>
        <sz val="11"/>
        <rFont val="Calibri"/>
        <family val="2"/>
      </rPr>
      <t>H,2</t>
    </r>
    <r>
      <rPr>
        <sz val="11"/>
        <rFont val="Calibri"/>
        <family val="2"/>
      </rPr>
      <t xml:space="preserve"> = k</t>
    </r>
    <r>
      <rPr>
        <vertAlign val="subscript"/>
        <sz val="11"/>
        <rFont val="Calibri"/>
        <family val="2"/>
      </rPr>
      <t>H,3</t>
    </r>
  </si>
  <si>
    <r>
      <t>F</t>
    </r>
    <r>
      <rPr>
        <vertAlign val="subscript"/>
        <sz val="11"/>
        <rFont val="Calibri"/>
        <family val="2"/>
      </rPr>
      <t>3,H,Rk</t>
    </r>
  </si>
  <si>
    <r>
      <t>F</t>
    </r>
    <r>
      <rPr>
        <b/>
        <vertAlign val="subscript"/>
        <sz val="11"/>
        <rFont val="Calibri"/>
        <family val="2"/>
      </rPr>
      <t>3,Rk</t>
    </r>
  </si>
  <si>
    <r>
      <t>F</t>
    </r>
    <r>
      <rPr>
        <b/>
        <vertAlign val="subscript"/>
        <sz val="11"/>
        <rFont val="Calibri"/>
        <family val="2"/>
      </rPr>
      <t>3,k</t>
    </r>
  </si>
  <si>
    <t>Design values F3,Rd (1 stirrup)</t>
  </si>
  <si>
    <t>Design values F3,Rd (2 stirrups)</t>
  </si>
  <si>
    <r>
      <t>d</t>
    </r>
    <r>
      <rPr>
        <vertAlign val="subscript"/>
        <sz val="11"/>
        <rFont val="Calibri"/>
        <family val="2"/>
      </rPr>
      <t>CS</t>
    </r>
  </si>
  <si>
    <r>
      <t>l</t>
    </r>
    <r>
      <rPr>
        <vertAlign val="subscript"/>
        <sz val="11"/>
        <rFont val="Calibri"/>
        <family val="2"/>
      </rPr>
      <t xml:space="preserve">ef,(CS) </t>
    </r>
  </si>
  <si>
    <r>
      <t>f</t>
    </r>
    <r>
      <rPr>
        <vertAlign val="subscript"/>
        <sz val="11"/>
        <rFont val="Calibri"/>
        <family val="2"/>
      </rPr>
      <t>h,CS,k</t>
    </r>
  </si>
  <si>
    <r>
      <t>F</t>
    </r>
    <r>
      <rPr>
        <vertAlign val="subscript"/>
        <sz val="11"/>
        <rFont val="Calibri"/>
        <family val="2"/>
      </rPr>
      <t>v,CS,Rk</t>
    </r>
    <r>
      <rPr>
        <sz val="11"/>
        <rFont val="Calibri"/>
        <family val="2"/>
      </rPr>
      <t xml:space="preserve"> </t>
    </r>
  </si>
  <si>
    <t>WALCO V 60</t>
  </si>
  <si>
    <t>WALCO V 80</t>
  </si>
  <si>
    <t>Z.9.1.716</t>
  </si>
  <si>
    <r>
      <rPr>
        <sz val="11"/>
        <rFont val="Symbol"/>
        <family val="1"/>
        <charset val="2"/>
      </rPr>
      <t>S</t>
    </r>
    <r>
      <rPr>
        <sz val="11"/>
        <rFont val="Calibri"/>
        <family val="2"/>
      </rPr>
      <t xml:space="preserve"> F</t>
    </r>
    <r>
      <rPr>
        <vertAlign val="subscript"/>
        <sz val="11"/>
        <rFont val="Calibri"/>
        <family val="2"/>
      </rPr>
      <t>v,CS,Rk</t>
    </r>
  </si>
  <si>
    <r>
      <t>k</t>
    </r>
    <r>
      <rPr>
        <vertAlign val="subscript"/>
        <sz val="11"/>
        <rFont val="Calibri"/>
        <family val="2"/>
      </rPr>
      <t>H,2</t>
    </r>
    <r>
      <rPr>
        <sz val="11"/>
        <rFont val="Calibri"/>
        <family val="2"/>
      </rPr>
      <t>= k</t>
    </r>
    <r>
      <rPr>
        <vertAlign val="subscript"/>
        <sz val="11"/>
        <rFont val="Calibri"/>
        <family val="2"/>
      </rPr>
      <t>H,3</t>
    </r>
  </si>
  <si>
    <r>
      <t>F</t>
    </r>
    <r>
      <rPr>
        <vertAlign val="subscript"/>
        <sz val="11"/>
        <rFont val="Calibri"/>
        <family val="2"/>
      </rPr>
      <t>3,V,Rk</t>
    </r>
  </si>
  <si>
    <r>
      <t>F</t>
    </r>
    <r>
      <rPr>
        <b/>
        <vertAlign val="subscript"/>
        <sz val="11"/>
        <rFont val="Calibri"/>
        <family val="2"/>
      </rPr>
      <t>3,R,k</t>
    </r>
  </si>
  <si>
    <r>
      <t>Load direction F</t>
    </r>
    <r>
      <rPr>
        <b/>
        <vertAlign val="subscript"/>
        <sz val="18"/>
        <color indexed="8"/>
        <rFont val="Calibri"/>
        <family val="2"/>
      </rPr>
      <t>45</t>
    </r>
    <r>
      <rPr>
        <b/>
        <sz val="18"/>
        <color indexed="8"/>
        <rFont val="Calibri"/>
        <family val="2"/>
      </rPr>
      <t xml:space="preserve"> perpendicular to the direction of insertion</t>
    </r>
  </si>
  <si>
    <r>
      <t>n</t>
    </r>
    <r>
      <rPr>
        <vertAlign val="subscript"/>
        <sz val="11"/>
        <color indexed="8"/>
        <rFont val="Calibri"/>
        <family val="2"/>
      </rPr>
      <t>45</t>
    </r>
  </si>
  <si>
    <r>
      <t>a</t>
    </r>
    <r>
      <rPr>
        <vertAlign val="subscript"/>
        <sz val="11"/>
        <color indexed="8"/>
        <rFont val="Calibri"/>
        <family val="2"/>
      </rPr>
      <t>1</t>
    </r>
  </si>
  <si>
    <r>
      <t>a</t>
    </r>
    <r>
      <rPr>
        <vertAlign val="subscript"/>
        <sz val="11"/>
        <color indexed="8"/>
        <rFont val="Calibri"/>
        <family val="2"/>
      </rPr>
      <t>2</t>
    </r>
  </si>
  <si>
    <r>
      <t>e</t>
    </r>
    <r>
      <rPr>
        <vertAlign val="subscript"/>
        <sz val="11"/>
        <color indexed="8"/>
        <rFont val="Calibri"/>
        <family val="2"/>
      </rPr>
      <t>J,45</t>
    </r>
  </si>
  <si>
    <r>
      <t>F</t>
    </r>
    <r>
      <rPr>
        <vertAlign val="subscript"/>
        <sz val="11"/>
        <color indexed="8"/>
        <rFont val="Calibri"/>
        <family val="2"/>
      </rPr>
      <t>45,J,Rk</t>
    </r>
  </si>
  <si>
    <r>
      <t>a</t>
    </r>
    <r>
      <rPr>
        <vertAlign val="subscript"/>
        <sz val="11"/>
        <color indexed="8"/>
        <rFont val="Calibri"/>
        <family val="2"/>
      </rPr>
      <t xml:space="preserve">1 </t>
    </r>
  </si>
  <si>
    <r>
      <t>k</t>
    </r>
    <r>
      <rPr>
        <vertAlign val="subscript"/>
        <sz val="11"/>
        <color indexed="8"/>
        <rFont val="Calibri"/>
        <family val="2"/>
      </rPr>
      <t>H,45</t>
    </r>
  </si>
  <si>
    <r>
      <t>e</t>
    </r>
    <r>
      <rPr>
        <vertAlign val="subscript"/>
        <sz val="11"/>
        <color indexed="8"/>
        <rFont val="Calibri"/>
        <family val="2"/>
      </rPr>
      <t>H,45</t>
    </r>
  </si>
  <si>
    <r>
      <t>F</t>
    </r>
    <r>
      <rPr>
        <vertAlign val="subscript"/>
        <sz val="11"/>
        <color indexed="8"/>
        <rFont val="Calibri"/>
        <family val="2"/>
      </rPr>
      <t>45,H,Rk</t>
    </r>
  </si>
  <si>
    <r>
      <t xml:space="preserve"> F</t>
    </r>
    <r>
      <rPr>
        <vertAlign val="subscript"/>
        <sz val="11"/>
        <color indexed="8"/>
        <rFont val="Calibri"/>
        <family val="2"/>
      </rPr>
      <t>45,J,Rk</t>
    </r>
  </si>
  <si>
    <r>
      <t>F</t>
    </r>
    <r>
      <rPr>
        <vertAlign val="subscript"/>
        <sz val="11"/>
        <color indexed="8"/>
        <rFont val="Calibri"/>
        <family val="2"/>
      </rPr>
      <t>45,KCC,RK</t>
    </r>
  </si>
  <si>
    <r>
      <t>F</t>
    </r>
    <r>
      <rPr>
        <b/>
        <vertAlign val="subscript"/>
        <sz val="11"/>
        <color indexed="8"/>
        <rFont val="Calibri"/>
        <family val="2"/>
      </rPr>
      <t>45,Rk</t>
    </r>
  </si>
  <si>
    <t>Design values F45,Rd (centric)</t>
  </si>
  <si>
    <r>
      <t>char. Load for reinforcing plate F</t>
    </r>
    <r>
      <rPr>
        <vertAlign val="subscript"/>
        <sz val="11"/>
        <color indexed="8"/>
        <rFont val="Calibri"/>
        <family val="2"/>
      </rPr>
      <t>45,RC,Rk</t>
    </r>
    <r>
      <rPr>
        <sz val="11"/>
        <color theme="1"/>
        <rFont val="Calibri"/>
        <family val="2"/>
        <scheme val="minor"/>
      </rPr>
      <t xml:space="preserve"> =</t>
    </r>
  </si>
  <si>
    <t>kN</t>
  </si>
  <si>
    <r>
      <t>F</t>
    </r>
    <r>
      <rPr>
        <vertAlign val="subscript"/>
        <sz val="11"/>
        <color indexed="8"/>
        <rFont val="Calibri"/>
        <family val="2"/>
      </rPr>
      <t>v,J,mittel,Rk</t>
    </r>
  </si>
  <si>
    <t>Werte sind nicht erforderlich</t>
  </si>
  <si>
    <t>53/2+16+10+s</t>
  </si>
  <si>
    <t>36/2+16+10+s</t>
  </si>
  <si>
    <t>16/2+19+10+S</t>
  </si>
  <si>
    <t>52/2+19+10+S</t>
  </si>
  <si>
    <t>t=53 mm</t>
  </si>
  <si>
    <t>t=36 mm</t>
  </si>
  <si>
    <t>t=16 mm</t>
  </si>
  <si>
    <t>t=52 mm</t>
  </si>
  <si>
    <r>
      <t>a</t>
    </r>
    <r>
      <rPr>
        <vertAlign val="subscript"/>
        <sz val="11"/>
        <color indexed="8"/>
        <rFont val="Calibri"/>
        <family val="2"/>
      </rPr>
      <t>2</t>
    </r>
    <r>
      <rPr>
        <sz val="11"/>
        <color indexed="8"/>
        <rFont val="Calibri"/>
        <family val="2"/>
      </rPr>
      <t/>
    </r>
  </si>
  <si>
    <r>
      <t>F</t>
    </r>
    <r>
      <rPr>
        <vertAlign val="subscript"/>
        <sz val="11"/>
        <color indexed="8"/>
        <rFont val="Calibri"/>
        <family val="2"/>
      </rPr>
      <t>45,J,Rk</t>
    </r>
    <r>
      <rPr>
        <sz val="11"/>
        <color theme="1"/>
        <rFont val="Calibri"/>
        <family val="2"/>
        <scheme val="minor"/>
      </rPr>
      <t xml:space="preserve"> </t>
    </r>
  </si>
  <si>
    <r>
      <t>e</t>
    </r>
    <r>
      <rPr>
        <vertAlign val="subscript"/>
        <sz val="11"/>
        <color indexed="8"/>
        <rFont val="Calibri"/>
        <family val="2"/>
      </rPr>
      <t>J,45,max</t>
    </r>
  </si>
  <si>
    <r>
      <t>F</t>
    </r>
    <r>
      <rPr>
        <vertAlign val="subscript"/>
        <sz val="11"/>
        <color indexed="8"/>
        <rFont val="Calibri"/>
        <family val="2"/>
      </rPr>
      <t>45,J,min,Rk</t>
    </r>
    <r>
      <rPr>
        <sz val="11"/>
        <color theme="1"/>
        <rFont val="Calibri"/>
        <family val="2"/>
        <scheme val="minor"/>
      </rPr>
      <t xml:space="preserve"> </t>
    </r>
  </si>
  <si>
    <t>s</t>
  </si>
  <si>
    <r>
      <t>e</t>
    </r>
    <r>
      <rPr>
        <vertAlign val="subscript"/>
        <sz val="11"/>
        <color indexed="8"/>
        <rFont val="Calibri"/>
        <family val="2"/>
      </rPr>
      <t>H,45,max</t>
    </r>
  </si>
  <si>
    <r>
      <t>F</t>
    </r>
    <r>
      <rPr>
        <vertAlign val="subscript"/>
        <sz val="11"/>
        <color indexed="8"/>
        <rFont val="Calibri"/>
        <family val="2"/>
      </rPr>
      <t>v,H,mittel,Rk</t>
    </r>
  </si>
  <si>
    <t>ESCO/RP-Tec</t>
  </si>
  <si>
    <t>Schüco</t>
  </si>
  <si>
    <r>
      <t>F</t>
    </r>
    <r>
      <rPr>
        <vertAlign val="subscript"/>
        <sz val="11"/>
        <color indexed="8"/>
        <rFont val="Calibri"/>
        <family val="2"/>
      </rPr>
      <t>ax,H,mittel,RK</t>
    </r>
  </si>
  <si>
    <r>
      <t>F</t>
    </r>
    <r>
      <rPr>
        <vertAlign val="subscript"/>
        <sz val="11"/>
        <color indexed="8"/>
        <rFont val="Calibri"/>
        <family val="2"/>
      </rPr>
      <t>45,H,Rk</t>
    </r>
    <r>
      <rPr>
        <sz val="11"/>
        <color theme="1"/>
        <rFont val="Calibri"/>
        <family val="2"/>
        <scheme val="minor"/>
      </rPr>
      <t xml:space="preserve"> </t>
    </r>
  </si>
  <si>
    <r>
      <t>F</t>
    </r>
    <r>
      <rPr>
        <vertAlign val="subscript"/>
        <sz val="11"/>
        <color indexed="8"/>
        <rFont val="Calibri"/>
        <family val="2"/>
      </rPr>
      <t>45,H,min,Rk</t>
    </r>
    <r>
      <rPr>
        <sz val="11"/>
        <color theme="1"/>
        <rFont val="Calibri"/>
        <family val="2"/>
        <scheme val="minor"/>
      </rPr>
      <t xml:space="preserve"> </t>
    </r>
  </si>
  <si>
    <t>without reinforcing plate and e=0 mm</t>
  </si>
  <si>
    <t>glass load without
reinforcing plate and emax</t>
  </si>
  <si>
    <t>glass load with
reinforcing plate and emax</t>
  </si>
  <si>
    <t>Design values F45,Rd (eccentric Glassloads)</t>
  </si>
  <si>
    <r>
      <t>F</t>
    </r>
    <r>
      <rPr>
        <b/>
        <vertAlign val="subscript"/>
        <sz val="11"/>
        <color indexed="8"/>
        <rFont val="Calibri"/>
        <family val="2"/>
      </rPr>
      <t>45,min,Rk</t>
    </r>
  </si>
  <si>
    <r>
      <t>F</t>
    </r>
    <r>
      <rPr>
        <b/>
        <vertAlign val="subscript"/>
        <sz val="11"/>
        <color indexed="8"/>
        <rFont val="Calibri"/>
        <family val="2"/>
      </rPr>
      <t>45,max,Rk</t>
    </r>
  </si>
  <si>
    <t>without reinf. Plate</t>
  </si>
  <si>
    <t>with reinf. Plate</t>
  </si>
  <si>
    <t>Total glass load [kg]</t>
  </si>
  <si>
    <t>without
reinf. Plate</t>
  </si>
  <si>
    <t>with
reinf. Plate</t>
  </si>
  <si>
    <t>Glasstärke t=</t>
  </si>
  <si>
    <t>eh =</t>
  </si>
  <si>
    <t>(16 mm Dichtung Esco-RP-Tec)</t>
  </si>
  <si>
    <r>
      <t>F</t>
    </r>
    <r>
      <rPr>
        <vertAlign val="subscript"/>
        <sz val="11"/>
        <color indexed="8"/>
        <rFont val="Calibri"/>
        <family val="2"/>
      </rPr>
      <t>4,eccentric,Rd</t>
    </r>
    <r>
      <rPr>
        <sz val="11"/>
        <color theme="1"/>
        <rFont val="Calibri"/>
        <family val="2"/>
        <scheme val="minor"/>
      </rPr>
      <t xml:space="preserve"> for glass thickness t = 65 mm</t>
    </r>
  </si>
  <si>
    <t>without reinforcing plate</t>
  </si>
  <si>
    <r>
      <t>F</t>
    </r>
    <r>
      <rPr>
        <vertAlign val="subscript"/>
        <sz val="11"/>
        <color indexed="8"/>
        <rFont val="Calibri"/>
        <family val="2"/>
      </rPr>
      <t>45,min,Rk</t>
    </r>
  </si>
  <si>
    <r>
      <t>K</t>
    </r>
    <r>
      <rPr>
        <vertAlign val="subscript"/>
        <sz val="11"/>
        <color indexed="8"/>
        <rFont val="Calibri"/>
        <family val="2"/>
      </rPr>
      <t>eccentric</t>
    </r>
  </si>
  <si>
    <t>e</t>
  </si>
  <si>
    <r>
      <t>k</t>
    </r>
    <r>
      <rPr>
        <vertAlign val="subscript"/>
        <sz val="11"/>
        <color indexed="8"/>
        <rFont val="Calibri"/>
        <family val="2"/>
      </rPr>
      <t>e</t>
    </r>
  </si>
  <si>
    <r>
      <t>F</t>
    </r>
    <r>
      <rPr>
        <vertAlign val="subscript"/>
        <sz val="11"/>
        <color indexed="8"/>
        <rFont val="Calibri"/>
        <family val="2"/>
      </rPr>
      <t>4,eccentric,Rk</t>
    </r>
  </si>
  <si>
    <t>without 
reinf. Plate</t>
  </si>
  <si>
    <t>with 
reinf. Plate</t>
  </si>
  <si>
    <t>RICON 60/40</t>
  </si>
  <si>
    <t>RICON 80/40</t>
  </si>
  <si>
    <t>RICON 100/40</t>
  </si>
  <si>
    <t>RICON 120/40</t>
  </si>
  <si>
    <t>RICON 140/40</t>
  </si>
  <si>
    <t>RICON 160/40</t>
  </si>
  <si>
    <t>Double RICON 80/40</t>
  </si>
  <si>
    <t>Double RICON 100/40</t>
  </si>
  <si>
    <t>Double RICON 120/40</t>
  </si>
  <si>
    <t>Double RICON 140/40</t>
  </si>
  <si>
    <t>Double RICON 160/40</t>
  </si>
  <si>
    <t>Schüco Glaslasten</t>
  </si>
  <si>
    <t>(19 mm Dichtung, Schüco)</t>
  </si>
  <si>
    <r>
      <t>F</t>
    </r>
    <r>
      <rPr>
        <vertAlign val="subscript"/>
        <sz val="11"/>
        <color indexed="8"/>
        <rFont val="Calibri"/>
        <family val="2"/>
      </rPr>
      <t>4,eccentric,Rd</t>
    </r>
    <r>
      <rPr>
        <sz val="11"/>
        <color theme="1"/>
        <rFont val="Calibri"/>
        <family val="2"/>
        <scheme val="minor"/>
      </rPr>
      <t xml:space="preserve"> for glass thickness t &gt; 53 mm</t>
    </r>
  </si>
  <si>
    <t>with reinforcing plate</t>
  </si>
  <si>
    <t>kmod</t>
  </si>
  <si>
    <r>
      <t>F</t>
    </r>
    <r>
      <rPr>
        <vertAlign val="subscript"/>
        <sz val="11"/>
        <color indexed="8"/>
        <rFont val="Calibri"/>
        <family val="2"/>
      </rPr>
      <t>v,mittel,J,Rk</t>
    </r>
  </si>
  <si>
    <r>
      <t>F</t>
    </r>
    <r>
      <rPr>
        <vertAlign val="subscript"/>
        <sz val="11"/>
        <color indexed="8"/>
        <rFont val="Calibri"/>
        <family val="2"/>
      </rPr>
      <t>v,mittel,H,Rk</t>
    </r>
  </si>
  <si>
    <r>
      <t>F</t>
    </r>
    <r>
      <rPr>
        <vertAlign val="subscript"/>
        <sz val="11"/>
        <color indexed="8"/>
        <rFont val="Calibri"/>
        <family val="2"/>
      </rPr>
      <t>ax</t>
    </r>
    <r>
      <rPr>
        <vertAlign val="subscript"/>
        <sz val="11"/>
        <color indexed="8"/>
        <rFont val="Calibri"/>
        <family val="2"/>
      </rPr>
      <t>,H,mittel,Rk</t>
    </r>
  </si>
  <si>
    <r>
      <t>k</t>
    </r>
    <r>
      <rPr>
        <vertAlign val="subscript"/>
        <sz val="11"/>
        <color indexed="8"/>
        <rFont val="Calibri"/>
        <family val="2"/>
      </rPr>
      <t>H,45</t>
    </r>
    <r>
      <rPr>
        <sz val="11"/>
        <color indexed="8"/>
        <rFont val="Calibri"/>
        <family val="2"/>
      </rPr>
      <t/>
    </r>
  </si>
  <si>
    <r>
      <t>F</t>
    </r>
    <r>
      <rPr>
        <vertAlign val="subscript"/>
        <sz val="11"/>
        <color indexed="8"/>
        <rFont val="Calibri"/>
        <family val="2"/>
      </rPr>
      <t>45</t>
    </r>
    <r>
      <rPr>
        <vertAlign val="subscript"/>
        <sz val="11"/>
        <color indexed="8"/>
        <rFont val="Calibri"/>
        <family val="2"/>
      </rPr>
      <t>,H,Rk</t>
    </r>
  </si>
  <si>
    <r>
      <t>F</t>
    </r>
    <r>
      <rPr>
        <b/>
        <vertAlign val="subscript"/>
        <sz val="11"/>
        <color indexed="8"/>
        <rFont val="Calibri"/>
        <family val="2"/>
      </rPr>
      <t>45,R,k</t>
    </r>
  </si>
  <si>
    <t>140/60 VK</t>
  </si>
  <si>
    <t>140/60 EK+GK</t>
  </si>
  <si>
    <t>170/60 VK</t>
  </si>
  <si>
    <t>170/60 EK+GK</t>
  </si>
  <si>
    <t>200/60 VK</t>
  </si>
  <si>
    <t>200/60 EK+GK</t>
  </si>
  <si>
    <t>WALCO V 60  Vers. 1-2 60</t>
  </si>
  <si>
    <t>für 60 mm Holz</t>
  </si>
  <si>
    <t>WALCO V 60  Vers. 1-2 45</t>
  </si>
  <si>
    <t>für 45 mm Holz</t>
  </si>
  <si>
    <t>WALCO V 60 Vers. 3,6</t>
  </si>
  <si>
    <t>WALCO V 60 Vers. 4-5</t>
  </si>
  <si>
    <t>WALCO V 80 Vers 1-3 60</t>
  </si>
  <si>
    <t>WALCO V 80 Vers 1-3 61</t>
  </si>
  <si>
    <t>WALCO V 80 Vers 1-3 45</t>
  </si>
  <si>
    <t>WALCO V 80 Vers 1-3 60 VK</t>
  </si>
  <si>
    <t>WALCO V 80 Vers 4-5</t>
  </si>
  <si>
    <t>WALCO V 80 Vers 6</t>
  </si>
  <si>
    <t>WALCO V 60  Vers. 1-2</t>
  </si>
  <si>
    <t>für 60+45 mm Holz</t>
  </si>
  <si>
    <t>230/60 VK</t>
  </si>
  <si>
    <t>230/60 EK+GK</t>
  </si>
  <si>
    <r>
      <t>F</t>
    </r>
    <r>
      <rPr>
        <vertAlign val="subscript"/>
        <sz val="11"/>
        <color indexed="8"/>
        <rFont val="Calibri"/>
        <family val="2"/>
      </rPr>
      <t>V,Rk</t>
    </r>
  </si>
  <si>
    <t>F45,Rd</t>
  </si>
  <si>
    <t>Abminder-ungsfaktor f45</t>
  </si>
  <si>
    <t>Walvo V80, Fall 1, 2</t>
  </si>
  <si>
    <t>kmod =0,9</t>
  </si>
  <si>
    <t>200/80 VK</t>
  </si>
  <si>
    <t>200/80 EK+GK</t>
  </si>
  <si>
    <t>Walvo V80, Fall 3</t>
  </si>
  <si>
    <t>WALCO V80 L Version 1</t>
  </si>
  <si>
    <t>Walvo V80, Fall 4, 5</t>
  </si>
  <si>
    <t>230/80 VK</t>
  </si>
  <si>
    <t>230/80 EK+GK</t>
  </si>
  <si>
    <t>Walvo V80, Fall 6</t>
  </si>
  <si>
    <t>260/80 VK</t>
  </si>
  <si>
    <t>260/80 EK+GK</t>
  </si>
  <si>
    <t>290/80 VK</t>
  </si>
  <si>
    <t>290/80 EK+GK</t>
  </si>
  <si>
    <t>RICON S VS Connector</t>
  </si>
  <si>
    <t>charateristic density rk =</t>
  </si>
  <si>
    <r>
      <t>F</t>
    </r>
    <r>
      <rPr>
        <vertAlign val="subscript"/>
        <sz val="11"/>
        <color indexed="8"/>
        <rFont val="Calibri"/>
        <family val="2"/>
      </rPr>
      <t>ax,J,RK1</t>
    </r>
  </si>
  <si>
    <r>
      <t>F</t>
    </r>
    <r>
      <rPr>
        <vertAlign val="subscript"/>
        <sz val="11"/>
        <color indexed="8"/>
        <rFont val="Calibri"/>
        <family val="2"/>
      </rPr>
      <t>v,J,Rk1</t>
    </r>
    <r>
      <rPr>
        <sz val="11"/>
        <color theme="1"/>
        <rFont val="Calibri"/>
        <family val="2"/>
        <scheme val="minor"/>
      </rPr>
      <t xml:space="preserve"> </t>
    </r>
  </si>
  <si>
    <t>RICON S 140/60 VS min</t>
  </si>
  <si>
    <t>RICON S 140/60 VS max</t>
  </si>
  <si>
    <t>RICON S 200/60 VS min</t>
  </si>
  <si>
    <t>RICON S 200/60 VS max</t>
  </si>
  <si>
    <t>RICON S 200/80 VS min</t>
  </si>
  <si>
    <t>RICON S 200/80 VS max</t>
  </si>
  <si>
    <t>RICON S 290/80 VS min</t>
  </si>
  <si>
    <t>RICON S 290/80 VS max</t>
  </si>
  <si>
    <r>
      <t>F</t>
    </r>
    <r>
      <rPr>
        <vertAlign val="subscript"/>
        <sz val="11"/>
        <color indexed="8"/>
        <rFont val="Calibri"/>
        <family val="2"/>
      </rPr>
      <t>ax,H,RK1</t>
    </r>
  </si>
  <si>
    <r>
      <t>F</t>
    </r>
    <r>
      <rPr>
        <vertAlign val="subscript"/>
        <sz val="11"/>
        <color indexed="8"/>
        <rFont val="Calibri"/>
        <family val="2"/>
      </rPr>
      <t>v,H,Rk</t>
    </r>
    <r>
      <rPr>
        <sz val="11"/>
        <color theme="1"/>
        <rFont val="Calibri"/>
        <family val="2"/>
        <scheme val="minor"/>
      </rPr>
      <t>1</t>
    </r>
  </si>
  <si>
    <r>
      <t>Centric and eccentric load F</t>
    </r>
    <r>
      <rPr>
        <b/>
        <vertAlign val="subscript"/>
        <sz val="18"/>
        <color indexed="8"/>
        <rFont val="Myriad Pro"/>
        <family val="2"/>
      </rPr>
      <t>45</t>
    </r>
    <r>
      <rPr>
        <b/>
        <sz val="18"/>
        <color indexed="8"/>
        <rFont val="Myriad Pro"/>
        <family val="2"/>
      </rPr>
      <t xml:space="preserve"> - perpendicular to the direction of insertion</t>
    </r>
  </si>
  <si>
    <t>Design value F45,Rd centric</t>
  </si>
  <si>
    <t>Screw length</t>
  </si>
  <si>
    <t>Header [mm]</t>
  </si>
  <si>
    <t>Joist [mm]</t>
  </si>
  <si>
    <t>RICON S 140/60 VS min
H: 10 SK 8x80; J: 10 SK 8x160</t>
  </si>
  <si>
    <t>RICON S 140/60 VS max
H: 10 SK 8x80; J: 10 SK 8x240</t>
  </si>
  <si>
    <t>RICON S 200/60 VS min
H: 16 SK 8x80; J: 16 SK 8x160</t>
  </si>
  <si>
    <t>RICON S 200/60 VS max
H: 16 SK 8x80; J: 16 SK 8x240</t>
  </si>
  <si>
    <t>GL30h</t>
  </si>
  <si>
    <t>RICON S 200/80 VS min
H: 16 SK 10x100; J: 16 SK10x200</t>
  </si>
  <si>
    <t>GL32c</t>
  </si>
  <si>
    <t>RICON S 200/80 VS max
H: 16 SK 10x100; J: 16 SK10x300</t>
  </si>
  <si>
    <t>GL32h</t>
  </si>
  <si>
    <t>RICON S 290/80 VS min
H: 25 SK 10x100; J: 25 SK10x200</t>
  </si>
  <si>
    <t>RICON S 290/80 VS max
H: 25 SK 10x100; J: 25 SK10x300</t>
  </si>
  <si>
    <t>RICON S 390/80 VS + ZP min
H: 28 SK 10x100; J: 28 SK 10x200</t>
  </si>
  <si>
    <t>RICON S 390/80 VS + ZP max
H: 28 SK 10x100; + 2 SK 10x400 
J: 28 SK 10x300 + 2 SK 10x450</t>
  </si>
  <si>
    <r>
      <t xml:space="preserve">Winkel </t>
    </r>
    <r>
      <rPr>
        <sz val="11"/>
        <color theme="1"/>
        <rFont val="Symbol"/>
        <family val="1"/>
        <charset val="2"/>
      </rPr>
      <t>a</t>
    </r>
    <r>
      <rPr>
        <sz val="11"/>
        <color theme="1"/>
        <rFont val="Calibri"/>
        <family val="2"/>
        <scheme val="minor"/>
      </rPr>
      <t>=</t>
    </r>
  </si>
  <si>
    <t>kax =</t>
  </si>
  <si>
    <r>
      <t xml:space="preserve">charateristic density </t>
    </r>
    <r>
      <rPr>
        <sz val="11"/>
        <color theme="1"/>
        <rFont val="Symbol"/>
        <family val="1"/>
        <charset val="2"/>
      </rPr>
      <t>r</t>
    </r>
    <r>
      <rPr>
        <sz val="11"/>
        <color theme="1"/>
        <rFont val="Calibri"/>
        <family val="2"/>
        <scheme val="minor"/>
      </rPr>
      <t>k =</t>
    </r>
  </si>
  <si>
    <r>
      <t>= n^0,9 x F</t>
    </r>
    <r>
      <rPr>
        <vertAlign val="subscript"/>
        <sz val="11"/>
        <color indexed="8"/>
        <rFont val="Calibri"/>
        <family val="2"/>
      </rPr>
      <t>v,J,RK</t>
    </r>
  </si>
  <si>
    <t>RICON S 390/80 VS + ZP min</t>
  </si>
  <si>
    <t>RICON S 390/80 VS + ZP max</t>
  </si>
  <si>
    <r>
      <t>= n^0,9 x F</t>
    </r>
    <r>
      <rPr>
        <vertAlign val="subscript"/>
        <sz val="11"/>
        <color indexed="8"/>
        <rFont val="Calibri"/>
        <family val="2"/>
      </rPr>
      <t>H,J,RK</t>
    </r>
  </si>
  <si>
    <t>Design value F2,Rd [kN]</t>
  </si>
  <si>
    <t>RICON S 390/80 VS + ZP max
H: 28 SK 10x100; + 2 SK 10x400 
J: 28 SK 10x200 + 2 SK 10x450</t>
  </si>
  <si>
    <t>F2,IS,Rk =</t>
  </si>
  <si>
    <t>Screwing Joist</t>
  </si>
  <si>
    <t>Joist: 10 SK 8x160</t>
  </si>
  <si>
    <t>Joist: 10 SK 8x240</t>
  </si>
  <si>
    <t>Joist: 16 SK 8x160</t>
  </si>
  <si>
    <t>Joist: 16 SK 8x240</t>
  </si>
  <si>
    <t>Joist: 16 SK 10x200</t>
  </si>
  <si>
    <t>Joist: 16 SK 10x300</t>
  </si>
  <si>
    <t>Joist: 25 SK 10x200</t>
  </si>
  <si>
    <t>Joist: 25 SK 10x300</t>
  </si>
  <si>
    <t>Joist: 28 SK 10x200</t>
  </si>
  <si>
    <t>Joist: 28 SK 10x300
+2 SK10x450</t>
  </si>
  <si>
    <t>Screwing Header</t>
  </si>
  <si>
    <t>Joist: 10 SK 8x80</t>
  </si>
  <si>
    <t>Joist: 16 SK 8x80</t>
  </si>
  <si>
    <t>Joist: 16 SK 10x100</t>
  </si>
  <si>
    <t>Joist: 25 SK 10x100</t>
  </si>
  <si>
    <t>Joist: 28 SK 10x100</t>
  </si>
  <si>
    <t>Joist: 28 SK 10x100
+2 SK10x400</t>
  </si>
  <si>
    <r>
      <t>Load direction F</t>
    </r>
    <r>
      <rPr>
        <b/>
        <vertAlign val="subscript"/>
        <sz val="18"/>
        <color indexed="8"/>
        <rFont val="Calibri"/>
        <family val="2"/>
      </rPr>
      <t>1</t>
    </r>
    <r>
      <rPr>
        <b/>
        <sz val="18"/>
        <color indexed="8"/>
        <rFont val="Calibri"/>
        <family val="2"/>
      </rPr>
      <t xml:space="preserve"> perpendicular to the connector plate </t>
    </r>
  </si>
  <si>
    <r>
      <t>F</t>
    </r>
    <r>
      <rPr>
        <vertAlign val="subscript"/>
        <sz val="11"/>
        <color indexed="8"/>
        <rFont val="Calibri"/>
        <family val="2"/>
      </rPr>
      <t xml:space="preserve">t,Rk </t>
    </r>
  </si>
  <si>
    <t>Stainless steel</t>
  </si>
  <si>
    <r>
      <rPr>
        <sz val="11"/>
        <color theme="1"/>
        <rFont val="Symbol"/>
        <family val="1"/>
        <charset val="2"/>
      </rPr>
      <t>g</t>
    </r>
    <r>
      <rPr>
        <sz val="11"/>
        <color theme="1"/>
        <rFont val="Calibri"/>
        <family val="2"/>
        <scheme val="minor"/>
      </rPr>
      <t>M =</t>
    </r>
  </si>
  <si>
    <t>Walco V60/ WALCO 60 VK</t>
  </si>
  <si>
    <t>Walco V80/ WALCO 80 VK</t>
  </si>
  <si>
    <t>Walco V60/ WALCO 60 VS</t>
  </si>
  <si>
    <t>Walco V80/ WALCO 80 VS</t>
  </si>
  <si>
    <t>stainless steel</t>
  </si>
  <si>
    <r>
      <t>F</t>
    </r>
    <r>
      <rPr>
        <vertAlign val="subscript"/>
        <sz val="11"/>
        <rFont val="Calibri"/>
        <family val="2"/>
      </rPr>
      <t>3,KCC,Rk</t>
    </r>
    <r>
      <rPr>
        <sz val="11"/>
        <rFont val="Calibri"/>
        <family val="2"/>
      </rPr>
      <t xml:space="preserve"> </t>
    </r>
  </si>
  <si>
    <r>
      <t>F</t>
    </r>
    <r>
      <rPr>
        <vertAlign val="subscript"/>
        <sz val="11"/>
        <rFont val="Calibri"/>
        <family val="2"/>
      </rPr>
      <t>3,KCC,Rd</t>
    </r>
    <r>
      <rPr>
        <sz val="11"/>
        <rFont val="Calibri"/>
        <family val="2"/>
      </rPr>
      <t xml:space="preserve"> </t>
    </r>
  </si>
  <si>
    <t>1 Stirrup</t>
  </si>
  <si>
    <t>2 Stirrups</t>
  </si>
  <si>
    <t>RICON 40er A2 Version</t>
  </si>
  <si>
    <t>RICON 30er A2 Version</t>
  </si>
  <si>
    <t>RICON 20er A2 Version</t>
  </si>
  <si>
    <t>RICON 16er A2 Version</t>
  </si>
  <si>
    <r>
      <rPr>
        <sz val="11"/>
        <rFont val="Symbol"/>
        <family val="1"/>
        <charset val="2"/>
      </rPr>
      <t>g</t>
    </r>
    <r>
      <rPr>
        <vertAlign val="subscript"/>
        <sz val="11"/>
        <rFont val="Calibri"/>
        <family val="2"/>
        <scheme val="minor"/>
      </rPr>
      <t>M</t>
    </r>
    <r>
      <rPr>
        <sz val="11"/>
        <rFont val="Calibri"/>
        <family val="2"/>
        <scheme val="minor"/>
      </rPr>
      <t xml:space="preserve"> =</t>
    </r>
  </si>
  <si>
    <t>WALCO V60  / WALCO 60 VS</t>
  </si>
  <si>
    <t>WALCO V80  / WALCO 80 VS</t>
  </si>
  <si>
    <t>kax=</t>
  </si>
  <si>
    <t>RICON 60/40 carbon
H: 1xSK8x50, 2xSK5x50
J: 1xSK8x80; 2xSK5x80</t>
  </si>
  <si>
    <t>RICON 100/40 carbon
H: 2xSK8x50, 4xSK5x50
J: 2xSK8x80; 4xSK5x82</t>
  </si>
  <si>
    <t>RICON 140/40 carbon
H: 2xSK8x50, 8xSK5x50
J: 2xSK8x80; 8xSK5x80</t>
  </si>
  <si>
    <t>RICON 120/40 carbon
H: 2xSK8x50, 6xSK5x50
J: 2xSK8x80; 6xSK5x80</t>
  </si>
  <si>
    <t>RICON 80/40 carbon
H: 2xSK8x50, 2xSK5x50
J: 2xSK8x80; 2xSK5x80</t>
  </si>
  <si>
    <t>RICON 160/40 carbon
H: 2xSK8x50, 10xSK5x50
J: 2xSK8x80; 10xSK5x80</t>
  </si>
  <si>
    <t>RICON 140/40 SL carbon
H: 2xSK8x50, 8xSK5x50
J: 2xSK8x160; 8xSK5x80</t>
  </si>
  <si>
    <t>RICON 160/40 SL carbon
H: 2xSK8x50, 10xSK5x50
J: 2xSK8x160; 10xSK5x80</t>
  </si>
  <si>
    <t>Double RICON 80/40 carbon
H: 3x8x50; 4xSK5x50
J: 3xSK8x80; 4xSK5x80</t>
  </si>
  <si>
    <t>Double RICON 100/40 carbon
H: 3x8x50; 8xSK5x50
J: 3xSK8x80; 8xSK5x80</t>
  </si>
  <si>
    <t>Double RICON 120/40 carbon
H: 3x8x50; 12xSK5x50
J: 3xSK8x80; 12xSK5x80</t>
  </si>
  <si>
    <t>Double RICON 140/40 carbon
H: 3x8x50; 16xSK5x50
J: 3xSK8x80; 16xSK5x80</t>
  </si>
  <si>
    <t>Double RICON 160/40 carbon
H: 3x8x50; 20xSK5x50
J: 3xSK8x80; 20xSK5x80</t>
  </si>
  <si>
    <t>GIGANT 150/40
H: 4xSK10x80; 
J: 4xSK10x120</t>
  </si>
  <si>
    <t>GIGANT 120/40
H: 3xSK10x80 
J: 3xSK10x120</t>
  </si>
  <si>
    <t>GIGANT 180/40
H: 6xSK10x80 
J: 6xSK10x120</t>
  </si>
  <si>
    <t>GIGANT 120/40
H: 3xSK10x80
J: 3xSK8x120</t>
  </si>
  <si>
    <t>GIGANT 150/40 
without clip lock
H: 4xSK10x80
J: 4xSK10x120</t>
  </si>
  <si>
    <t>GIGANT 150/40 
with clip lock
H: 4xSK10x80
J: 4xSK10x120</t>
  </si>
  <si>
    <t>GIGANT 180/40 
without clip lock
H: 6xSK10x80
J: 6xSK10x120</t>
  </si>
  <si>
    <t>GIGANT 150/40 
with clip lock
H: 6xSK10x80
J: 5xSK10x120</t>
  </si>
  <si>
    <t>RICON S 140/60 EK min
H: 10 SK 8x80; J: 10 SK 8x160</t>
  </si>
  <si>
    <t>WALCO V Connector</t>
  </si>
  <si>
    <t>RICON S 140/60 EK max
H: 10 SK 8x80; J: 10 SK 8x240</t>
  </si>
  <si>
    <t>RICON S 200/60 EK min
H: 16 SK 8x80; J: 16 SK 8x160</t>
  </si>
  <si>
    <t>RICON S 200/60 EK max
H: 16 SK 8x80; J: 16 SK 8x240</t>
  </si>
  <si>
    <t>RICON S 290/80 EK 
H: 25 SK 10x100; J: 25 SK10x200</t>
  </si>
  <si>
    <t>RICON S 200/80 EK 
H: 16 SK 10x100; J: 16 SK10x200</t>
  </si>
  <si>
    <r>
      <t>= n^0,9 x F</t>
    </r>
    <r>
      <rPr>
        <vertAlign val="subscript"/>
        <sz val="11"/>
        <color theme="1"/>
        <rFont val="Calibri"/>
        <family val="2"/>
        <scheme val="minor"/>
      </rPr>
      <t>v,</t>
    </r>
    <r>
      <rPr>
        <vertAlign val="subscript"/>
        <sz val="11"/>
        <color indexed="8"/>
        <rFont val="Calibri"/>
        <family val="2"/>
      </rPr>
      <t>H,RK</t>
    </r>
  </si>
  <si>
    <t>RICON 60/40 A2
H: 1xSK 8x50, 2xSK5x50
J: 1xSK8x80; 2xSK5x80</t>
  </si>
  <si>
    <t>RICON 80/40 A2
H: 2xSK 8x50, 2xSK5x50
J: 2xSK8x80; 2xSK5x80</t>
  </si>
  <si>
    <t>RICON 100/40 A2
H: 2xSK 8x50, 4xSK5x50
J: 2xSK8x80; 4xSK5x80</t>
  </si>
  <si>
    <t>RICON 120/40 A2
H: 2xSK 8x50, 6xSK5x50
J: 2xSK8x80; 6xSK5x80</t>
  </si>
  <si>
    <t>RICON 140/40 A2
H: 2xSK 8x50, 8xSK5x50
J: 2xSK8x80; 8xSK5x80</t>
  </si>
  <si>
    <t>RICON 160/40 A2
H: 2xSK 8x50, 10xSK5x50
J: 2xSK8x80; 10xSK5x80</t>
  </si>
  <si>
    <t>Double RICON 80/40 A2
H: 3xSK 8x50; 4xSK5x50
J: 3xSK8x80; 4xSK5x80</t>
  </si>
  <si>
    <t>Double RICON 100/40 A2
H: 3xSK 8x50; 8xSK5x50
J: 3xSK8x80; 8xSK5x80</t>
  </si>
  <si>
    <t>Double RICON 120/40 A2
H: 3xSK 8x50; 12xSK5x50
J: 3xSK8x80; 12xSK5x80</t>
  </si>
  <si>
    <t>Double RICON 140/40 A2
H: 3xSK 8x50; 16xSK5x50
J: 3xSK8x80; 16xSK5x80</t>
  </si>
  <si>
    <t>Double RICON 160/40 A2
H: 3xSK 8x50; 20xSK5x50
J: 3xSK8x80; 20xSK5x80</t>
  </si>
  <si>
    <t>RICON 60/30 A2
H: 1xSK 8x50, 2xSK5x50
J: 1xSK8x80; 2xSK5x80</t>
  </si>
  <si>
    <t>RICON 80/30 A2
H: 2xSK 8x50, 2xSK5x50
J: 2xSK8x80; 2xSK5x80</t>
  </si>
  <si>
    <t>RICON 100/30 A2
H: 2xSK 8x50, 4xSK5x50
J: 2xSK8x80; 4xSK5x80</t>
  </si>
  <si>
    <t>RICON 120/30 A2
H: 2xSK 8x50, 6xSK5x50
J: 2xSK8x80; 6xSK5x80</t>
  </si>
  <si>
    <t>RICON 140/30 A2
H: 2xSK 8x50, 8xSK5x50
J: 2xSK8x80; 8xSK5x80</t>
  </si>
  <si>
    <t>RICON 160/30 A2
H: 2xSK 8x50, 10xSK5x50
J: 2xSK8x80; 10xSK5x80</t>
  </si>
  <si>
    <t>Double RICON 80/30 A2
H: 3xSK 8x50; 4xSK5x50
J: 3xSK8x80; 4xSK5x80</t>
  </si>
  <si>
    <t>Double RICON 100/30 A2
H: 3xSK 8x50; 8xSK5x50
J: 3xSK8x80; 8xSK5x80</t>
  </si>
  <si>
    <t>Double RICON 120/30 A2
H: 3xSK 8x50; 12xSK5x50
J: 3xSK8x80; 12xSK5x80</t>
  </si>
  <si>
    <t>Double RICON 140/30 A2
H: 3xSK 8x50; 16xSK5x50
J: 3xSK8x80; 16xSK5x80</t>
  </si>
  <si>
    <t>Double RICON 160/30 A2
H: 3xSK 8x50; 20xSK5x50
J: 3xSK8x80; 20xSK5x80</t>
  </si>
  <si>
    <t>RICON 70/20 A2
H: 3xSK5x50
J: 3xSK5x80</t>
  </si>
  <si>
    <t>RICON 66/16 A2
H: 3xSK5x50
J: 3xSK5x80</t>
  </si>
  <si>
    <r>
      <rPr>
        <sz val="11"/>
        <color theme="1"/>
        <rFont val="Symbol"/>
        <family val="1"/>
        <charset val="2"/>
      </rPr>
      <t>= g</t>
    </r>
    <r>
      <rPr>
        <sz val="11"/>
        <color theme="1"/>
        <rFont val="Calibri"/>
        <family val="2"/>
        <scheme val="minor"/>
      </rPr>
      <t xml:space="preserve">M </t>
    </r>
  </si>
  <si>
    <t>RICON :</t>
  </si>
  <si>
    <t>F2,KKC,RK</t>
  </si>
  <si>
    <t>F2,Rk</t>
  </si>
  <si>
    <t>Knapp Verbinder</t>
  </si>
  <si>
    <t>Char.  Werte [kN]</t>
  </si>
  <si>
    <t>GIGANT:</t>
  </si>
  <si>
    <t>RICON Edelstahl:</t>
  </si>
  <si>
    <t>Edelstahl</t>
  </si>
  <si>
    <t>Normalstahl</t>
  </si>
  <si>
    <t>RICON S EK</t>
  </si>
  <si>
    <t>RICON S VS</t>
  </si>
  <si>
    <t xml:space="preserve">Belastungswerte F2,Rd für GL24h [kN] </t>
  </si>
  <si>
    <t>RICON S 290/80 EK 
H: 20 SK 10x100; J: 20 SK10x200</t>
  </si>
  <si>
    <t>Belastungstabelle von KNAPP RICON, GIGANT und RICON S nach zukünftiger 
ETA 10-0189 (Gutachten Blaß vom 26.7.2018)</t>
  </si>
  <si>
    <t>RICON 60/40
H: 1xSK8x50, 2xSK5x50
J: 1xSK8x80; 2xSK5x80</t>
  </si>
  <si>
    <t>RICON 80/40 
H: 2xSK8x50, 2xSK5x50
J: 2xSK8x80; 2xSK5x80</t>
  </si>
  <si>
    <t>RICON 100/40 
H: 2xSK8x50, 4xSK5x50
J: 2xSK8x80; 4xSK5x82</t>
  </si>
  <si>
    <t>RICON 120/40 
H: 2xSK8x50, 6xSK5x50
J: 2xSK8x80; 6xSK5x80</t>
  </si>
  <si>
    <t>RICON 140/40 
H: 2xSK8x50, 8xSK5x50
J: 2xSK8x80; 8xSK5x80</t>
  </si>
  <si>
    <t>RICON 160/40 
H: 2xSK8x50, 10xSK5x50
J: 2xSK8x80; 10xSK5x80</t>
  </si>
  <si>
    <t>RICON 140/40 SL 
H: 2xSK8x80, 8xSK5x80
J: 2xSK8x160; 8xSK5x80</t>
  </si>
  <si>
    <t>RICON 160/40 SL 
H: 2xSK8x80, 10xSK5x80
J: 2xSK8x160; 10xSK5x80</t>
  </si>
  <si>
    <t>Double RICON 80/40 
H: 3x8x50; 4xSK5x50
J: 3xSK8x80; 4xSK5x80</t>
  </si>
  <si>
    <t>Double RICON 100/40 
H: 3x8x50; 8xSK5x50
J: 3xSK8x80; 8xSK5x80</t>
  </si>
  <si>
    <t>Double RICON 120/40 
H: 3x8x50; 12xSK5x50
J: 3xSK8x80; 12xSK5x80</t>
  </si>
  <si>
    <t>Double RICON 140/40 
H: 3x8x50; 16xSK5x50
J: 3xSK8x80; 16xSK5x80</t>
  </si>
  <si>
    <t>Double RICON 160/40 
H: 3x8x50; 20xSK5x50
J: 3xSK8x80; 20xSK5x80</t>
  </si>
  <si>
    <t>Ausmittige Glaslasten bis Glasstärken von 53 mm</t>
  </si>
  <si>
    <t>F4,Rk,ausmittig</t>
  </si>
  <si>
    <t>ohne VP</t>
  </si>
  <si>
    <t>mit VP</t>
  </si>
  <si>
    <t>ohne
VP</t>
  </si>
  <si>
    <t>mit
VP</t>
  </si>
  <si>
    <t>Total Glasgewicht [kg]</t>
  </si>
  <si>
    <t>Table for load-bearing capacity of KNAPP RICON, GIGANT and RICON S for future
ETA 10-0189 (export report of Blaß from 26.7.2018)</t>
  </si>
  <si>
    <r>
      <t xml:space="preserve">Service classes </t>
    </r>
    <r>
      <rPr>
        <sz val="14"/>
        <color rgb="FFFF0000"/>
        <rFont val="Calibri"/>
        <family val="2"/>
        <scheme val="minor"/>
      </rPr>
      <t>1+2</t>
    </r>
    <r>
      <rPr>
        <sz val="14"/>
        <color theme="1"/>
        <rFont val="Calibri"/>
        <family val="2"/>
        <scheme val="minor"/>
      </rPr>
      <t>: Indoor and outdoor roofed</t>
    </r>
  </si>
  <si>
    <t>Knapp connectors</t>
  </si>
  <si>
    <t>Standard steel</t>
  </si>
  <si>
    <t xml:space="preserve">Design values F2,Rd for GL24h [kN] </t>
  </si>
  <si>
    <t>RICON Stainless steel:</t>
  </si>
  <si>
    <t>Characteristic values [kN]</t>
  </si>
  <si>
    <r>
      <t xml:space="preserve">Service classes </t>
    </r>
    <r>
      <rPr>
        <sz val="14"/>
        <color rgb="FFFF0000"/>
        <rFont val="Calibri"/>
        <family val="2"/>
        <scheme val="minor"/>
      </rPr>
      <t>3</t>
    </r>
    <r>
      <rPr>
        <sz val="14"/>
        <color theme="1"/>
        <rFont val="Calibri"/>
        <family val="2"/>
        <scheme val="minor"/>
      </rPr>
      <t>: Outdoor</t>
    </r>
  </si>
  <si>
    <r>
      <t xml:space="preserve">Service classes </t>
    </r>
    <r>
      <rPr>
        <sz val="14"/>
        <color rgb="FFFF0000"/>
        <rFont val="Calibri"/>
        <family val="2"/>
        <scheme val="minor"/>
      </rPr>
      <t>1</t>
    </r>
    <r>
      <rPr>
        <sz val="14"/>
        <color theme="1"/>
        <rFont val="Calibri"/>
        <family val="2"/>
        <scheme val="minor"/>
      </rPr>
      <t xml:space="preserve">: Indoor </t>
    </r>
  </si>
  <si>
    <t>Total glass load per latch [kg]</t>
  </si>
  <si>
    <t>without
RP</t>
  </si>
  <si>
    <t>wtíth
RP</t>
  </si>
  <si>
    <t>without RP</t>
  </si>
  <si>
    <t>with RP</t>
  </si>
  <si>
    <t>F4,Rk,eccentric</t>
  </si>
  <si>
    <t>Eccentric glass load up to 53 mm glass thickness</t>
  </si>
  <si>
    <t>RICON 60/40 A2
HT: 1xSK 8x50, 2xSK5x50
NT: 1xSK8x80; 2xSK5x80</t>
  </si>
  <si>
    <t>RICON 100/40 A2
HT: 2xSK 8x50, 4xSK5x50
NT: 2xSK8x80; 4xSK5x80</t>
  </si>
  <si>
    <t>RICON 120/40 A2
HT: 2xSK 8x50, 6xSK5x50
NT: 2xSK8x80; 6xSK5x80</t>
  </si>
  <si>
    <t>RICON 140/40 A2
HT: 2xSK 8x50, 8xSK5x50
NT: 2xSK8x80; 8xSK5x80</t>
  </si>
  <si>
    <t>Doppel RICON 100/40 A2
HT: 3xSK 8x50; 8xSK5x50
NT: 3xSK8x80; 8xSK5x80</t>
  </si>
  <si>
    <t>Doppel RICON 120/40 A2
HT: 3xSK 8x50; 12xSK5x50
NT: 3xSK8x80; 12xSK5x80</t>
  </si>
  <si>
    <t>Doppel RICON 140/40 A2
HT: 3xSK 8x50; 16xSK5x50
NT: 3xSK8x80; 16xSK5x80</t>
  </si>
  <si>
    <t>RICON 70/20 A2
HT: 3xSK5x50
NT: 3xSK5x80</t>
  </si>
  <si>
    <t>RICON 66/16 A2
HT: 3xSK5x50
NT: 3xSK5x80</t>
  </si>
  <si>
    <t>GIGANT 120/40
HT: 3xSK10x80
NT: 3xSK8x120</t>
  </si>
  <si>
    <t>GIGANT 150/40 
mit Sperrklappe
HT: 4xSK10x80
NT: 4xSK10x120</t>
  </si>
  <si>
    <t>GIGAJ:</t>
  </si>
  <si>
    <t>Belastungswerte in Einschubrichtung F2 für Brettschichtholz GL24h:</t>
  </si>
  <si>
    <t>Load-bearing values for insertion direction F2 for glulam GL24h:</t>
  </si>
  <si>
    <t>Load-bearing values perpendicular to the insertion direction F4 for glulam GL24h:</t>
  </si>
  <si>
    <t>Belastungswerte rechtwinklig zur Einschubrichtung F4 für Brettschichtholz GL24h:</t>
  </si>
  <si>
    <t>GIGANT 150/40 
mit Sperrklappe
H: 4xSK10x80
J: 4xSK10x120</t>
  </si>
  <si>
    <t>GIGANT 180/40 
mit Sperrklappe
H: 6xSK10x80
J: 6xSK10x120</t>
  </si>
  <si>
    <t>RICON:</t>
  </si>
  <si>
    <t>Knapp Verbinders</t>
  </si>
  <si>
    <t>RICON S EK:</t>
  </si>
  <si>
    <t>RICON S VS:</t>
  </si>
  <si>
    <t>50/180
50/200*</t>
  </si>
  <si>
    <t>50/220*</t>
  </si>
  <si>
    <t xml:space="preserve">50/260*
</t>
  </si>
  <si>
    <t xml:space="preserve">
50/300*
</t>
  </si>
  <si>
    <t>50/340*</t>
  </si>
  <si>
    <t>Min.
Nebenträgerabmessungen
[mm]</t>
  </si>
  <si>
    <t>100/160</t>
  </si>
  <si>
    <t>100/220</t>
  </si>
  <si>
    <t>100/260*
120/220*</t>
  </si>
  <si>
    <t>50/80
50/100*</t>
  </si>
  <si>
    <t>80/50</t>
  </si>
  <si>
    <t>100/50</t>
  </si>
  <si>
    <t>50/100
20/120*</t>
  </si>
  <si>
    <t>50/120
50/140*</t>
  </si>
  <si>
    <t>50/140
50/160*</t>
  </si>
  <si>
    <t>50/160
50/180*</t>
  </si>
  <si>
    <t>120/230</t>
  </si>
  <si>
    <t>120/320</t>
  </si>
  <si>
    <t>100/400*
120/340</t>
  </si>
  <si>
    <t>120/480*
160/360*</t>
  </si>
  <si>
    <t>120/560*
160/420*</t>
  </si>
  <si>
    <t>120/50</t>
  </si>
  <si>
    <t>140/50</t>
  </si>
  <si>
    <t>160/50</t>
  </si>
  <si>
    <t>180/50</t>
  </si>
  <si>
    <t>NutzungCSlasse 1+2: Innenbereich und Außen überdacht</t>
  </si>
  <si>
    <t>RICON 60/40
HT: 1xCS8x50, 2xCS5x50
NT: 1xCS8x80; 2xCS5x80</t>
  </si>
  <si>
    <t>RICON 60/40
H: 1xCS8x50, 2xCS5x50
J: 1xCS8x80; 2xCS5x80</t>
  </si>
  <si>
    <t>RICON 80/40 
HT: 2xCS8x50, 2xCS5x50
NT: 2xCS8x80; 2xCS5x80</t>
  </si>
  <si>
    <t>RICON 80/40 
H: 2xCS8x50, 2xCS5x50
J: 2xCS8x80; 2xCS5x80</t>
  </si>
  <si>
    <t>RICON 100/40 
HT: 2xCS8x50, 4xCS5x50
NT: 2xCS8x80; 4xCS5x82</t>
  </si>
  <si>
    <t>RICON 100/40 
H: 2xCS8x50, 4xCS5x50
J: 2xCS8x80; 4xCS5x82</t>
  </si>
  <si>
    <t>RICON 120/40 
HT: 2xCS8x50, 6xCS5x50
NT: 2xCS8x80; 6xCS5x80</t>
  </si>
  <si>
    <t>RICON 120/40 
H: 2xCS8x50, 6xCS5x50
J: 2xCS8x80; 6xCS5x80</t>
  </si>
  <si>
    <t>RICON 140/40 
HT: 2xCS8x50, 8xCS5x50
NT: 2xCS8x80; 8xCS5x80</t>
  </si>
  <si>
    <t>RICON 140/40 
H: 2xCS8x50, 8xCS5x50
J: 2xCS8x80; 8xCS5x80</t>
  </si>
  <si>
    <t>RICON 160/40 
HT: 2xCS8x50, 10xCS5x50
NT: 2xCS8x80; 10xCS5x80</t>
  </si>
  <si>
    <t>RICON 160/40 
H: 2xCS8x50, 10xCS5x50
J: 2xCS8x80; 10xCS5x80</t>
  </si>
  <si>
    <t>RICON 140/40 SL 
HT: 2xCS8x80, 8xCS5x80
NT: 2xCS8x160; 8xCS5x80</t>
  </si>
  <si>
    <t>RICON 140/40 SL 
H: 2xCS8x80, 8xCS5x80
J: 2xCS8x160; 8xCS5x80</t>
  </si>
  <si>
    <t>RICON 160/40 SL 
HT: 2xCS8x80, 10xCS5x80
NT: 2xCS8x160; 10xCS5x80</t>
  </si>
  <si>
    <t>RICON 160/40 SL 
H: 2xCS8x80, 10xCS5x80
J: 2xCS8x160; 10xCS5x80</t>
  </si>
  <si>
    <t>Doppel RICON 80/40 
HT: 3x8x50; 4xCS5x50
NT: 3xCS8x80; 4xCS5x80</t>
  </si>
  <si>
    <t>Double RICON 80/40 
H: 3x8x50; 4xCS5x50
J: 3xCS8x80; 4xCS5x80</t>
  </si>
  <si>
    <t>Doppel RICON 100/40 
HT: 3x8x50; 8xCS5x50
NT: 3xCS8x80; 8xCS5x80</t>
  </si>
  <si>
    <t>Double RICON 100/40 
H: 3x8x50; 8xCS5x50
J: 3xCS8x80; 8xCS5x80</t>
  </si>
  <si>
    <t>Doppel RICON 120/40 
HT: 3x8x50; 12xCS5x50
NT: 3xCS8x80; 12xCS5x80</t>
  </si>
  <si>
    <t>Double RICON 120/40 
H: 3x8x50; 12xCS5x50
J: 3xCS8x80; 12xCS5x80</t>
  </si>
  <si>
    <t>Doppel RICON 140/40 
HT: 3x8x50; 16xCS5x50
NT: 3xCS8x80; 16xCS5x80</t>
  </si>
  <si>
    <t>Double RICON 140/40 
H: 3x8x50; 16xCS5x50
J: 3xCS8x80; 16xCS5x80</t>
  </si>
  <si>
    <t>Doppel RICON 160/40 
HT: 3x8x50; 20xCS5x50
NT: 3xCS8x80; 20xCS5x80</t>
  </si>
  <si>
    <t>Double RICON 160/40 
H: 3x8x50; 20xCS5x50
J: 3xCS8x80; 20xCS5x80</t>
  </si>
  <si>
    <t>RICON 60/40 A2
HT: 1xCS 8x50, 2xCS5x50
NT: 1xCS8x80; 2xCS5x80</t>
  </si>
  <si>
    <t>RICON 60/40 A2
H: 1xCS 8x50, 2xCS5x50
J: 1xCS8x80; 2xCS5x80</t>
  </si>
  <si>
    <t>RICON 80/40 A2
HT: 2xCS 8x50, 2xCS5x50
NT: 2xCS8x80; 2xCS5x80</t>
  </si>
  <si>
    <t>RICON 80/40 A2
H: 2xCS 8x50, 2xCS5x50
J: 2xCS8x80; 2xCS5x80</t>
  </si>
  <si>
    <t>RICON 100/40 A2
HT: 2xCS 8x50, 4xCS5x50
NT: 2xCS8x80; 4xCS5x80</t>
  </si>
  <si>
    <t>RICON 100/40 A2
H: 2xCS 8x50, 4xCS5x50
J: 2xCS8x80; 4xCS5x80</t>
  </si>
  <si>
    <t>RICON 120/40 A2
HT: 2xCS 8x50, 6xCS5x50
NT: 2xCS8x80; 6xCS5x80</t>
  </si>
  <si>
    <t>RICON 120/40 A2
H: 2xCS 8x50, 6xCS5x50
J: 2xCS8x80; 6xCS5x80</t>
  </si>
  <si>
    <t>RICON 140/40 A2
HT: 2xCS 8x50, 8xCS5x50
NT: 2xCS8x80; 8xCS5x80</t>
  </si>
  <si>
    <t>RICON 140/40 A2
H: 2xCS 8x50, 8xCS5x50
J: 2xCS8x80; 8xCS5x80</t>
  </si>
  <si>
    <t>RICON 160/40 A2
HT: 2xCS 8x50, 10xCS5x50
NT: 2xCS8x80; 10xCS5x80</t>
  </si>
  <si>
    <t>RICON 160/40 A2
H: 2xCS 8x50, 10xCS5x50
J: 2xCS8x80; 10xCS5x80</t>
  </si>
  <si>
    <t>Doppel RICON 80/40 A2
HT: 3xCS 8x50; 4xCS5x50
NT: 3xCS8x80; 4xCS5x80</t>
  </si>
  <si>
    <t>Double RICON 80/40 A2
H: 3xCS 8x50; 4xCS5x50
J: 3xCS8x80; 4xCS5x80</t>
  </si>
  <si>
    <t>Doppel RICON 100/40 A2
HT: 3xCS 8x50; 8xCS5x50
NT: 3xCS8x80; 8xCS5x80</t>
  </si>
  <si>
    <t>Double RICON 100/40 A2
H: 3xCS 8x50; 8xCS5x50
J: 3xCS8x80; 8xCS5x80</t>
  </si>
  <si>
    <t>Doppel RICON 120/40 A2
HT: 3xCS 8x50; 12xCS5x50
NT: 3xCS8x80; 12xCS5x80</t>
  </si>
  <si>
    <t>Double RICON 120/40 A2
H: 3xCS 8x50; 12xCS5x50
J: 3xCS8x80; 12xCS5x80</t>
  </si>
  <si>
    <t>Doppel RICON 140/40 A2
HT: 3xCS 8x50; 16xCS5x50
NT: 3xCS8x80; 16xCS5x80</t>
  </si>
  <si>
    <t>Double RICON 140/40 A2
H: 3xCS 8x50; 16xCS5x50
J: 3xCS8x80; 16xCS5x80</t>
  </si>
  <si>
    <t>Doppel RICON 160/40 A2
HT: 3xCS 8x50; 20xCS5x50
NT: 3xCS8x80; 20xCS5x80</t>
  </si>
  <si>
    <t>Double RICON 160/40 A2
H: 3xCS 8x50; 20xCS5x50
J: 3xCS8x80; 20xCS5x80</t>
  </si>
  <si>
    <t>RICON 60/30 A2
HT: 1xCS 8x50, 2xCS5x50
NT: 1xCS8x80; 2xCS5x80</t>
  </si>
  <si>
    <t>RICON 60/30 A2
H: 1xCS 8x50, 2xCS5x50
J: 1xCS8x80; 2xCS5x80</t>
  </si>
  <si>
    <t>RICON 80/30 A2
HT: 2xCS 8x50, 2xCS5x50
NT: 2xCS8x80; 2xCS5x80</t>
  </si>
  <si>
    <t>RICON 80/30 A2
H: 2xCS 8x50, 2xCS5x50
J: 2xCS8x80; 2xCS5x80</t>
  </si>
  <si>
    <t>RICON 100/30 A2
HT: 2xCS 8x50, 4xCS5x50
NT: 2xCS8x80; 4xCS5x80</t>
  </si>
  <si>
    <t>RICON 100/30 A2
H: 2xCS 8x50, 4xCS5x50
J: 2xCS8x80; 4xCS5x80</t>
  </si>
  <si>
    <t>RICON 120/30 A2
HT: 2xCS 8x50, 6xCS5x50
NT: 2xCS8x80; 6xCS5x80</t>
  </si>
  <si>
    <t>RICON 120/30 A2
H: 2xCS 8x50, 6xCS5x50
J: 2xCS8x80; 6xCS5x80</t>
  </si>
  <si>
    <t>RICON 140/30 A2
HT: 2xCS 8x50, 8xCS5x50
NT: 2xCS8x80; 8xCS5x80</t>
  </si>
  <si>
    <t>RICON 140/30 A2
H: 2xCS 8x50, 8xCS5x50
J: 2xCS8x80; 8xCS5x80</t>
  </si>
  <si>
    <t>RICON 160/30 A2
HT: 2xCS 8x50, 10xCS5x50
NT: 2xCS8x80; 10xCS5x80</t>
  </si>
  <si>
    <t>RICON 160/30 A2
H: 2xCS 8x50, 10xCS5x50
J: 2xCS8x80; 10xCS5x80</t>
  </si>
  <si>
    <t>Doppel RICON 80/30 A2
HT: 3xCS 8x50; 4xCS5x50
NT: 3xCS8x80; 4xCS5x80</t>
  </si>
  <si>
    <t>Double RICON 80/30 A2
H: 3xCS 8x50; 4xCS5x50
J: 3xCS8x80; 4xCS5x80</t>
  </si>
  <si>
    <t>Doppel RICON 100/30 A2
HT: 3xCS 8x50; 8xCS5x50
NT: 3xCS8x80; 8xCS5x80</t>
  </si>
  <si>
    <t>Double RICON 100/30 A2
H: 3xCS 8x50; 8xCS5x50
J: 3xCS8x80; 8xCS5x80</t>
  </si>
  <si>
    <t>Doppel RICON 120/30 A2
HT: 3xCS 8x50; 12xCS5x50
NT: 3xCS8x80; 12xCS5x80</t>
  </si>
  <si>
    <t>Double RICON 120/30 A2
H: 3xCS 8x50; 12xCS5x50
J: 3xCS8x80; 12xCS5x80</t>
  </si>
  <si>
    <t>Doppel RICON 140/30 A2
HT: 3xCS 8x50; 16xCS5x50
NT: 3xCS8x80; 16xCS5x80</t>
  </si>
  <si>
    <t>Double RICON 140/30 A2
H: 3xCS 8x50; 16xCS5x50
J: 3xCS8x80; 16xCS5x80</t>
  </si>
  <si>
    <t>Doppel RICON 160/30 A2
HT: 3xCS 8x50; 20xCS5x50
NT: 3xCS8x80; 20xCS5x80</t>
  </si>
  <si>
    <t>Double RICON 160/30 A2
H: 3xCS 8x50; 20xCS5x50
J: 3xCS8x80; 20xCS5x80</t>
  </si>
  <si>
    <t>RICON 70/20 A2
HT: 3xCS5x50
NT: 3xCS5x80</t>
  </si>
  <si>
    <t>RICON 70/20 A2
H: 3xCS5x50
J: 3xCS5x80</t>
  </si>
  <si>
    <t>RICON 66/16 A2
HT: 3xCS5x50
NT: 3xCS5x80</t>
  </si>
  <si>
    <t>RICON 66/16 A2
H: 3xCS5x50
J: 3xCS5x80</t>
  </si>
  <si>
    <t>NutzungCSlasse 3: Außenbereich</t>
  </si>
  <si>
    <t>GIGANT 120/40
HT: 3xCS10x80
NT: 3xCS8x120</t>
  </si>
  <si>
    <t>GIGANT 120/40
H: 3xCS10x80
J: 3xCS8x120</t>
  </si>
  <si>
    <t>GIGANT 150/40 
without clip lock
HT: 4xCS10x80
NT: 4xCS10x120</t>
  </si>
  <si>
    <t>GIGANT 150/40 
without clip lock
H: 4xCS10x80
J: 4xCS10x120</t>
  </si>
  <si>
    <t>GIGANT 150/40 
mit Sperrklappe
HT: 4xCS10x80
NT: 4xCS10x120</t>
  </si>
  <si>
    <t>GIGANT 150/40 
with clip lock
H: 4xCS10x80
J: 4xCS10x120</t>
  </si>
  <si>
    <t>GIGANT 180/40 
without clip lock
HT: 6xCS10x80
NT: 6xCS10x120</t>
  </si>
  <si>
    <t>GIGANT 180/40 
without clip lock
H: 6xCS10x80
J: 6xCS10x120</t>
  </si>
  <si>
    <t>GIGANT 150/40 
mit Sperrklappe
HT: 6xCS10x80
NT: 5xCS10x120</t>
  </si>
  <si>
    <t>GIGANT 150/40 
with clip lock
H: 6xCS10x80
J: 5xCS10x120</t>
  </si>
  <si>
    <t>RICON S 140/60 EK min
HT: 10 CS 8x80; NT: 10 CS 8x160</t>
  </si>
  <si>
    <t>RICON S 140/60 EK max
HT: 10 CS 8x80; NT: 10 CS 8x240</t>
  </si>
  <si>
    <t>RICON S 200/60 EK min
HT: 16 CS 8x80; NT: 16 CS 8x160</t>
  </si>
  <si>
    <t>RICON S 200/60 EK max
HT: 16 CS 8x80; NT: 16 CS 8x240</t>
  </si>
  <si>
    <t>RICON S 200/80 EK 
HT: 16 CS 10x100; NT: 16 CS10x200</t>
  </si>
  <si>
    <t>RICON S 290/80 EK 
HT: 20 CS 10x100; NT: 20 CS10x200</t>
  </si>
  <si>
    <t>RICON S 140/60 VS min
HT: 10 CS 8x80; NT: 10 CS 8x160</t>
  </si>
  <si>
    <t>RICON S 140/60 VS max
HT: 10 CS 8x80; NT: 10 CS 8x240</t>
  </si>
  <si>
    <t>RICON S 200/60 VS min
HT: 16 CS 8x80; NT: 16 CS 8x160</t>
  </si>
  <si>
    <t>RICON S 200/60 VS max
HT: 16 CS 8x80; NT: 16 CS 8x240</t>
  </si>
  <si>
    <t>RICON S 200/80 VS min
HT: 16 CS 10x100; NT: 16 CS10x200</t>
  </si>
  <si>
    <t>RICON S 200/80 VS max
HT: 16 CS 10x100; NT: 16 CS10x300</t>
  </si>
  <si>
    <t>RICON S 290/80 VS min
HT: 25 CS 10x100; NT: 25 CS10x200</t>
  </si>
  <si>
    <t>RICON S 290/80 VS max
HT: 25 CS 10x100; NT: 25 CS10x300</t>
  </si>
  <si>
    <t>RICON S 390/80 VS + ZP max
HT: 28 CS 10x100; + 2 CS 10x400 
NT: 28 CS 10x200 + 2 CS 10x450</t>
  </si>
  <si>
    <t>RICON S 390/80 VS + ZP max
H: 28 CS 10x100; + 2 CS 10x400 
J: 28 CS 10x200 + 2 CS 10x450</t>
  </si>
  <si>
    <t>RICON S 390/80 VS + ZP max
HT: 28 CS 10x100; + 2 CS 10x400 
NT: 28 CS 10x300 + 2 CS 10x450</t>
  </si>
  <si>
    <t>RICON S 390/80 VS + ZP max
H: 28 CS 10x100; + 2 CS 10x400 
J: 28 CS 10x300 + 2 CS 10x450</t>
  </si>
  <si>
    <t xml:space="preserve">NutzungCSlasse 1: Innenbereich </t>
  </si>
  <si>
    <t>section [mm]</t>
  </si>
  <si>
    <t>Min. joint cross</t>
  </si>
  <si>
    <t>Min. joint cross
section [mm]</t>
  </si>
  <si>
    <t>30/86</t>
  </si>
  <si>
    <t>30/90</t>
  </si>
  <si>
    <t>60/150</t>
  </si>
  <si>
    <t>GIGANT 150/40 
ohne Sperrklappe
HT: 4xSK10x80
NT: 4xSK10x120</t>
  </si>
  <si>
    <t>GIGANT 180/40 
ohne Sperrklappe
HT: 6xSK10x80
NT: 6xSK10x120</t>
  </si>
  <si>
    <t>GIGANT 180/40 
mit Sperrklappe
HT: 6xSK10x80
NT: 5xSK10x120</t>
  </si>
  <si>
    <t>100/260
120/220</t>
  </si>
  <si>
    <t>100/220
120/340</t>
  </si>
  <si>
    <t>120/800
140/680
160/600</t>
  </si>
  <si>
    <t xml:space="preserve">120/720
140/640
160/520
</t>
  </si>
  <si>
    <t>50/180</t>
  </si>
  <si>
    <t>50/220</t>
  </si>
  <si>
    <t xml:space="preserve">50/260
</t>
  </si>
  <si>
    <t xml:space="preserve">
50/300
</t>
  </si>
  <si>
    <t>50/340</t>
  </si>
  <si>
    <t>60/200</t>
  </si>
  <si>
    <t>80/200</t>
  </si>
  <si>
    <t>60/220</t>
  </si>
  <si>
    <t>80/220</t>
  </si>
  <si>
    <t>RICON S 290/80 VS max
H: 25 CS 10x100;
J: 25 CS10x300</t>
  </si>
  <si>
    <t>RICON S 290/80 VS min
H: 25 CS 10x100;
J: 25 CS10x200</t>
  </si>
  <si>
    <t>RICON S 200/80 VS max
H: 16 CS 10x100;
J: 16 CS10x300</t>
  </si>
  <si>
    <t>RICON S 200/80 VS min
H: 16 CS 10x100;
J: 16 CS10x200</t>
  </si>
  <si>
    <t>RICON S 200/60 VS max
H: 16 CS 8x80;
J: 16 CS 8x240</t>
  </si>
  <si>
    <t>RICON S 200/60 VS min
H: 16 CS 8x80;
J: 16 CS 8x160</t>
  </si>
  <si>
    <t>RICON S 140/60 VS max
H: 10 CS 8x80;
J: 10 CS 8x240</t>
  </si>
  <si>
    <t>RICON S 140/60 VS min
H: 10 CS 8x80; 
J: 10 CS 8x160</t>
  </si>
  <si>
    <t>RICON S 140/60 EK min
H: 10 CS 8x80;
J: 10 CS 8x160</t>
  </si>
  <si>
    <t>RICON S 140/60 EK max
H: 10 CS 8x80;
J: 10 CS 8x240</t>
  </si>
  <si>
    <t>RICON S 200/60 EK min
H: 16 CS 8x80;
J: 16 CS 8x160</t>
  </si>
  <si>
    <t>RICON S 200/60 EK max
H: 16 CS 8x80;
J: 16 CS 8x240</t>
  </si>
  <si>
    <t>RICON S 200/80 EK 
H: 16 CS 10x100;
J: 16 CS10x200</t>
  </si>
  <si>
    <t>RICON S 290/80 EK 
H: 20 CS 10x100;
J: 20 CS10x200</t>
  </si>
  <si>
    <t>50/100
50/120*</t>
  </si>
  <si>
    <t>Belastungstabelle von KNAPP RICON nach zukünftiger ETA 10-0189 (Gutachten Blaß vom 26.7.2018)</t>
  </si>
  <si>
    <t>Holzart:</t>
  </si>
  <si>
    <t>Brettschichtholz kombiniert</t>
  </si>
  <si>
    <t>Brettschichtholz homogen</t>
  </si>
  <si>
    <t>GL28c</t>
  </si>
  <si>
    <t>GL30c</t>
  </si>
  <si>
    <t>Nadelholz KVH/ Vollholz</t>
  </si>
  <si>
    <t>RICON S Connector:</t>
  </si>
  <si>
    <t>Nutzungsklasse NKL:</t>
  </si>
  <si>
    <t>NKL</t>
  </si>
  <si>
    <t>Innenbereich</t>
  </si>
  <si>
    <t>Außenbereich überdacht</t>
  </si>
  <si>
    <t>Außenbreich</t>
  </si>
  <si>
    <t>Bereich</t>
  </si>
  <si>
    <t>LH D30</t>
  </si>
  <si>
    <t>Laubholz (z.B. Eiche)</t>
  </si>
  <si>
    <t>FST D70</t>
  </si>
  <si>
    <r>
      <t xml:space="preserve">Service classes </t>
    </r>
    <r>
      <rPr>
        <sz val="16"/>
        <color rgb="FFFF0000"/>
        <rFont val="Calibri"/>
        <family val="2"/>
        <scheme val="minor"/>
      </rPr>
      <t>1+2</t>
    </r>
    <r>
      <rPr>
        <sz val="16"/>
        <color theme="1"/>
        <rFont val="Calibri"/>
        <family val="2"/>
        <scheme val="minor"/>
      </rPr>
      <t>: Indoor and outdoor roofed</t>
    </r>
  </si>
  <si>
    <t>Belastungswerte</t>
  </si>
  <si>
    <t>Indoor</t>
  </si>
  <si>
    <t>Outdoor roofed</t>
  </si>
  <si>
    <t>Outdoor</t>
  </si>
  <si>
    <r>
      <t xml:space="preserve">Load-bearing values for insertion direction </t>
    </r>
    <r>
      <rPr>
        <b/>
        <sz val="16"/>
        <color rgb="FFFF0000"/>
        <rFont val="Calibri"/>
        <family val="2"/>
        <scheme val="minor"/>
      </rPr>
      <t xml:space="preserve">F2 </t>
    </r>
  </si>
  <si>
    <t>Service class:</t>
  </si>
  <si>
    <t>Wood type:</t>
  </si>
  <si>
    <t>Load-bearing values</t>
  </si>
  <si>
    <r>
      <t xml:space="preserve">perpendicular to the insertion direction </t>
    </r>
    <r>
      <rPr>
        <b/>
        <sz val="16"/>
        <color rgb="FFFF0000"/>
        <rFont val="Calibri"/>
        <family val="2"/>
        <scheme val="minor"/>
      </rPr>
      <t xml:space="preserve">F4 </t>
    </r>
  </si>
  <si>
    <t>EN</t>
  </si>
  <si>
    <t>Solid timber</t>
  </si>
  <si>
    <r>
      <t xml:space="preserve">Belastungswerte in Einschubrichtung </t>
    </r>
    <r>
      <rPr>
        <b/>
        <sz val="16"/>
        <color rgb="FFFF0000"/>
        <rFont val="Calibri"/>
        <family val="2"/>
        <scheme val="minor"/>
      </rPr>
      <t xml:space="preserve">F2 </t>
    </r>
  </si>
  <si>
    <t>Belastungstabelle von KNAPP GIGANT nach zukünftiger ETA 10-0189 (Gutachten Blaß vom 26.7.2018)</t>
  </si>
  <si>
    <t>Belastungstabelle von KNAPP RICON S nach zukünftiger ETA 10-0189 (Gutachten Blaß vom 26.7.2018)</t>
  </si>
  <si>
    <r>
      <t>rechtwinklig zur Einschubrichtung</t>
    </r>
    <r>
      <rPr>
        <b/>
        <sz val="16"/>
        <color rgb="FFFF0000"/>
        <rFont val="Calibri"/>
        <family val="2"/>
        <scheme val="minor"/>
      </rPr>
      <t xml:space="preserve"> F4</t>
    </r>
  </si>
  <si>
    <t>Glued laminated timber - combined</t>
  </si>
  <si>
    <t>Glued laminated timber - homogeneous</t>
  </si>
  <si>
    <t>Solid wood</t>
  </si>
  <si>
    <t>Glued laminated timber - homogenous</t>
  </si>
  <si>
    <t>Harwood (e.g. oak)</t>
  </si>
  <si>
    <t>Laminated veneer lumber BauBuche GL75</t>
  </si>
  <si>
    <t>Furnierschichtholz Baubuche GL75</t>
  </si>
  <si>
    <r>
      <t>Load-bearing values for insertion direction</t>
    </r>
    <r>
      <rPr>
        <b/>
        <sz val="16"/>
        <color rgb="FFFF0000"/>
        <rFont val="Calibri"/>
        <family val="2"/>
        <scheme val="minor"/>
      </rPr>
      <t xml:space="preserve"> F2</t>
    </r>
  </si>
  <si>
    <r>
      <rPr>
        <sz val="11"/>
        <color theme="1"/>
        <rFont val="Symbol"/>
        <family val="1"/>
        <charset val="2"/>
      </rPr>
      <t>g</t>
    </r>
    <r>
      <rPr>
        <vertAlign val="subscript"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 =1,3 </t>
    </r>
  </si>
  <si>
    <r>
      <t xml:space="preserve"> </t>
    </r>
    <r>
      <rPr>
        <sz val="11"/>
        <color theme="1"/>
        <rFont val="Symbol"/>
        <family val="1"/>
        <charset val="2"/>
      </rPr>
      <t>g</t>
    </r>
    <r>
      <rPr>
        <vertAlign val="subscript"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 =1,3 </t>
    </r>
  </si>
  <si>
    <r>
      <rPr>
        <sz val="10"/>
        <color theme="1"/>
        <rFont val="Symbol"/>
        <family val="1"/>
        <charset val="2"/>
      </rPr>
      <t>g</t>
    </r>
    <r>
      <rPr>
        <vertAlign val="subscript"/>
        <sz val="10"/>
        <color theme="1"/>
        <rFont val="Calibri"/>
        <family val="2"/>
        <scheme val="minor"/>
      </rPr>
      <t>M</t>
    </r>
    <r>
      <rPr>
        <sz val="10"/>
        <color theme="1"/>
        <rFont val="Calibri"/>
        <family val="2"/>
        <scheme val="minor"/>
      </rPr>
      <t xml:space="preserve"> =1,3 </t>
    </r>
  </si>
  <si>
    <t>RICON 80/40 
HT: 2xSK8x50, 2xSK5x50
NT: 2xSK8x80, 2xSK5x80</t>
  </si>
  <si>
    <t>RICON 60/40
HT: 1xSK8x50, 2xSK5x50
NT: 1xSK8x80, 2xSK5x80</t>
  </si>
  <si>
    <t>RICON 120/40 
HT: 2xSK8x50, 6xSK5x50
NT: 2xSK8x80, 6xSK5x80</t>
  </si>
  <si>
    <t>RICON 100/40 
HT: 2xSK8x50, 4xSK5x50
NT: 2xSK8x80, 4xSK5x80</t>
  </si>
  <si>
    <t>RICON 140/40 
HT: 2xSK8x50, 8xSK5x50
NT: 2xSK8x80, 8xSK5x80</t>
  </si>
  <si>
    <t>RICON 160/40 
HT: 2xSK8x50, 10xSK5x50
NT: 2xSK8x80, 10xSK5x80</t>
  </si>
  <si>
    <r>
      <rPr>
        <b/>
        <sz val="11"/>
        <color rgb="FFFF0000"/>
        <rFont val="Calibri"/>
        <family val="2"/>
        <scheme val="minor"/>
      </rPr>
      <t xml:space="preserve">RICON 140/40 SL </t>
    </r>
    <r>
      <rPr>
        <sz val="11"/>
        <color rgb="FFFF0000"/>
        <rFont val="Calibri"/>
        <family val="2"/>
        <scheme val="minor"/>
      </rPr>
      <t xml:space="preserve">
HT: 2xSK8x50, 8xSK5x50
NT: </t>
    </r>
    <r>
      <rPr>
        <b/>
        <sz val="11"/>
        <color rgb="FFFF0000"/>
        <rFont val="Calibri"/>
        <family val="2"/>
        <scheme val="minor"/>
      </rPr>
      <t>2xSK8x160,</t>
    </r>
    <r>
      <rPr>
        <sz val="11"/>
        <color rgb="FFFF0000"/>
        <rFont val="Calibri"/>
        <family val="2"/>
        <scheme val="minor"/>
      </rPr>
      <t xml:space="preserve"> 8xSK5x80</t>
    </r>
  </si>
  <si>
    <r>
      <rPr>
        <b/>
        <sz val="11"/>
        <color rgb="FFFF0000"/>
        <rFont val="Calibri"/>
        <family val="2"/>
        <scheme val="minor"/>
      </rPr>
      <t xml:space="preserve">RICON 160/40 SL </t>
    </r>
    <r>
      <rPr>
        <sz val="11"/>
        <color rgb="FFFF0000"/>
        <rFont val="Calibri"/>
        <family val="2"/>
        <scheme val="minor"/>
      </rPr>
      <t xml:space="preserve">
HT: 2xSK8x50, 10xSK5x50
NT: </t>
    </r>
    <r>
      <rPr>
        <b/>
        <sz val="11"/>
        <color rgb="FFFF0000"/>
        <rFont val="Calibri"/>
        <family val="2"/>
        <scheme val="minor"/>
      </rPr>
      <t>2xSK8x160,</t>
    </r>
    <r>
      <rPr>
        <sz val="11"/>
        <color rgb="FFFF0000"/>
        <rFont val="Calibri"/>
        <family val="2"/>
        <scheme val="minor"/>
      </rPr>
      <t xml:space="preserve"> 10xSK5x80</t>
    </r>
  </si>
  <si>
    <t>Doppel RICON 80/40 
HT: 3x8x50, 4xSK5x50
NT: 3xSK8x80, 4xSK5x80</t>
  </si>
  <si>
    <t>Doppel RICON 100/40 
HT: 3x8x50, 8xSK5x50
NT: 3xSK8x80, 8xSK5x80</t>
  </si>
  <si>
    <t>Doppel RICON 120/40 
HT: 3x8x50, 12xSK5x50
NT: 3xSK8x80, 12xSK5x80</t>
  </si>
  <si>
    <t>Doppel RICON 140/40 
HT: 3x8x50, 16xSK5x50
NT: 3xSK8x80, 16xSK5x80</t>
  </si>
  <si>
    <t>Doppel RICON 160/40 
HT: 3x8x50, 20xSK5x50
NT: 3xSK8x80, 20xSK5x80</t>
  </si>
  <si>
    <r>
      <rPr>
        <b/>
        <sz val="11"/>
        <rFont val="Calibri"/>
        <family val="2"/>
        <scheme val="minor"/>
      </rPr>
      <t xml:space="preserve">RICON 140/40 SL </t>
    </r>
    <r>
      <rPr>
        <sz val="11"/>
        <rFont val="Calibri"/>
        <family val="2"/>
        <scheme val="minor"/>
      </rPr>
      <t xml:space="preserve">
HT: 2xSK8x50, 8xSK5x50
NT: </t>
    </r>
    <r>
      <rPr>
        <b/>
        <sz val="11"/>
        <rFont val="Calibri"/>
        <family val="2"/>
        <scheme val="minor"/>
      </rPr>
      <t>2xSK8x160,</t>
    </r>
    <r>
      <rPr>
        <sz val="11"/>
        <rFont val="Calibri"/>
        <family val="2"/>
        <scheme val="minor"/>
      </rPr>
      <t xml:space="preserve"> 8xSK5x80</t>
    </r>
  </si>
  <si>
    <r>
      <rPr>
        <b/>
        <sz val="11"/>
        <rFont val="Calibri"/>
        <family val="2"/>
        <scheme val="minor"/>
      </rPr>
      <t xml:space="preserve">RICON 160/40 SL </t>
    </r>
    <r>
      <rPr>
        <sz val="11"/>
        <rFont val="Calibri"/>
        <family val="2"/>
        <scheme val="minor"/>
      </rPr>
      <t xml:space="preserve">
HT: 2xSK8x50, 10xSK5x50
NT:</t>
    </r>
    <r>
      <rPr>
        <b/>
        <sz val="11"/>
        <rFont val="Calibri"/>
        <family val="2"/>
        <scheme val="minor"/>
      </rPr>
      <t xml:space="preserve"> 2xSK8x160,</t>
    </r>
    <r>
      <rPr>
        <sz val="11"/>
        <rFont val="Calibri"/>
        <family val="2"/>
        <scheme val="minor"/>
      </rPr>
      <t xml:space="preserve"> 10xSK5x80</t>
    </r>
  </si>
  <si>
    <t>Doppel RICON 160/40 
HT: 3xSK8x50, 20xSK5x50
NT: 3xSK8x80, 20xSK5x80</t>
  </si>
  <si>
    <t>Doppel RICON 140/40 
HT: 3xSK8x50, 16xSK5x50
NT: 3xSK8x80, 16xSK5x80</t>
  </si>
  <si>
    <t>Doppel RICON 120/40 
HT: 3xSK8x50, 12xSK5x50
NT: 3xSK8x80, 12xSK5x80</t>
  </si>
  <si>
    <t>Doppel RICON 100/40 
HT: 3xSK8x50, 8xSK5x50
NT: 3xSK8x80, 8xSK5x80</t>
  </si>
  <si>
    <t>Doppel RICON 80/40 
HT: 3xSK8x50, 4xSK5x50
NT: 3xSK8x80, 4xSK5x80</t>
  </si>
  <si>
    <t>RICON S 290/80 VS max
HT: 25 SK 10x100
NT: 25 SK 10x300</t>
  </si>
  <si>
    <t>GIGANT 180/40 
with clip lock
H: 6xCS10x80
J: 5xCS10x120</t>
  </si>
  <si>
    <t>Doppel RICON 160/30 A2
HT: 3xSK8x50, 20xSK5x50
NT: 3xSK8x80, 20xSK5x80</t>
  </si>
  <si>
    <t>Doppel RICON 120/30 A2
HT: 3xSK8x50, 12xSK5x50
NT: 3xSK8x80, 12xSK5x80</t>
  </si>
  <si>
    <t>Doppel RICON 140/30 A2
HT: 3xSK8x50, 16xSK5x50
NT: 3xSK8x80, 16xSK5x80</t>
  </si>
  <si>
    <t>Doppel RICON 100/30 A2
HT: 3xSK8x50, 8xSK5x50
NT: 3xSK8x80, 8xSK5x80</t>
  </si>
  <si>
    <t>Doppel RICON 80/30 A2
HT: 3xSK8x50, 4xSK5x50
NT: 3xSK8x80, 4xSK5x80</t>
  </si>
  <si>
    <t>RICON 160/30 A2
HT: 2xSK8x50, 10xSK5x50
NT: 2xSK8x80, 10xSK5x80</t>
  </si>
  <si>
    <t>RICON 140/30 A2
HT: 2xSK8x50, 8xSK5x50
NT: 2xSK8x80, 8xSK5x80</t>
  </si>
  <si>
    <t>RICON 120/30 A2
HT: 2xSK8x50, 6xSK5x50
NT: 2xSK8x80, 6xSK5x80</t>
  </si>
  <si>
    <t>RICON 100/30 A2
HT: 2xSK8x50, 4xSK5x50
NT: 2xSK8x80, 4xSK5x80</t>
  </si>
  <si>
    <t>RICON 80/30 A2
HT: 2xSK8x50, 2xSK5x50
NT: 2xSK8x80, 2xSK5x80</t>
  </si>
  <si>
    <t>RICON 60/30 A2
HT: 1xSK8x50, 2xSK5x50
NT: 1xSK8x80, 2xSK5x80</t>
  </si>
  <si>
    <t>Doppel RICON 160/40 A2
HT: 3xSK8x50, 20xSK5x50
NT: 3xSK8x80, 20xSK5x80</t>
  </si>
  <si>
    <t>Doppel RICON 80/40 A2
HT: 3xSK8x50, 4xSK5x50
NT: 3xSK8x80, 4xSK5x80</t>
  </si>
  <si>
    <t>RICON 80/40 A2
HT: 2xSK8x50, 2xSK5x50
NT: 2xSK8x80, 2xSK5x80</t>
  </si>
  <si>
    <t>RICON 160/40 A2
HT: 2xSK8x50, 10xSK5x50
NT: 2xSK8x80, 10xSK5x80</t>
  </si>
  <si>
    <t>Carbon steel</t>
  </si>
  <si>
    <r>
      <t>Belastungswerte in Einschubrichtung</t>
    </r>
    <r>
      <rPr>
        <b/>
        <sz val="18"/>
        <color rgb="FFFF0000"/>
        <rFont val="Calibri"/>
        <family val="2"/>
        <scheme val="minor"/>
      </rPr>
      <t xml:space="preserve"> F2</t>
    </r>
  </si>
  <si>
    <t>RICON S 140/60 EK min
HT: 10xSK8x80
NT: 10xSK8x160</t>
  </si>
  <si>
    <t>RICON S 140/60 EK max
HT: 10xSK8x80
NT: 10xSK8x240</t>
  </si>
  <si>
    <t>RICON S 200/60 EK min
HT: 16xSK8x80
NT: 16xSK8x160</t>
  </si>
  <si>
    <t>RICON S 200/60 EK max
HT: 16xSK8x80
NT: 16xSK8x240</t>
  </si>
  <si>
    <t>RICON S 200/80 EK 
HT: 16xSK10x100
NT: 16xSK10x200</t>
  </si>
  <si>
    <t>RICON S 290/80 EK 
HT: 20xSK10x100
NT: 20xSK10x200</t>
  </si>
  <si>
    <t>RICON S 140/60 VS min
HT: 10xSK8x80
NT: 10xSK8x160</t>
  </si>
  <si>
    <t>RICON S 140/60 VS max
HT: 10xSK8x80
NT: 10xSK8x240</t>
  </si>
  <si>
    <t>RICON S 200/60 VS min
HT: 16xSK8x80
NT: 16xSK8x160</t>
  </si>
  <si>
    <t>RICON S 200/60 VS max
HT: 16xSK8x80
NT: 16xSK8x240</t>
  </si>
  <si>
    <t>RICON S 200/80 VS min
HT: 16xSK10x100
NT: 16xSK10x200</t>
  </si>
  <si>
    <t>RICON S 200/80 VS max
HT: 16xSK10x100
NT: 16xSK10x300</t>
  </si>
  <si>
    <t>RICON S 290/80 VS min
HT: 25xSK10x100
NT: 25xSK10x200</t>
  </si>
  <si>
    <t>RICON S 390/80 VS + ZP max
HT: 28xSK10x100 + 2 SK10x400 
NT: 28xSK10x200 + 2xSK10x450</t>
  </si>
  <si>
    <t>RICON S 390/80 VS + ZP max
HT: 28xSK10x100 + 2xSK10x400 
NT: 28xSK10x300 + 2xSK10x450</t>
  </si>
  <si>
    <t>120/720
140/640
160/520</t>
  </si>
  <si>
    <t>RICON® carbon steel:</t>
  </si>
  <si>
    <t>RICON® 60/40
H: 1xCS8x50, 2xCS5x50
J: 1xCS8x80, 2xCS5x80</t>
  </si>
  <si>
    <t>RICON® 80/40 
H: 2xCS8x50, 2xCS5x50
J: 2xCS8x80, 2xCS5x80</t>
  </si>
  <si>
    <t>RICON® 100/40 
H: 2xCS8x50, 4xCS5x50
J: 2xCS8x80, 4xCS5x82</t>
  </si>
  <si>
    <t>RICON® 120/40 
H: 2xCS8x50, 6xCS5x50
J: 2xCS8x80, 6xCS5x80</t>
  </si>
  <si>
    <t>RICON® 140/40 
H: 2xCS8x50, 8xCS5x50
J: 2xCS8x80, 8xCS5x80</t>
  </si>
  <si>
    <t>RICON® 160/40 
H: 2xCS8x50, 10xCS5x50
J: 2xCS8x80, 10xCS5x80</t>
  </si>
  <si>
    <r>
      <rPr>
        <b/>
        <sz val="11"/>
        <rFont val="Calibri"/>
        <family val="2"/>
        <scheme val="minor"/>
      </rPr>
      <t xml:space="preserve">RICON® 140/40 SL </t>
    </r>
    <r>
      <rPr>
        <sz val="11"/>
        <rFont val="Calibri"/>
        <family val="2"/>
        <scheme val="minor"/>
      </rPr>
      <t xml:space="preserve">
H: 2xCS8x50, 8xCS5x50
J: </t>
    </r>
    <r>
      <rPr>
        <b/>
        <sz val="11"/>
        <rFont val="Calibri"/>
        <family val="2"/>
        <scheme val="minor"/>
      </rPr>
      <t>2xCS8x160,</t>
    </r>
    <r>
      <rPr>
        <sz val="11"/>
        <rFont val="Calibri"/>
        <family val="2"/>
        <scheme val="minor"/>
      </rPr>
      <t xml:space="preserve"> 8xCS5x80</t>
    </r>
  </si>
  <si>
    <r>
      <rPr>
        <b/>
        <sz val="11"/>
        <rFont val="Calibri"/>
        <family val="2"/>
        <scheme val="minor"/>
      </rPr>
      <t xml:space="preserve">RICON® 160/40 SL </t>
    </r>
    <r>
      <rPr>
        <sz val="11"/>
        <rFont val="Calibri"/>
        <family val="2"/>
        <scheme val="minor"/>
      </rPr>
      <t xml:space="preserve">
H: 2xCS8x50, 10xCS5x50
J: </t>
    </r>
    <r>
      <rPr>
        <b/>
        <sz val="11"/>
        <rFont val="Calibri"/>
        <family val="2"/>
        <scheme val="minor"/>
      </rPr>
      <t>2xCS8x160,</t>
    </r>
    <r>
      <rPr>
        <sz val="11"/>
        <rFont val="Calibri"/>
        <family val="2"/>
        <scheme val="minor"/>
      </rPr>
      <t xml:space="preserve"> 10xCS5x80</t>
    </r>
  </si>
  <si>
    <t>Double RICON® 80/40 
H: 3xCS8x50, 4xCS5x50
J: 3xCS8x80, 4xCS5x80</t>
  </si>
  <si>
    <t>Double RICON® 100/40 
H: 3xCS8x50, 8xCS5x50
J: 3xCS8x80, 8xCS5x80</t>
  </si>
  <si>
    <t>Double RICON® 120/40 
H: 3xCS8x50, 12xCS5x50
J: 3xCS8x80, 12xCS5x80</t>
  </si>
  <si>
    <t>Double RICON® 140/40 
H: 3xCS8x50, 16xCS5x50
J: 3xCS8x80, 16xCS5x80</t>
  </si>
  <si>
    <t>Double RICON® 160/40 
H: 3xCS8x50, 20xCS5x50
J: 3xCS8x80, 20xCS5x80</t>
  </si>
  <si>
    <t>RICON® stainless steel:</t>
  </si>
  <si>
    <t>RICON® 80/40 A2
H: 2xCS8x50, 2xCS5x50
J: 2xCS8x80, 2xCS5x80</t>
  </si>
  <si>
    <t>RICON® 160/40 A2
H: 2xCS8x50, 10xCS5x50
J: 2xCS8x80, 10xCS5x80</t>
  </si>
  <si>
    <t>Double RICON® 80/40 A2
H: 3xCS8x50, 4xCS5x50
J: 3xCS8x80, 4xCS5x80</t>
  </si>
  <si>
    <t>Double RICON® 160/40 A2
H: 3xCS8x50, 20xCS5x50
J: 3xCS8x80, 20xCS5x80</t>
  </si>
  <si>
    <t>RICON® 60/30 A2
H: 1xCS8x50, 2xCS5x50
J: 1xCS8x80, 2xCS5x80</t>
  </si>
  <si>
    <t>RICON® 80/30 A2
H: 2xCS8x50, 2xCS5x50
J: 2xCS8x80, 2xCS5x80</t>
  </si>
  <si>
    <t>RICON® 100/30 A2
H: 2xCS8x50, 4xCS5x50
J: 2xCS8x80, 4xCS5x80</t>
  </si>
  <si>
    <t>RICON® 120/30 A2
H: 2xCS8x50, 6xCS5x50
J: 2xCS8x80, 6xCS5x80</t>
  </si>
  <si>
    <t>RICON® 140/30 A2
H: 2xCS8x50, 8xCS5x50
J: 2xCS8x80, 8xCS5x80</t>
  </si>
  <si>
    <t>RICON® 160/30 A2
H: 2xCS8x50, 10xCS5x50
J: 2xCS8x80, 10xCS5x80</t>
  </si>
  <si>
    <t>Double RICON® 80/30 A2
H: 3xCS8x50, 4xCS5x50
J: 3xCS8x80, 4xCS5x80</t>
  </si>
  <si>
    <t>Double RICON® 100/30 A2
H: 3xCS8x50, 8xCS5x50
J: 3xCS8x80, 8xCS5x80</t>
  </si>
  <si>
    <t>Double RICON® 120/30 A2
H: 3xCS8x50, 12xCS5x50
J: 3xCS8x80, 12xCS5x80</t>
  </si>
  <si>
    <t>Double RICON® 140/30 A2
H: 3xCS8x50, 16xCS5x50
J: 3xCS8x80, 16xCS5x80</t>
  </si>
  <si>
    <t>Double RICON® 160/30 A2
H: 3xCS8x50, 20xCS5x50
J: 3xCS8x80, 20xCS5x80</t>
  </si>
  <si>
    <t>RICON® 70/20 A2
H: 3xCS5x50
J: 3xCS5x80</t>
  </si>
  <si>
    <t>RICON® 66/16 A2
H: 3xCS5x50
J: 3xCS5x80</t>
  </si>
  <si>
    <r>
      <rPr>
        <b/>
        <sz val="11"/>
        <rFont val="Calibri"/>
        <family val="2"/>
        <scheme val="minor"/>
      </rPr>
      <t xml:space="preserve">RICON® 140/40 SL </t>
    </r>
    <r>
      <rPr>
        <sz val="11"/>
        <rFont val="Calibri"/>
        <family val="2"/>
        <scheme val="minor"/>
      </rPr>
      <t xml:space="preserve">
H: 2xCS8x80, 8xCS5x80
J: </t>
    </r>
    <r>
      <rPr>
        <b/>
        <sz val="11"/>
        <rFont val="Calibri"/>
        <family val="2"/>
        <scheme val="minor"/>
      </rPr>
      <t>2xCS8x160,</t>
    </r>
    <r>
      <rPr>
        <sz val="11"/>
        <rFont val="Calibri"/>
        <family val="2"/>
        <scheme val="minor"/>
      </rPr>
      <t xml:space="preserve"> 8xCS5x80</t>
    </r>
  </si>
  <si>
    <r>
      <rPr>
        <b/>
        <sz val="11"/>
        <rFont val="Calibri"/>
        <family val="2"/>
        <scheme val="minor"/>
      </rPr>
      <t xml:space="preserve">RICON® 160/40 SL </t>
    </r>
    <r>
      <rPr>
        <sz val="11"/>
        <rFont val="Calibri"/>
        <family val="2"/>
        <scheme val="minor"/>
      </rPr>
      <t xml:space="preserve">
H: 2xCS8x80, 10xCS5x80
J: </t>
    </r>
    <r>
      <rPr>
        <b/>
        <sz val="11"/>
        <rFont val="Calibri"/>
        <family val="2"/>
        <scheme val="minor"/>
      </rPr>
      <t>2xCS8x160,</t>
    </r>
    <r>
      <rPr>
        <sz val="11"/>
        <rFont val="Calibri"/>
        <family val="2"/>
        <scheme val="minor"/>
      </rPr>
      <t xml:space="preserve"> 10xCS5x80</t>
    </r>
  </si>
  <si>
    <t>Double RICON® 160/40 
H: 3xCS8x50; 20xCS5x50
J: 3xCS8x80; 20xCS5x80</t>
  </si>
  <si>
    <t>RICON® S 140/60 EK min
H: 10xCS8x80
J: 10xCS8x160</t>
  </si>
  <si>
    <t>RICON® S 140/60 EK max
H: 10xCS8x80
J: 10xCS8x240</t>
  </si>
  <si>
    <t>RICON® S 200/60 EK min
H: 16xCS8x80
J: 16xCS8x160</t>
  </si>
  <si>
    <t>RICON®S 200/60 EK max
H: 16xCS8x80
J: 16xCS8x240</t>
  </si>
  <si>
    <t>RICON® S 200/80 EK 
H: 16xCS10x100
J: 16xCS10x200</t>
  </si>
  <si>
    <t>RICON® S 290/80 EK 
H: 20xCS10x100
J: 20xCS10x200</t>
  </si>
  <si>
    <t>RICON® S 140/60 VS max
H: 10xCS8x80
J: 10xCS8x240</t>
  </si>
  <si>
    <t>RICON® S 200/60 VS max
H: 16xCS8x80
J: 16xCS8x240</t>
  </si>
  <si>
    <t>RICON® S 200/80 VS max
H: 16xCS10x100
J: 16xCS10x300</t>
  </si>
  <si>
    <t>RICON® S 290/80 VS max
H: 25xCS10x100
J: 25xCS10x300</t>
  </si>
  <si>
    <t>RICON® S 390/80 VS + ZP max
H: 28xCS10x100 + 2xCS10x400 
J: 28xCS10x300 + 2xCS10x450</t>
  </si>
  <si>
    <r>
      <t>F</t>
    </r>
    <r>
      <rPr>
        <vertAlign val="subscript"/>
        <sz val="11"/>
        <color theme="1"/>
        <rFont val="Calibri"/>
        <family val="2"/>
        <scheme val="minor"/>
      </rPr>
      <t>2,KKC,RK</t>
    </r>
  </si>
  <si>
    <r>
      <t>F</t>
    </r>
    <r>
      <rPr>
        <vertAlign val="subscript"/>
        <sz val="11"/>
        <color theme="1"/>
        <rFont val="Calibri"/>
        <family val="2"/>
        <scheme val="minor"/>
      </rPr>
      <t>2,Rk</t>
    </r>
  </si>
  <si>
    <r>
      <t>F</t>
    </r>
    <r>
      <rPr>
        <vertAlign val="subscript"/>
        <sz val="11"/>
        <color theme="1"/>
        <rFont val="Calibri"/>
        <family val="2"/>
        <scheme val="minor"/>
      </rPr>
      <t>4,Rk,eccentric</t>
    </r>
  </si>
  <si>
    <r>
      <rPr>
        <b/>
        <sz val="11"/>
        <rFont val="Calibri"/>
        <family val="2"/>
        <scheme val="minor"/>
      </rPr>
      <t>RICON® 120/40 SL</t>
    </r>
    <r>
      <rPr>
        <sz val="11"/>
        <rFont val="Calibri"/>
        <family val="2"/>
        <scheme val="minor"/>
      </rPr>
      <t xml:space="preserve">
H: 2xSK8x50, 6xSK5x50
J: </t>
    </r>
    <r>
      <rPr>
        <b/>
        <sz val="11"/>
        <rFont val="Calibri"/>
        <family val="2"/>
        <scheme val="minor"/>
      </rPr>
      <t>2xSK8x160</t>
    </r>
    <r>
      <rPr>
        <sz val="11"/>
        <rFont val="Calibri"/>
        <family val="2"/>
        <scheme val="minor"/>
      </rPr>
      <t>, 6xSK5x80</t>
    </r>
  </si>
  <si>
    <r>
      <t xml:space="preserve">GIGANT 150/40 
without clip lock
H: 4xCS10x80
J: </t>
    </r>
    <r>
      <rPr>
        <b/>
        <sz val="11"/>
        <rFont val="Calibri"/>
        <family val="2"/>
        <scheme val="minor"/>
      </rPr>
      <t>4xCS10x200</t>
    </r>
  </si>
  <si>
    <r>
      <t xml:space="preserve">GIGANT 180/40 
without clip lock
H: 6xCS10x80
J: </t>
    </r>
    <r>
      <rPr>
        <b/>
        <sz val="11"/>
        <rFont val="Calibri"/>
        <family val="2"/>
        <scheme val="minor"/>
      </rPr>
      <t>6xCS10x200</t>
    </r>
  </si>
  <si>
    <t>GIGANT 120/40
H: 3xSK10x80
J: 3xSK8x200</t>
  </si>
  <si>
    <t>GIGANT 150/40 
without clip lock
H: 4xSK10x80
J: 4xSK10x200</t>
  </si>
  <si>
    <t>GIGANT 180/40 
without clip lock
H: 6xSK10x80
J: 6xSK10x200</t>
  </si>
  <si>
    <t>RICON 120/40 SL carbon
H: 2xSK8x50, 6xSK5x50
J: 2xSK8x160; 6xSK5x80</t>
  </si>
  <si>
    <t>RICON® S 140/60 VS standard
H: 10xCS8x80
J: 10xCS8x160</t>
  </si>
  <si>
    <t>RICON® S 140/60 VS min
H: 7xCS8x80
J: 7xCS8x160</t>
  </si>
  <si>
    <t>RICON® S 200/60 VS min
H: 8xCS8x80
J: 8xCS8x160</t>
  </si>
  <si>
    <t>RICON® S 200/60 VS standard
H: 16xCS8x80
J: 16xCS8x160</t>
  </si>
  <si>
    <t>RICON® S 200/80 VS min
H: 8xCS10x100
J: 8xCS10x200</t>
  </si>
  <si>
    <t>RICON® S 200/80 VS standard
H: 16xCS10x100
J: 16xCS10x200</t>
  </si>
  <si>
    <t>RICON® S 290/80 VS standard
H: 25xCS10x100
J: 25xCS10x200</t>
  </si>
  <si>
    <t>RICON® S 290/80 VS min
H: 8xCS10x100
J: 8xCS10x200</t>
  </si>
  <si>
    <t>RICON® S 390/80 VS + ZP min
H: 28xCS10x100 
J: 28xCS10x200</t>
  </si>
  <si>
    <t>RICON® S 390/80 VS + ZP standard
H: 28xCS10x100 + 2xCS10x400 
J: 28xCS10x200 + 2xCS10x450</t>
  </si>
  <si>
    <t>RICON S 140/60 VS standard</t>
  </si>
  <si>
    <t>RICON S 200/60 VS standard</t>
  </si>
  <si>
    <t>RICON S 200/80 VS standard</t>
  </si>
  <si>
    <t>RICON S 290/80 VS standard</t>
  </si>
  <si>
    <t>RICON S 390/80 VS + ZP standard</t>
  </si>
  <si>
    <t>RICON S 140/60 VS min
H: 7 SK 8x80; J: 7 SK 8x160</t>
  </si>
  <si>
    <t>RICON S 200/60 VS min
H: 8 SK 8x80; J: 8 SK 8x160</t>
  </si>
  <si>
    <t>RICON S 200/80 VS min
H: 8 SK 10x100; J: 8 SK10x200</t>
  </si>
  <si>
    <t>RICON S 290/80 VS min
H: 8 SK 10x100; J: 25 SK10x200</t>
  </si>
  <si>
    <t xml:space="preserve">RICON S 390/80 VS + ZP min
H: 28 SK 10x100; 
J: 28 SK 10x200 </t>
  </si>
  <si>
    <t>RICON S 140/60 VS standard
H: 10 SK 8x80; J: 10 SK 8x160</t>
  </si>
  <si>
    <t>RICON S 200/60 VS standard
H: 16 SK 8x80; J: 16 SK 8x160</t>
  </si>
  <si>
    <t>RICON S 200/80 VS standard
H: 16 SK 10x100; J: 16 SK10x200</t>
  </si>
  <si>
    <t>RICON S 290/80 VS standard
H: 25 SK 10x100; J: 25 SK10x200</t>
  </si>
  <si>
    <t>RICON S 390/80 VS + ZP standard
H: 28 SK 10x100; + 2 SK 10x400 
J: 28 SK 10x200 + 2 SK 10x450</t>
  </si>
  <si>
    <t>RICON® S VK: (RICON® S with screwed collar bolt)</t>
  </si>
  <si>
    <t>RICON® S Vs: (RICON® S with welded collar bolt)</t>
  </si>
  <si>
    <t>RICON® S 140/60 VK Standard
H: 8x CS 8x80
J: 8x CS 8x160</t>
  </si>
  <si>
    <r>
      <rPr>
        <b/>
        <sz val="11"/>
        <color theme="1"/>
        <rFont val="Calibri"/>
        <family val="2"/>
        <scheme val="minor"/>
      </rPr>
      <t>RICON® S 140/60 VK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max</t>
    </r>
    <r>
      <rPr>
        <sz val="11"/>
        <color theme="1"/>
        <rFont val="Calibri"/>
        <family val="2"/>
        <scheme val="minor"/>
      </rPr>
      <t xml:space="preserve">
H: 8x CS 8x80
J: </t>
    </r>
    <r>
      <rPr>
        <b/>
        <sz val="11"/>
        <color theme="1"/>
        <rFont val="Calibri"/>
        <family val="2"/>
        <scheme val="minor"/>
      </rPr>
      <t>8x CS 8x240</t>
    </r>
  </si>
  <si>
    <t>RICON® S 200/60 VK Standard
H: 9x CS 8x80
J: 9x CS 8x160</t>
  </si>
  <si>
    <r>
      <rPr>
        <b/>
        <sz val="11"/>
        <color theme="1"/>
        <rFont val="Calibri"/>
        <family val="2"/>
        <scheme val="minor"/>
      </rPr>
      <t>RICON S 200/60 VK max</t>
    </r>
    <r>
      <rPr>
        <sz val="11"/>
        <color theme="1"/>
        <rFont val="Calibri"/>
        <family val="2"/>
        <scheme val="minor"/>
      </rPr>
      <t xml:space="preserve">
H: 9x CS 8x80
J: </t>
    </r>
    <r>
      <rPr>
        <b/>
        <sz val="11"/>
        <color theme="1"/>
        <rFont val="Calibri"/>
        <family val="2"/>
        <scheme val="minor"/>
      </rPr>
      <t>9x CS 8x240</t>
    </r>
  </si>
  <si>
    <t>RICON® S 200/80 VK Standard
H: 9x CS 10x100
J: 9x CS 10x200</t>
  </si>
  <si>
    <r>
      <rPr>
        <b/>
        <sz val="11"/>
        <color theme="1"/>
        <rFont val="Calibri"/>
        <family val="2"/>
        <scheme val="minor"/>
      </rPr>
      <t>RICON® S 200/80 VK max</t>
    </r>
    <r>
      <rPr>
        <sz val="11"/>
        <color theme="1"/>
        <rFont val="Calibri"/>
        <family val="2"/>
        <scheme val="minor"/>
      </rPr>
      <t xml:space="preserve">
H: 9x CS 10x100
J:</t>
    </r>
    <r>
      <rPr>
        <b/>
        <sz val="11"/>
        <color theme="1"/>
        <rFont val="Calibri"/>
        <family val="2"/>
        <scheme val="minor"/>
      </rPr>
      <t xml:space="preserve"> 9x CS 10x300</t>
    </r>
  </si>
  <si>
    <t>RICON® S 290/80 VK Standard
H: 9x CS 10x100
J: 9x CS 10x200</t>
  </si>
  <si>
    <r>
      <rPr>
        <b/>
        <sz val="11"/>
        <color theme="1"/>
        <rFont val="Calibri"/>
        <family val="2"/>
        <scheme val="minor"/>
      </rPr>
      <t>RICON® S 290/80 VK max</t>
    </r>
    <r>
      <rPr>
        <sz val="11"/>
        <color theme="1"/>
        <rFont val="Calibri"/>
        <family val="2"/>
        <scheme val="minor"/>
      </rPr>
      <t xml:space="preserve">
H: 9x CS 10x100
J: </t>
    </r>
    <r>
      <rPr>
        <b/>
        <sz val="11"/>
        <color theme="1"/>
        <rFont val="Calibri"/>
        <family val="2"/>
        <scheme val="minor"/>
      </rPr>
      <t>9x CS 10x300</t>
    </r>
  </si>
  <si>
    <t xml:space="preserve">RICON S EK Connector </t>
  </si>
  <si>
    <t xml:space="preserve">RICON S VK Connector </t>
  </si>
  <si>
    <t>RICON S 140/60 VK
H: 8 SK 8x80; J: 8 SK 8x160</t>
  </si>
  <si>
    <t>RICON S 140/60 VK
H: 8 SK 8x80; J: 8 SK 8x240</t>
  </si>
  <si>
    <t>RICON S 200/60 VK
H: 9 SK 8x80; J: 9 SK 8x160</t>
  </si>
  <si>
    <t>RICON S 200/60 VK
H: 9 SK 8x80; J: 9 SK 8x240</t>
  </si>
  <si>
    <t>RICON S 200/80 VK 
H: 9 SK 10x100; J: 9 SK10x200</t>
  </si>
  <si>
    <t>RICON S 200/80 VK 
H: 9 SK 10x100; J: 9 SK10x300</t>
  </si>
  <si>
    <t>RICON S 290/80 VK 
H: 9 SK 10x100; J: 9 SK10x200</t>
  </si>
  <si>
    <t>RICON® S EK: (RICON® S with retaining screw collar bolt)</t>
  </si>
  <si>
    <r>
      <t>F</t>
    </r>
    <r>
      <rPr>
        <vertAlign val="subscript"/>
        <sz val="11"/>
        <color theme="1"/>
        <rFont val="Calibri"/>
        <family val="2"/>
        <scheme val="minor"/>
      </rPr>
      <t>2,KKC,Rd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Symbol"/>
        <family val="1"/>
        <charset val="2"/>
      </rPr>
      <t>g</t>
    </r>
    <r>
      <rPr>
        <vertAlign val="subscript"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 =1,0</t>
    </r>
  </si>
  <si>
    <t>Total glass load per beam [kg]</t>
  </si>
  <si>
    <t>Table for load-bearing capacity of KNAPP® RICON® S according to ETA 10-0189 (Edition 10/2019)</t>
  </si>
  <si>
    <t>Table for load-bearing capacity of KNAPP® GIGANT according to ETA 10-0189 (Edition 10/2019)</t>
  </si>
  <si>
    <t>Table for load-bearing capacity of KNAPP® RICON® according to ETA 10-0189 (Edition 10/2019)</t>
  </si>
  <si>
    <t>GIGANT 120/40
H: 3xCS10x80
J: 3xCS10x120</t>
  </si>
  <si>
    <t>Version 3:</t>
  </si>
  <si>
    <r>
      <rPr>
        <b/>
        <sz val="11"/>
        <rFont val="Calibri"/>
        <family val="2"/>
        <scheme val="minor"/>
      </rPr>
      <t>RICON® 120/40 SL</t>
    </r>
    <r>
      <rPr>
        <sz val="11"/>
        <rFont val="Calibri"/>
        <family val="2"/>
        <scheme val="minor"/>
      </rPr>
      <t xml:space="preserve">
H: 2xCS8x50, 6xCS5x50
J: </t>
    </r>
    <r>
      <rPr>
        <b/>
        <sz val="11"/>
        <rFont val="Calibri"/>
        <family val="2"/>
        <scheme val="minor"/>
      </rPr>
      <t>2xCS8x160</t>
    </r>
    <r>
      <rPr>
        <sz val="11"/>
        <rFont val="Calibri"/>
        <family val="2"/>
        <scheme val="minor"/>
      </rPr>
      <t>, 6xCS5x80</t>
    </r>
  </si>
  <si>
    <r>
      <rPr>
        <b/>
        <sz val="11"/>
        <rFont val="Calibri"/>
        <family val="2"/>
        <scheme val="minor"/>
      </rPr>
      <t>RICON® 100/40 SL</t>
    </r>
    <r>
      <rPr>
        <sz val="11"/>
        <rFont val="Calibri"/>
        <family val="2"/>
        <scheme val="minor"/>
      </rPr>
      <t xml:space="preserve">
H: 2xCS8x50, 4xCS5x50
J: </t>
    </r>
    <r>
      <rPr>
        <b/>
        <sz val="11"/>
        <rFont val="Calibri"/>
        <family val="2"/>
        <scheme val="minor"/>
      </rPr>
      <t>2xCS8x160</t>
    </r>
    <r>
      <rPr>
        <sz val="11"/>
        <rFont val="Calibri"/>
        <family val="2"/>
        <scheme val="minor"/>
      </rPr>
      <t>, 4xCS5x80</t>
    </r>
  </si>
  <si>
    <t>RICON 100/40 SL carbon
H: 2xSK8x50, 4xSK5x50
J: 2xSK8x160; 4xSK5x80</t>
  </si>
  <si>
    <r>
      <rPr>
        <b/>
        <sz val="11"/>
        <rFont val="Calibri"/>
        <family val="2"/>
        <scheme val="minor"/>
      </rPr>
      <t>RICON® 100/40 SL</t>
    </r>
    <r>
      <rPr>
        <sz val="11"/>
        <rFont val="Calibri"/>
        <family val="2"/>
        <scheme val="minor"/>
      </rPr>
      <t xml:space="preserve">
H: 2xSK8x50, 4xSK5x50
J: </t>
    </r>
    <r>
      <rPr>
        <b/>
        <sz val="11"/>
        <rFont val="Calibri"/>
        <family val="2"/>
        <scheme val="minor"/>
      </rPr>
      <t>2xSK8x160</t>
    </r>
    <r>
      <rPr>
        <sz val="11"/>
        <rFont val="Calibri"/>
        <family val="2"/>
        <scheme val="minor"/>
      </rPr>
      <t>, 4xSK5x80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</si>
</sst>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_-* #,##0.00\ _€_-;\-* #,##0.00\ _€_-;_-* &quot;-&quot;??\ _€_-;_-@_-"/>
    <numFmt numFmtId="165" formatCode="&quot;kmod=&quot;0.0"/>
    <numFmt numFmtId="166" formatCode="0.0"/>
    <numFmt numFmtId="167" formatCode="0.000"/>
    <numFmt numFmtId="168" formatCode="0.00000"/>
    <numFmt numFmtId="169" formatCode="_-* #,##0.0_-;\-* #,##0.0_-;_-* &quot;-&quot;??_-;_-@_-"/>
    <numFmt numFmtId="170" formatCode="_-* #,##0.0_-;\-* #,##0.0_-;_-* &quot;-&quot;?_-;_-@_-"/>
    <numFmt numFmtId="171" formatCode="&quot;kmod =&quot;0.00"/>
    <numFmt numFmtId="172" formatCode="&quot;kmod=&quot;0.00"/>
    <numFmt numFmtId="173" formatCode="_-* #,##0.000_-;\-* #,##0.000_-;_-* &quot;-&quot;??_-;_-@_-"/>
    <numFmt numFmtId="174" formatCode="_-* #,##0.000\ _€_-;\-* #,##0.000\ _€_-;_-* &quot;-&quot;???\ _€_-;_-@_-"/>
    <numFmt numFmtId="175" formatCode="_-* #,##0.00\ _€_-;\-* #,##0.00\ _€_-;_-* &quot;-&quot;???\ _€_-;_-@_-"/>
    <numFmt numFmtId="176" formatCode="_-* #,##0_-;\-* #,##0_-;_-* &quot;-&quot;??_-;_-@_-"/>
    <numFmt numFmtId="177" formatCode="&quot;kmod = &quot;0.0"/>
    <numFmt numFmtId="178" formatCode="_-* #,##0.0\ _€_-;\-* #,##0.0\ _€_-;_-* &quot;-&quot;??\ _€_-;_-@_-"/>
    <numFmt numFmtId="179" formatCode="&quot;kmod = &quot;0.00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indexed="8"/>
      <name val="Calibri"/>
      <family val="2"/>
    </font>
    <font>
      <b/>
      <vertAlign val="subscript"/>
      <sz val="18"/>
      <color indexed="8"/>
      <name val="Calibri"/>
      <family val="2"/>
    </font>
    <font>
      <vertAlign val="subscript"/>
      <sz val="11"/>
      <color indexed="8"/>
      <name val="Calibri"/>
      <family val="2"/>
    </font>
    <font>
      <b/>
      <sz val="11"/>
      <color indexed="8"/>
      <name val="Calibri"/>
      <family val="2"/>
    </font>
    <font>
      <b/>
      <vertAlign val="subscript"/>
      <sz val="11"/>
      <color indexed="8"/>
      <name val="Calibri"/>
      <family val="2"/>
    </font>
    <font>
      <sz val="11"/>
      <color indexed="8"/>
      <name val="Symbol"/>
      <family val="1"/>
      <charset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4"/>
      <color indexed="8"/>
      <name val="Calibri"/>
      <family val="2"/>
    </font>
    <font>
      <vertAlign val="subscript"/>
      <sz val="11"/>
      <name val="Calibri"/>
      <family val="2"/>
    </font>
    <font>
      <sz val="11"/>
      <name val="Symbol"/>
      <family val="1"/>
      <charset val="2"/>
    </font>
    <font>
      <b/>
      <vertAlign val="subscript"/>
      <sz val="11"/>
      <name val="Calibri"/>
      <family val="2"/>
    </font>
    <font>
      <b/>
      <sz val="11"/>
      <name val="Calibri"/>
      <family val="2"/>
      <scheme val="minor"/>
    </font>
    <font>
      <sz val="11"/>
      <color rgb="FFFF0000"/>
      <name val="Calibri"/>
      <family val="2"/>
    </font>
    <font>
      <b/>
      <sz val="1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color indexed="8"/>
      <name val="Myriad Pro"/>
      <family val="2"/>
    </font>
    <font>
      <sz val="11"/>
      <color theme="1"/>
      <name val="Myriad Pro"/>
      <family val="2"/>
    </font>
    <font>
      <sz val="11"/>
      <color theme="0"/>
      <name val="Myriad Pro"/>
      <family val="2"/>
    </font>
    <font>
      <sz val="11"/>
      <name val="Myriad Web"/>
      <family val="2"/>
    </font>
    <font>
      <sz val="11"/>
      <name val="Myriad Pro"/>
      <family val="2"/>
    </font>
    <font>
      <vertAlign val="subscript"/>
      <sz val="11"/>
      <color theme="1"/>
      <name val="Calibri"/>
      <family val="2"/>
      <scheme val="minor"/>
    </font>
    <font>
      <b/>
      <vertAlign val="subscript"/>
      <sz val="18"/>
      <color indexed="8"/>
      <name val="Myriad Pro"/>
      <family val="2"/>
    </font>
    <font>
      <sz val="11"/>
      <color theme="1"/>
      <name val="Symbol"/>
      <family val="1"/>
      <charset val="2"/>
    </font>
    <font>
      <vertAlign val="subscript"/>
      <sz val="11"/>
      <name val="Calibri"/>
      <family val="2"/>
      <scheme val="minor"/>
    </font>
    <font>
      <sz val="11"/>
      <color theme="1"/>
      <name val="Calibri"/>
      <family val="1"/>
      <charset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0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Symbol"/>
      <family val="1"/>
      <charset val="2"/>
    </font>
    <font>
      <vertAlign val="subscript"/>
      <sz val="10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1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6" fillId="0" borderId="6" xfId="0" applyFon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6" fontId="6" fillId="0" borderId="2" xfId="2" applyNumberFormat="1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166" fontId="11" fillId="0" borderId="7" xfId="2" applyNumberFormat="1" applyFont="1" applyBorder="1" applyAlignment="1">
      <alignment horizontal="center"/>
    </xf>
    <xf numFmtId="2" fontId="6" fillId="0" borderId="7" xfId="2" applyNumberFormat="1" applyFont="1" applyBorder="1" applyAlignment="1">
      <alignment horizontal="center"/>
    </xf>
    <xf numFmtId="166" fontId="6" fillId="0" borderId="7" xfId="2" applyNumberFormat="1" applyFont="1" applyBorder="1" applyAlignment="1">
      <alignment horizontal="center"/>
    </xf>
    <xf numFmtId="164" fontId="0" fillId="0" borderId="0" xfId="1" applyFont="1"/>
    <xf numFmtId="2" fontId="0" fillId="0" borderId="0" xfId="0" applyNumberFormat="1" applyFill="1" applyBorder="1" applyAlignment="1">
      <alignment horizontal="center"/>
    </xf>
    <xf numFmtId="0" fontId="9" fillId="0" borderId="0" xfId="0" applyFont="1" applyFill="1" applyBorder="1" applyAlignment="1">
      <alignment horizontal="right"/>
    </xf>
    <xf numFmtId="0" fontId="0" fillId="2" borderId="0" xfId="0" applyFill="1"/>
    <xf numFmtId="0" fontId="0" fillId="0" borderId="0" xfId="0" applyAlignment="1">
      <alignment horizontal="right"/>
    </xf>
    <xf numFmtId="0" fontId="0" fillId="0" borderId="0" xfId="0" applyFill="1"/>
    <xf numFmtId="0" fontId="0" fillId="3" borderId="10" xfId="0" applyFill="1" applyBorder="1"/>
    <xf numFmtId="0" fontId="0" fillId="3" borderId="12" xfId="0" applyFill="1" applyBorder="1"/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0" fontId="0" fillId="3" borderId="13" xfId="0" applyFill="1" applyBorder="1" applyAlignment="1">
      <alignment horizontal="center"/>
    </xf>
    <xf numFmtId="2" fontId="0" fillId="3" borderId="0" xfId="0" applyNumberFormat="1" applyFill="1" applyBorder="1" applyAlignment="1">
      <alignment horizontal="center"/>
    </xf>
    <xf numFmtId="2" fontId="0" fillId="3" borderId="13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9" fillId="0" borderId="7" xfId="0" applyFont="1" applyFill="1" applyBorder="1"/>
    <xf numFmtId="166" fontId="9" fillId="0" borderId="7" xfId="0" applyNumberFormat="1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3" fontId="1" fillId="0" borderId="0" xfId="2" applyFont="1"/>
    <xf numFmtId="0" fontId="9" fillId="0" borderId="15" xfId="0" applyFont="1" applyFill="1" applyBorder="1"/>
    <xf numFmtId="166" fontId="9" fillId="0" borderId="15" xfId="0" applyNumberFormat="1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2" fontId="12" fillId="0" borderId="15" xfId="0" applyNumberFormat="1" applyFont="1" applyFill="1" applyBorder="1" applyAlignment="1">
      <alignment horizontal="center"/>
    </xf>
    <xf numFmtId="43" fontId="9" fillId="0" borderId="16" xfId="2" applyFont="1" applyFill="1" applyBorder="1" applyAlignment="1">
      <alignment horizontal="center"/>
    </xf>
    <xf numFmtId="0" fontId="0" fillId="0" borderId="7" xfId="0" applyBorder="1"/>
    <xf numFmtId="0" fontId="9" fillId="0" borderId="6" xfId="0" applyFont="1" applyFill="1" applyBorder="1"/>
    <xf numFmtId="166" fontId="9" fillId="0" borderId="6" xfId="0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2" fontId="12" fillId="0" borderId="6" xfId="0" applyNumberFormat="1" applyFont="1" applyFill="1" applyBorder="1" applyAlignment="1">
      <alignment horizontal="center"/>
    </xf>
    <xf numFmtId="43" fontId="9" fillId="0" borderId="14" xfId="2" applyFont="1" applyFill="1" applyBorder="1" applyAlignment="1">
      <alignment horizontal="center"/>
    </xf>
    <xf numFmtId="43" fontId="9" fillId="0" borderId="0" xfId="2" applyFon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3" borderId="13" xfId="0" applyFill="1" applyBorder="1"/>
    <xf numFmtId="0" fontId="9" fillId="0" borderId="0" xfId="0" applyFont="1"/>
    <xf numFmtId="0" fontId="0" fillId="3" borderId="0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13" fillId="0" borderId="0" xfId="0" applyFont="1" applyAlignment="1">
      <alignment horizontal="left"/>
    </xf>
    <xf numFmtId="0" fontId="0" fillId="3" borderId="17" xfId="0" applyFill="1" applyBorder="1"/>
    <xf numFmtId="2" fontId="0" fillId="3" borderId="8" xfId="0" applyNumberFormat="1" applyFill="1" applyBorder="1" applyAlignment="1">
      <alignment horizontal="center"/>
    </xf>
    <xf numFmtId="0" fontId="0" fillId="3" borderId="8" xfId="0" applyFill="1" applyBorder="1"/>
    <xf numFmtId="2" fontId="0" fillId="3" borderId="18" xfId="0" applyNumberFormat="1" applyFill="1" applyBorder="1" applyAlignment="1">
      <alignment horizontal="center"/>
    </xf>
    <xf numFmtId="168" fontId="0" fillId="0" borderId="0" xfId="0" applyNumberFormat="1"/>
    <xf numFmtId="0" fontId="0" fillId="0" borderId="14" xfId="0" applyBorder="1" applyAlignment="1">
      <alignment horizontal="center"/>
    </xf>
    <xf numFmtId="1" fontId="9" fillId="0" borderId="7" xfId="0" applyNumberFormat="1" applyFont="1" applyFill="1" applyBorder="1" applyAlignment="1">
      <alignment horizontal="center" vertical="center"/>
    </xf>
    <xf numFmtId="166" fontId="11" fillId="0" borderId="7" xfId="2" applyNumberFormat="1" applyFont="1" applyFill="1" applyBorder="1" applyAlignment="1">
      <alignment horizontal="center" vertical="center"/>
    </xf>
    <xf numFmtId="166" fontId="11" fillId="0" borderId="7" xfId="2" applyNumberFormat="1" applyFont="1" applyFill="1" applyBorder="1" applyAlignment="1">
      <alignment horizontal="center"/>
    </xf>
    <xf numFmtId="1" fontId="9" fillId="0" borderId="7" xfId="0" applyNumberFormat="1" applyFont="1" applyFill="1" applyBorder="1" applyAlignment="1">
      <alignment horizontal="center"/>
    </xf>
    <xf numFmtId="0" fontId="9" fillId="0" borderId="7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wrapText="1"/>
    </xf>
    <xf numFmtId="0" fontId="9" fillId="0" borderId="7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wrapText="1"/>
    </xf>
    <xf numFmtId="0" fontId="9" fillId="0" borderId="0" xfId="0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166" fontId="11" fillId="0" borderId="0" xfId="2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wrapText="1"/>
    </xf>
    <xf numFmtId="169" fontId="11" fillId="0" borderId="0" xfId="2" applyNumberFormat="1" applyFont="1"/>
    <xf numFmtId="170" fontId="9" fillId="0" borderId="0" xfId="0" applyNumberFormat="1" applyFont="1"/>
    <xf numFmtId="170" fontId="0" fillId="0" borderId="0" xfId="0" applyNumberFormat="1"/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2" fontId="11" fillId="0" borderId="7" xfId="2" applyNumberFormat="1" applyFont="1" applyFill="1" applyBorder="1" applyAlignment="1">
      <alignment horizontal="center" vertical="center"/>
    </xf>
    <xf numFmtId="2" fontId="12" fillId="0" borderId="7" xfId="2" applyNumberFormat="1" applyFont="1" applyFill="1" applyBorder="1" applyAlignment="1">
      <alignment horizontal="center" vertical="center"/>
    </xf>
    <xf numFmtId="166" fontId="12" fillId="0" borderId="2" xfId="2" applyNumberFormat="1" applyFont="1" applyFill="1" applyBorder="1" applyAlignment="1">
      <alignment horizontal="center"/>
    </xf>
    <xf numFmtId="2" fontId="0" fillId="0" borderId="7" xfId="0" applyNumberFormat="1" applyBorder="1" applyAlignment="1">
      <alignment horizontal="center" vertical="center"/>
    </xf>
    <xf numFmtId="166" fontId="12" fillId="0" borderId="2" xfId="2" applyNumberFormat="1" applyFont="1" applyFill="1" applyBorder="1" applyAlignment="1">
      <alignment horizontal="center" vertical="center"/>
    </xf>
    <xf numFmtId="0" fontId="9" fillId="0" borderId="0" xfId="0" applyFont="1" applyFill="1"/>
    <xf numFmtId="0" fontId="0" fillId="0" borderId="19" xfId="0" applyBorder="1"/>
    <xf numFmtId="0" fontId="9" fillId="4" borderId="1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171" fontId="0" fillId="0" borderId="7" xfId="0" applyNumberFormat="1" applyBorder="1" applyAlignment="1">
      <alignment horizontal="center"/>
    </xf>
    <xf numFmtId="2" fontId="12" fillId="0" borderId="7" xfId="2" applyNumberFormat="1" applyFont="1" applyBorder="1" applyAlignment="1">
      <alignment horizontal="center"/>
    </xf>
    <xf numFmtId="166" fontId="12" fillId="0" borderId="2" xfId="2" applyNumberFormat="1" applyFont="1" applyBorder="1" applyAlignment="1">
      <alignment horizontal="center"/>
    </xf>
    <xf numFmtId="166" fontId="12" fillId="0" borderId="0" xfId="2" applyNumberFormat="1" applyFont="1" applyBorder="1" applyAlignment="1">
      <alignment horizontal="center"/>
    </xf>
    <xf numFmtId="166" fontId="10" fillId="0" borderId="19" xfId="2" applyNumberFormat="1" applyFont="1" applyBorder="1" applyAlignment="1">
      <alignment horizontal="center"/>
    </xf>
    <xf numFmtId="166" fontId="10" fillId="0" borderId="0" xfId="2" applyNumberFormat="1" applyFont="1" applyBorder="1" applyAlignment="1">
      <alignment horizontal="center"/>
    </xf>
    <xf numFmtId="169" fontId="11" fillId="0" borderId="0" xfId="2" applyNumberFormat="1" applyFont="1" applyFill="1"/>
    <xf numFmtId="170" fontId="9" fillId="0" borderId="0" xfId="0" applyNumberFormat="1" applyFont="1" applyFill="1"/>
    <xf numFmtId="166" fontId="0" fillId="0" borderId="0" xfId="0" applyNumberFormat="1"/>
    <xf numFmtId="171" fontId="0" fillId="0" borderId="6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2" fontId="11" fillId="0" borderId="7" xfId="2" applyNumberFormat="1" applyFont="1" applyFill="1" applyBorder="1" applyAlignment="1">
      <alignment horizontal="center"/>
    </xf>
    <xf numFmtId="166" fontId="12" fillId="0" borderId="7" xfId="2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" fontId="1" fillId="0" borderId="0" xfId="2" applyNumberFormat="1" applyFont="1" applyAlignment="1">
      <alignment horizontal="center"/>
    </xf>
    <xf numFmtId="0" fontId="0" fillId="3" borderId="12" xfId="0" applyFill="1" applyBorder="1" applyAlignment="1">
      <alignment horizontal="center"/>
    </xf>
    <xf numFmtId="0" fontId="9" fillId="0" borderId="19" xfId="0" applyFont="1" applyFill="1" applyBorder="1"/>
    <xf numFmtId="0" fontId="9" fillId="0" borderId="1" xfId="0" applyFont="1" applyFill="1" applyBorder="1"/>
    <xf numFmtId="0" fontId="9" fillId="0" borderId="1" xfId="0" applyFont="1" applyFill="1" applyBorder="1" applyAlignment="1">
      <alignment horizontal="center"/>
    </xf>
    <xf numFmtId="43" fontId="11" fillId="0" borderId="7" xfId="2" applyFont="1" applyBorder="1" applyAlignment="1">
      <alignment horizontal="center"/>
    </xf>
    <xf numFmtId="166" fontId="6" fillId="0" borderId="0" xfId="2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 vertical="center"/>
    </xf>
    <xf numFmtId="43" fontId="1" fillId="0" borderId="0" xfId="2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right"/>
    </xf>
    <xf numFmtId="170" fontId="0" fillId="0" borderId="0" xfId="0" applyNumberFormat="1" applyBorder="1"/>
    <xf numFmtId="0" fontId="9" fillId="0" borderId="0" xfId="0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66" fontId="11" fillId="0" borderId="0" xfId="2" applyNumberFormat="1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Alignment="1">
      <alignment horizontal="right"/>
    </xf>
    <xf numFmtId="43" fontId="11" fillId="0" borderId="7" xfId="2" applyFont="1" applyFill="1" applyBorder="1" applyAlignment="1">
      <alignment horizontal="center"/>
    </xf>
    <xf numFmtId="2" fontId="12" fillId="0" borderId="7" xfId="2" applyNumberFormat="1" applyFont="1" applyFill="1" applyBorder="1" applyAlignment="1">
      <alignment horizontal="center"/>
    </xf>
    <xf numFmtId="2" fontId="10" fillId="0" borderId="0" xfId="2" applyNumberFormat="1" applyFont="1" applyBorder="1" applyAlignment="1">
      <alignment horizontal="center"/>
    </xf>
    <xf numFmtId="1" fontId="9" fillId="5" borderId="7" xfId="0" applyNumberFormat="1" applyFont="1" applyFill="1" applyBorder="1" applyAlignment="1">
      <alignment horizontal="center" vertical="center"/>
    </xf>
    <xf numFmtId="166" fontId="11" fillId="0" borderId="7" xfId="2" applyNumberFormat="1" applyFont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1" fontId="17" fillId="0" borderId="7" xfId="0" applyNumberFormat="1" applyFont="1" applyFill="1" applyBorder="1" applyAlignment="1">
      <alignment horizontal="center" vertical="center"/>
    </xf>
    <xf numFmtId="166" fontId="12" fillId="0" borderId="7" xfId="2" applyNumberFormat="1" applyFont="1" applyFill="1" applyBorder="1" applyAlignment="1">
      <alignment horizontal="center" vertical="center"/>
    </xf>
    <xf numFmtId="1" fontId="9" fillId="2" borderId="7" xfId="0" applyNumberFormat="1" applyFont="1" applyFill="1" applyBorder="1" applyAlignment="1">
      <alignment horizontal="center" vertical="center"/>
    </xf>
    <xf numFmtId="2" fontId="17" fillId="0" borderId="7" xfId="0" applyNumberFormat="1" applyFont="1" applyFill="1" applyBorder="1" applyAlignment="1">
      <alignment horizontal="center" vertical="center"/>
    </xf>
    <xf numFmtId="0" fontId="0" fillId="0" borderId="2" xfId="0" applyBorder="1"/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2" fontId="12" fillId="0" borderId="3" xfId="2" applyNumberFormat="1" applyFont="1" applyFill="1" applyBorder="1" applyAlignment="1">
      <alignment horizontal="center" vertical="center"/>
    </xf>
    <xf numFmtId="166" fontId="6" fillId="0" borderId="2" xfId="2" applyNumberFormat="1" applyFont="1" applyBorder="1" applyAlignment="1">
      <alignment horizontal="center" vertical="center"/>
    </xf>
    <xf numFmtId="0" fontId="0" fillId="0" borderId="0" xfId="0" applyAlignment="1">
      <alignment horizontal="right" wrapText="1"/>
    </xf>
    <xf numFmtId="166" fontId="10" fillId="0" borderId="1" xfId="2" applyNumberFormat="1" applyFont="1" applyBorder="1" applyAlignment="1">
      <alignment horizontal="center"/>
    </xf>
    <xf numFmtId="166" fontId="10" fillId="0" borderId="6" xfId="2" applyNumberFormat="1" applyFont="1" applyBorder="1" applyAlignment="1">
      <alignment horizontal="center" vertical="center"/>
    </xf>
    <xf numFmtId="166" fontId="10" fillId="5" borderId="7" xfId="2" applyNumberFormat="1" applyFont="1" applyFill="1" applyBorder="1" applyAlignment="1">
      <alignment horizontal="center"/>
    </xf>
    <xf numFmtId="166" fontId="10" fillId="0" borderId="7" xfId="2" applyNumberFormat="1" applyFont="1" applyBorder="1" applyAlignment="1">
      <alignment horizontal="center"/>
    </xf>
    <xf numFmtId="166" fontId="11" fillId="5" borderId="7" xfId="2" applyNumberFormat="1" applyFont="1" applyFill="1" applyBorder="1" applyAlignment="1">
      <alignment horizontal="center"/>
    </xf>
    <xf numFmtId="2" fontId="9" fillId="0" borderId="7" xfId="0" applyNumberFormat="1" applyFont="1" applyFill="1" applyBorder="1" applyAlignment="1">
      <alignment horizontal="center"/>
    </xf>
    <xf numFmtId="0" fontId="9" fillId="6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horizontal="center" wrapText="1"/>
    </xf>
    <xf numFmtId="1" fontId="1" fillId="0" borderId="7" xfId="2" applyNumberFormat="1" applyFont="1" applyBorder="1" applyAlignment="1">
      <alignment horizontal="center"/>
    </xf>
    <xf numFmtId="0" fontId="0" fillId="0" borderId="0" xfId="0" applyFill="1" applyBorder="1" applyAlignment="1">
      <alignment horizontal="right"/>
    </xf>
    <xf numFmtId="166" fontId="10" fillId="0" borderId="0" xfId="2" applyNumberFormat="1" applyFont="1" applyBorder="1" applyAlignment="1">
      <alignment horizontal="left"/>
    </xf>
    <xf numFmtId="0" fontId="0" fillId="4" borderId="0" xfId="0" applyFill="1"/>
    <xf numFmtId="0" fontId="10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0" fillId="0" borderId="14" xfId="0" applyFont="1" applyBorder="1" applyAlignment="1">
      <alignment horizontal="center" vertical="center"/>
    </xf>
    <xf numFmtId="172" fontId="0" fillId="0" borderId="7" xfId="0" applyNumberForma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173" fontId="1" fillId="0" borderId="7" xfId="2" applyNumberFormat="1" applyFont="1" applyBorder="1"/>
    <xf numFmtId="174" fontId="0" fillId="0" borderId="7" xfId="0" applyNumberFormat="1" applyBorder="1"/>
    <xf numFmtId="175" fontId="0" fillId="0" borderId="7" xfId="0" applyNumberFormat="1" applyBorder="1"/>
    <xf numFmtId="166" fontId="0" fillId="0" borderId="0" xfId="0" applyNumberFormat="1" applyBorder="1" applyAlignment="1">
      <alignment horizontal="center"/>
    </xf>
    <xf numFmtId="173" fontId="1" fillId="0" borderId="0" xfId="2" applyNumberFormat="1" applyFont="1" applyBorder="1"/>
    <xf numFmtId="174" fontId="0" fillId="0" borderId="0" xfId="0" applyNumberFormat="1" applyBorder="1"/>
    <xf numFmtId="175" fontId="0" fillId="0" borderId="0" xfId="0" applyNumberFormat="1" applyBorder="1"/>
    <xf numFmtId="176" fontId="1" fillId="0" borderId="0" xfId="2" applyNumberFormat="1" applyFont="1" applyBorder="1" applyAlignment="1">
      <alignment horizontal="center"/>
    </xf>
    <xf numFmtId="0" fontId="19" fillId="0" borderId="0" xfId="0" applyFont="1" applyFill="1" applyBorder="1"/>
    <xf numFmtId="0" fontId="0" fillId="0" borderId="7" xfId="0" applyBorder="1" applyAlignment="1">
      <alignment horizontal="center"/>
    </xf>
    <xf numFmtId="176" fontId="1" fillId="0" borderId="7" xfId="2" applyNumberFormat="1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1" xfId="0" applyBorder="1" applyAlignment="1">
      <alignment horizontal="center"/>
    </xf>
    <xf numFmtId="1" fontId="11" fillId="0" borderId="7" xfId="2" applyNumberFormat="1" applyFont="1" applyFill="1" applyBorder="1" applyAlignment="1">
      <alignment horizontal="center"/>
    </xf>
    <xf numFmtId="166" fontId="9" fillId="0" borderId="3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43" fontId="1" fillId="0" borderId="0" xfId="2" applyNumberFormat="1" applyFont="1"/>
    <xf numFmtId="0" fontId="2" fillId="0" borderId="0" xfId="0" applyFont="1"/>
    <xf numFmtId="0" fontId="0" fillId="0" borderId="0" xfId="0" applyFill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166" fontId="0" fillId="0" borderId="0" xfId="0" applyNumberFormat="1" applyFill="1" applyAlignment="1">
      <alignment horizontal="center"/>
    </xf>
    <xf numFmtId="166" fontId="12" fillId="0" borderId="7" xfId="2" applyNumberFormat="1" applyFont="1" applyBorder="1" applyAlignment="1">
      <alignment horizontal="center"/>
    </xf>
    <xf numFmtId="2" fontId="0" fillId="0" borderId="7" xfId="0" applyNumberFormat="1" applyFill="1" applyBorder="1" applyAlignment="1">
      <alignment horizontal="center" vertical="center"/>
    </xf>
    <xf numFmtId="1" fontId="9" fillId="0" borderId="0" xfId="2" applyNumberFormat="1" applyFont="1" applyFill="1" applyAlignment="1">
      <alignment horizontal="center"/>
    </xf>
    <xf numFmtId="167" fontId="11" fillId="0" borderId="7" xfId="2" applyNumberFormat="1" applyFont="1" applyFill="1" applyBorder="1" applyAlignment="1">
      <alignment horizontal="center"/>
    </xf>
    <xf numFmtId="0" fontId="0" fillId="3" borderId="26" xfId="0" applyFill="1" applyBorder="1" applyAlignment="1"/>
    <xf numFmtId="0" fontId="0" fillId="3" borderId="10" xfId="0" applyFill="1" applyBorder="1" applyAlignment="1"/>
    <xf numFmtId="0" fontId="0" fillId="3" borderId="11" xfId="0" applyFill="1" applyBorder="1" applyAlignment="1"/>
    <xf numFmtId="0" fontId="0" fillId="3" borderId="9" xfId="0" applyFill="1" applyBorder="1" applyAlignment="1"/>
    <xf numFmtId="0" fontId="0" fillId="0" borderId="27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5" xfId="0" applyBorder="1" applyAlignment="1">
      <alignment horizontal="center"/>
    </xf>
    <xf numFmtId="2" fontId="12" fillId="2" borderId="7" xfId="2" applyNumberFormat="1" applyFont="1" applyFill="1" applyBorder="1" applyAlignment="1">
      <alignment horizontal="center"/>
    </xf>
    <xf numFmtId="43" fontId="12" fillId="0" borderId="7" xfId="2" applyFont="1" applyBorder="1" applyAlignment="1">
      <alignment horizontal="center"/>
    </xf>
    <xf numFmtId="43" fontId="1" fillId="3" borderId="12" xfId="2" applyFont="1" applyFill="1" applyBorder="1" applyAlignment="1">
      <alignment horizontal="center"/>
    </xf>
    <xf numFmtId="43" fontId="1" fillId="3" borderId="0" xfId="2" applyFont="1" applyFill="1" applyBorder="1" applyAlignment="1">
      <alignment horizontal="center"/>
    </xf>
    <xf numFmtId="43" fontId="1" fillId="3" borderId="13" xfId="2" applyFont="1" applyFill="1" applyBorder="1" applyAlignment="1">
      <alignment horizontal="center"/>
    </xf>
    <xf numFmtId="2" fontId="0" fillId="0" borderId="5" xfId="0" applyNumberFormat="1" applyBorder="1" applyAlignment="1">
      <alignment horizontal="center" vertical="center"/>
    </xf>
    <xf numFmtId="0" fontId="0" fillId="0" borderId="15" xfId="0" applyBorder="1"/>
    <xf numFmtId="166" fontId="11" fillId="0" borderId="15" xfId="2" applyNumberFormat="1" applyFont="1" applyBorder="1" applyAlignment="1">
      <alignment horizontal="center"/>
    </xf>
    <xf numFmtId="2" fontId="12" fillId="2" borderId="15" xfId="2" applyNumberFormat="1" applyFont="1" applyFill="1" applyBorder="1" applyAlignment="1">
      <alignment horizontal="center"/>
    </xf>
    <xf numFmtId="43" fontId="12" fillId="0" borderId="15" xfId="2" applyFont="1" applyBorder="1" applyAlignment="1">
      <alignment horizontal="center"/>
    </xf>
    <xf numFmtId="166" fontId="11" fillId="0" borderId="6" xfId="2" applyNumberFormat="1" applyFont="1" applyBorder="1" applyAlignment="1">
      <alignment horizontal="center"/>
    </xf>
    <xf numFmtId="2" fontId="12" fillId="2" borderId="6" xfId="2" applyNumberFormat="1" applyFont="1" applyFill="1" applyBorder="1" applyAlignment="1">
      <alignment horizontal="center"/>
    </xf>
    <xf numFmtId="43" fontId="12" fillId="0" borderId="6" xfId="2" applyFont="1" applyBorder="1" applyAlignment="1">
      <alignment horizontal="center"/>
    </xf>
    <xf numFmtId="2" fontId="12" fillId="0" borderId="6" xfId="2" applyNumberFormat="1" applyFont="1" applyBorder="1" applyAlignment="1">
      <alignment horizontal="center"/>
    </xf>
    <xf numFmtId="0" fontId="0" fillId="3" borderId="12" xfId="0" applyFill="1" applyBorder="1" applyAlignment="1"/>
    <xf numFmtId="0" fontId="0" fillId="3" borderId="0" xfId="0" applyFill="1" applyBorder="1" applyAlignment="1"/>
    <xf numFmtId="0" fontId="0" fillId="3" borderId="13" xfId="0" applyFill="1" applyBorder="1" applyAlignment="1"/>
    <xf numFmtId="0" fontId="0" fillId="0" borderId="7" xfId="0" applyFill="1" applyBorder="1"/>
    <xf numFmtId="0" fontId="0" fillId="0" borderId="0" xfId="0" applyFill="1" applyAlignment="1">
      <alignment horizontal="center" vertical="center"/>
    </xf>
    <xf numFmtId="43" fontId="1" fillId="3" borderId="17" xfId="2" applyFont="1" applyFill="1" applyBorder="1" applyAlignment="1">
      <alignment horizontal="center"/>
    </xf>
    <xf numFmtId="43" fontId="1" fillId="3" borderId="8" xfId="2" applyFont="1" applyFill="1" applyBorder="1" applyAlignment="1">
      <alignment horizontal="center"/>
    </xf>
    <xf numFmtId="43" fontId="1" fillId="3" borderId="18" xfId="2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166" fontId="9" fillId="0" borderId="28" xfId="0" applyNumberFormat="1" applyFont="1" applyFill="1" applyBorder="1" applyAlignment="1">
      <alignment horizontal="center"/>
    </xf>
    <xf numFmtId="1" fontId="9" fillId="0" borderId="28" xfId="0" applyNumberFormat="1" applyFont="1" applyFill="1" applyBorder="1" applyAlignment="1">
      <alignment horizontal="center"/>
    </xf>
    <xf numFmtId="166" fontId="11" fillId="0" borderId="28" xfId="3" applyNumberFormat="1" applyFont="1" applyFill="1" applyBorder="1" applyAlignment="1">
      <alignment horizontal="center"/>
    </xf>
    <xf numFmtId="1" fontId="9" fillId="0" borderId="6" xfId="0" applyNumberFormat="1" applyFont="1" applyFill="1" applyBorder="1" applyAlignment="1">
      <alignment horizontal="center"/>
    </xf>
    <xf numFmtId="166" fontId="10" fillId="0" borderId="0" xfId="3" applyNumberFormat="1" applyFont="1" applyBorder="1" applyAlignment="1">
      <alignment horizontal="center"/>
    </xf>
    <xf numFmtId="0" fontId="0" fillId="7" borderId="7" xfId="0" applyFill="1" applyBorder="1"/>
    <xf numFmtId="1" fontId="9" fillId="7" borderId="7" xfId="0" applyNumberFormat="1" applyFont="1" applyFill="1" applyBorder="1" applyAlignment="1">
      <alignment horizontal="center"/>
    </xf>
    <xf numFmtId="166" fontId="9" fillId="7" borderId="7" xfId="0" applyNumberFormat="1" applyFont="1" applyFill="1" applyBorder="1" applyAlignment="1">
      <alignment horizontal="center"/>
    </xf>
    <xf numFmtId="166" fontId="11" fillId="7" borderId="7" xfId="3" applyNumberFormat="1" applyFont="1" applyFill="1" applyBorder="1" applyAlignment="1">
      <alignment horizontal="center"/>
    </xf>
    <xf numFmtId="0" fontId="0" fillId="0" borderId="28" xfId="0" applyFill="1" applyBorder="1"/>
    <xf numFmtId="0" fontId="0" fillId="0" borderId="0" xfId="0" quotePrefix="1"/>
    <xf numFmtId="0" fontId="0" fillId="7" borderId="6" xfId="0" applyFill="1" applyBorder="1"/>
    <xf numFmtId="1" fontId="9" fillId="7" borderId="6" xfId="0" applyNumberFormat="1" applyFont="1" applyFill="1" applyBorder="1" applyAlignment="1">
      <alignment horizontal="center"/>
    </xf>
    <xf numFmtId="166" fontId="9" fillId="7" borderId="6" xfId="0" applyNumberFormat="1" applyFont="1" applyFill="1" applyBorder="1" applyAlignment="1">
      <alignment horizontal="center"/>
    </xf>
    <xf numFmtId="166" fontId="11" fillId="7" borderId="6" xfId="3" applyNumberFormat="1" applyFont="1" applyFill="1" applyBorder="1" applyAlignment="1">
      <alignment horizontal="center"/>
    </xf>
    <xf numFmtId="166" fontId="11" fillId="0" borderId="7" xfId="3" applyNumberFormat="1" applyFont="1" applyFill="1" applyBorder="1" applyAlignment="1">
      <alignment horizontal="center"/>
    </xf>
    <xf numFmtId="0" fontId="22" fillId="0" borderId="0" xfId="0" applyFont="1" applyFill="1" applyBorder="1"/>
    <xf numFmtId="0" fontId="23" fillId="0" borderId="0" xfId="0" applyFont="1" applyFill="1" applyBorder="1"/>
    <xf numFmtId="0" fontId="22" fillId="0" borderId="0" xfId="0" applyFont="1" applyFill="1" applyBorder="1" applyAlignment="1"/>
    <xf numFmtId="0" fontId="0" fillId="0" borderId="0" xfId="0" applyFill="1" applyBorder="1"/>
    <xf numFmtId="0" fontId="24" fillId="0" borderId="0" xfId="0" applyFont="1" applyFill="1" applyBorder="1"/>
    <xf numFmtId="0" fontId="24" fillId="0" borderId="0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vertical="center" wrapText="1"/>
    </xf>
    <xf numFmtId="177" fontId="24" fillId="0" borderId="0" xfId="0" applyNumberFormat="1" applyFont="1" applyFill="1" applyBorder="1" applyAlignment="1">
      <alignment horizontal="center"/>
    </xf>
    <xf numFmtId="0" fontId="23" fillId="0" borderId="0" xfId="0" applyFont="1" applyFill="1" applyBorder="1" applyAlignment="1">
      <alignment vertical="center" wrapText="1"/>
    </xf>
    <xf numFmtId="1" fontId="25" fillId="0" borderId="0" xfId="3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vertical="center"/>
    </xf>
    <xf numFmtId="2" fontId="23" fillId="0" borderId="0" xfId="0" applyNumberFormat="1" applyFont="1" applyFill="1" applyBorder="1" applyAlignment="1">
      <alignment horizontal="center"/>
    </xf>
    <xf numFmtId="0" fontId="0" fillId="7" borderId="29" xfId="0" applyFill="1" applyBorder="1"/>
    <xf numFmtId="1" fontId="9" fillId="7" borderId="29" xfId="0" applyNumberFormat="1" applyFont="1" applyFill="1" applyBorder="1" applyAlignment="1">
      <alignment horizontal="center"/>
    </xf>
    <xf numFmtId="166" fontId="9" fillId="7" borderId="29" xfId="0" applyNumberFormat="1" applyFont="1" applyFill="1" applyBorder="1" applyAlignment="1">
      <alignment horizontal="center"/>
    </xf>
    <xf numFmtId="166" fontId="11" fillId="7" borderId="29" xfId="3" applyNumberFormat="1" applyFont="1" applyFill="1" applyBorder="1" applyAlignment="1">
      <alignment horizontal="center"/>
    </xf>
    <xf numFmtId="2" fontId="1" fillId="0" borderId="0" xfId="3" applyNumberFormat="1" applyFont="1" applyFill="1" applyBorder="1" applyAlignment="1">
      <alignment horizontal="center" vertical="center"/>
    </xf>
    <xf numFmtId="2" fontId="1" fillId="0" borderId="0" xfId="3" applyNumberFormat="1" applyFont="1" applyFill="1" applyBorder="1" applyAlignment="1">
      <alignment vertical="center"/>
    </xf>
    <xf numFmtId="2" fontId="23" fillId="0" borderId="0" xfId="0" applyNumberFormat="1" applyFont="1" applyFill="1" applyBorder="1" applyAlignment="1">
      <alignment vertical="center"/>
    </xf>
    <xf numFmtId="0" fontId="22" fillId="0" borderId="0" xfId="0" applyFont="1"/>
    <xf numFmtId="169" fontId="11" fillId="0" borderId="0" xfId="3" applyNumberFormat="1" applyFont="1"/>
    <xf numFmtId="1" fontId="9" fillId="0" borderId="1" xfId="0" applyNumberFormat="1" applyFont="1" applyFill="1" applyBorder="1" applyAlignment="1">
      <alignment horizontal="center"/>
    </xf>
    <xf numFmtId="166" fontId="9" fillId="0" borderId="1" xfId="0" applyNumberFormat="1" applyFont="1" applyFill="1" applyBorder="1" applyAlignment="1">
      <alignment horizontal="center"/>
    </xf>
    <xf numFmtId="166" fontId="11" fillId="0" borderId="1" xfId="3" applyNumberFormat="1" applyFont="1" applyFill="1" applyBorder="1" applyAlignment="1">
      <alignment horizontal="center"/>
    </xf>
    <xf numFmtId="166" fontId="11" fillId="2" borderId="7" xfId="3" applyNumberFormat="1" applyFont="1" applyFill="1" applyBorder="1" applyAlignment="1">
      <alignment horizontal="center"/>
    </xf>
    <xf numFmtId="1" fontId="0" fillId="7" borderId="7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" fontId="11" fillId="0" borderId="1" xfId="3" applyNumberFormat="1" applyFont="1" applyFill="1" applyBorder="1" applyAlignment="1">
      <alignment horizontal="center"/>
    </xf>
    <xf numFmtId="166" fontId="9" fillId="0" borderId="20" xfId="0" applyNumberFormat="1" applyFont="1" applyFill="1" applyBorder="1" applyAlignment="1">
      <alignment horizontal="center"/>
    </xf>
    <xf numFmtId="1" fontId="11" fillId="0" borderId="28" xfId="3" applyNumberFormat="1" applyFont="1" applyFill="1" applyBorder="1" applyAlignment="1">
      <alignment horizontal="center"/>
    </xf>
    <xf numFmtId="166" fontId="9" fillId="0" borderId="31" xfId="0" applyNumberFormat="1" applyFont="1" applyFill="1" applyBorder="1" applyAlignment="1">
      <alignment horizontal="center"/>
    </xf>
    <xf numFmtId="1" fontId="11" fillId="0" borderId="7" xfId="3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6" fontId="6" fillId="0" borderId="0" xfId="3" applyNumberFormat="1" applyFont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7" borderId="7" xfId="0" applyFill="1" applyBorder="1" applyAlignment="1">
      <alignment vertical="top" wrapText="1"/>
    </xf>
    <xf numFmtId="166" fontId="9" fillId="7" borderId="7" xfId="0" applyNumberFormat="1" applyFont="1" applyFill="1" applyBorder="1" applyAlignment="1">
      <alignment horizontal="center" vertical="center"/>
    </xf>
    <xf numFmtId="1" fontId="9" fillId="7" borderId="7" xfId="0" applyNumberFormat="1" applyFont="1" applyFill="1" applyBorder="1" applyAlignment="1">
      <alignment horizontal="center" vertical="center"/>
    </xf>
    <xf numFmtId="2" fontId="11" fillId="7" borderId="7" xfId="3" applyNumberFormat="1" applyFont="1" applyFill="1" applyBorder="1" applyAlignment="1">
      <alignment horizontal="center" vertical="center"/>
    </xf>
    <xf numFmtId="166" fontId="12" fillId="7" borderId="7" xfId="3" applyNumberFormat="1" applyFont="1" applyFill="1" applyBorder="1" applyAlignment="1">
      <alignment horizontal="center" vertical="center"/>
    </xf>
    <xf numFmtId="166" fontId="9" fillId="0" borderId="14" xfId="0" applyNumberFormat="1" applyFont="1" applyFill="1" applyBorder="1" applyAlignment="1">
      <alignment horizontal="center"/>
    </xf>
    <xf numFmtId="2" fontId="9" fillId="7" borderId="7" xfId="0" applyNumberFormat="1" applyFont="1" applyFill="1" applyBorder="1" applyAlignment="1">
      <alignment horizontal="center" vertical="center"/>
    </xf>
    <xf numFmtId="0" fontId="0" fillId="0" borderId="28" xfId="0" applyFill="1" applyBorder="1" applyAlignment="1">
      <alignment vertical="top" wrapText="1"/>
    </xf>
    <xf numFmtId="166" fontId="9" fillId="0" borderId="28" xfId="0" applyNumberFormat="1" applyFont="1" applyFill="1" applyBorder="1" applyAlignment="1">
      <alignment horizontal="center" vertical="center"/>
    </xf>
    <xf numFmtId="1" fontId="9" fillId="0" borderId="28" xfId="0" applyNumberFormat="1" applyFont="1" applyFill="1" applyBorder="1" applyAlignment="1">
      <alignment horizontal="center" vertical="center"/>
    </xf>
    <xf numFmtId="1" fontId="9" fillId="4" borderId="28" xfId="0" applyNumberFormat="1" applyFont="1" applyFill="1" applyBorder="1" applyAlignment="1">
      <alignment horizontal="center" vertical="center"/>
    </xf>
    <xf numFmtId="2" fontId="11" fillId="0" borderId="28" xfId="3" applyNumberFormat="1" applyFont="1" applyFill="1" applyBorder="1" applyAlignment="1">
      <alignment horizontal="center" vertical="center"/>
    </xf>
    <xf numFmtId="166" fontId="12" fillId="0" borderId="28" xfId="3" applyNumberFormat="1" applyFont="1" applyFill="1" applyBorder="1" applyAlignment="1">
      <alignment horizontal="center" vertical="center"/>
    </xf>
    <xf numFmtId="2" fontId="9" fillId="0" borderId="28" xfId="0" applyNumberFormat="1" applyFont="1" applyFill="1" applyBorder="1" applyAlignment="1">
      <alignment horizontal="center" vertical="center"/>
    </xf>
    <xf numFmtId="0" fontId="0" fillId="7" borderId="6" xfId="0" applyFill="1" applyBorder="1" applyAlignment="1">
      <alignment vertical="top" wrapText="1"/>
    </xf>
    <xf numFmtId="166" fontId="9" fillId="7" borderId="6" xfId="0" applyNumberFormat="1" applyFont="1" applyFill="1" applyBorder="1" applyAlignment="1">
      <alignment horizontal="center" vertical="center"/>
    </xf>
    <xf numFmtId="1" fontId="9" fillId="7" borderId="6" xfId="0" applyNumberFormat="1" applyFont="1" applyFill="1" applyBorder="1" applyAlignment="1">
      <alignment horizontal="center" vertical="center"/>
    </xf>
    <xf numFmtId="2" fontId="11" fillId="7" borderId="6" xfId="3" applyNumberFormat="1" applyFont="1" applyFill="1" applyBorder="1" applyAlignment="1">
      <alignment horizontal="center" vertical="center"/>
    </xf>
    <xf numFmtId="166" fontId="12" fillId="7" borderId="6" xfId="3" applyNumberFormat="1" applyFont="1" applyFill="1" applyBorder="1" applyAlignment="1">
      <alignment horizontal="center" vertical="center"/>
    </xf>
    <xf numFmtId="2" fontId="9" fillId="7" borderId="6" xfId="0" applyNumberFormat="1" applyFont="1" applyFill="1" applyBorder="1" applyAlignment="1">
      <alignment horizontal="center" vertical="center"/>
    </xf>
    <xf numFmtId="9" fontId="0" fillId="0" borderId="2" xfId="4" applyFont="1" applyFill="1" applyBorder="1" applyAlignment="1">
      <alignment horizontal="center" vertical="center"/>
    </xf>
    <xf numFmtId="0" fontId="0" fillId="4" borderId="7" xfId="0" applyFill="1" applyBorder="1" applyAlignment="1">
      <alignment vertical="top" wrapText="1"/>
    </xf>
    <xf numFmtId="166" fontId="9" fillId="0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2" fontId="11" fillId="0" borderId="7" xfId="3" applyNumberFormat="1" applyFont="1" applyFill="1" applyBorder="1" applyAlignment="1">
      <alignment horizontal="center" vertical="center"/>
    </xf>
    <xf numFmtId="166" fontId="12" fillId="0" borderId="7" xfId="3" applyNumberFormat="1" applyFont="1" applyFill="1" applyBorder="1" applyAlignment="1">
      <alignment horizontal="center" vertical="center"/>
    </xf>
    <xf numFmtId="166" fontId="9" fillId="0" borderId="14" xfId="0" applyNumberFormat="1" applyFont="1" applyFill="1" applyBorder="1" applyAlignment="1">
      <alignment horizontal="center" vertical="center"/>
    </xf>
    <xf numFmtId="2" fontId="9" fillId="0" borderId="7" xfId="0" applyNumberFormat="1" applyFont="1" applyFill="1" applyBorder="1" applyAlignment="1">
      <alignment horizontal="center" vertical="center"/>
    </xf>
    <xf numFmtId="164" fontId="0" fillId="2" borderId="7" xfId="1" applyFont="1" applyFill="1" applyBorder="1"/>
    <xf numFmtId="166" fontId="11" fillId="7" borderId="3" xfId="3" applyNumberFormat="1" applyFont="1" applyFill="1" applyBorder="1" applyAlignment="1">
      <alignment horizontal="center"/>
    </xf>
    <xf numFmtId="166" fontId="10" fillId="0" borderId="0" xfId="3" applyNumberFormat="1" applyFont="1" applyFill="1" applyBorder="1" applyAlignment="1">
      <alignment horizontal="center"/>
    </xf>
    <xf numFmtId="166" fontId="11" fillId="0" borderId="31" xfId="3" applyNumberFormat="1" applyFont="1" applyFill="1" applyBorder="1" applyAlignment="1">
      <alignment horizontal="center"/>
    </xf>
    <xf numFmtId="166" fontId="11" fillId="7" borderId="21" xfId="3" applyNumberFormat="1" applyFont="1" applyFill="1" applyBorder="1" applyAlignment="1">
      <alignment horizontal="center"/>
    </xf>
    <xf numFmtId="166" fontId="9" fillId="0" borderId="0" xfId="0" applyNumberFormat="1" applyFont="1" applyFill="1" applyBorder="1" applyAlignment="1">
      <alignment horizontal="center"/>
    </xf>
    <xf numFmtId="166" fontId="11" fillId="0" borderId="0" xfId="3" applyNumberFormat="1" applyFont="1" applyFill="1" applyBorder="1" applyAlignment="1">
      <alignment horizontal="center"/>
    </xf>
    <xf numFmtId="0" fontId="0" fillId="0" borderId="7" xfId="0" applyFill="1" applyBorder="1" applyAlignment="1">
      <alignment vertical="center"/>
    </xf>
    <xf numFmtId="166" fontId="11" fillId="0" borderId="3" xfId="3" applyNumberFormat="1" applyFont="1" applyFill="1" applyBorder="1" applyAlignment="1">
      <alignment horizontal="center" vertical="center"/>
    </xf>
    <xf numFmtId="166" fontId="11" fillId="0" borderId="7" xfId="3" applyNumberFormat="1" applyFont="1" applyFill="1" applyBorder="1" applyAlignment="1">
      <alignment horizontal="center" vertical="center"/>
    </xf>
    <xf numFmtId="166" fontId="9" fillId="0" borderId="0" xfId="0" applyNumberFormat="1" applyFont="1" applyFill="1" applyBorder="1" applyAlignment="1">
      <alignment horizontal="center" vertical="center"/>
    </xf>
    <xf numFmtId="166" fontId="11" fillId="0" borderId="0" xfId="3" applyNumberFormat="1" applyFont="1" applyFill="1" applyBorder="1" applyAlignment="1">
      <alignment horizontal="center" vertical="center"/>
    </xf>
    <xf numFmtId="166" fontId="11" fillId="7" borderId="30" xfId="3" applyNumberFormat="1" applyFont="1" applyFill="1" applyBorder="1" applyAlignment="1">
      <alignment horizontal="center"/>
    </xf>
    <xf numFmtId="0" fontId="0" fillId="0" borderId="0" xfId="0" quotePrefix="1" applyAlignment="1">
      <alignment vertical="center"/>
    </xf>
    <xf numFmtId="1" fontId="17" fillId="2" borderId="7" xfId="0" applyNumberFormat="1" applyFont="1" applyFill="1" applyBorder="1" applyAlignment="1">
      <alignment horizontal="center" vertical="center"/>
    </xf>
    <xf numFmtId="166" fontId="11" fillId="7" borderId="7" xfId="3" applyNumberFormat="1" applyFont="1" applyFill="1" applyBorder="1" applyAlignment="1">
      <alignment horizontal="center" vertical="center"/>
    </xf>
    <xf numFmtId="164" fontId="9" fillId="7" borderId="7" xfId="3" applyFont="1" applyFill="1" applyBorder="1" applyAlignment="1">
      <alignment horizontal="center" vertical="center"/>
    </xf>
    <xf numFmtId="164" fontId="11" fillId="7" borderId="7" xfId="3" applyFont="1" applyFill="1" applyBorder="1" applyAlignment="1">
      <alignment horizontal="center" vertical="center"/>
    </xf>
    <xf numFmtId="1" fontId="17" fillId="2" borderId="28" xfId="0" applyNumberFormat="1" applyFont="1" applyFill="1" applyBorder="1" applyAlignment="1">
      <alignment horizontal="center" vertical="center"/>
    </xf>
    <xf numFmtId="166" fontId="11" fillId="0" borderId="28" xfId="3" applyNumberFormat="1" applyFont="1" applyFill="1" applyBorder="1" applyAlignment="1">
      <alignment horizontal="center" vertical="center"/>
    </xf>
    <xf numFmtId="164" fontId="9" fillId="0" borderId="1" xfId="3" applyFont="1" applyFill="1" applyBorder="1" applyAlignment="1">
      <alignment horizontal="center" vertical="center"/>
    </xf>
    <xf numFmtId="164" fontId="11" fillId="0" borderId="1" xfId="3" applyFont="1" applyFill="1" applyBorder="1" applyAlignment="1">
      <alignment horizontal="center" vertical="center"/>
    </xf>
    <xf numFmtId="166" fontId="9" fillId="7" borderId="29" xfId="0" applyNumberFormat="1" applyFont="1" applyFill="1" applyBorder="1" applyAlignment="1">
      <alignment horizontal="center" vertical="center"/>
    </xf>
    <xf numFmtId="1" fontId="17" fillId="2" borderId="29" xfId="0" applyNumberFormat="1" applyFont="1" applyFill="1" applyBorder="1" applyAlignment="1">
      <alignment horizontal="center" vertical="center"/>
    </xf>
    <xf numFmtId="166" fontId="11" fillId="7" borderId="29" xfId="3" applyNumberFormat="1" applyFont="1" applyFill="1" applyBorder="1" applyAlignment="1">
      <alignment horizontal="center" vertical="center"/>
    </xf>
    <xf numFmtId="164" fontId="9" fillId="7" borderId="29" xfId="3" applyFont="1" applyFill="1" applyBorder="1" applyAlignment="1">
      <alignment horizontal="center" vertical="center"/>
    </xf>
    <xf numFmtId="164" fontId="11" fillId="7" borderId="29" xfId="3" applyFont="1" applyFill="1" applyBorder="1" applyAlignment="1">
      <alignment horizontal="center" vertical="center"/>
    </xf>
    <xf numFmtId="164" fontId="9" fillId="0" borderId="28" xfId="3" applyFont="1" applyFill="1" applyBorder="1" applyAlignment="1">
      <alignment horizontal="center" vertical="center"/>
    </xf>
    <xf numFmtId="164" fontId="11" fillId="0" borderId="28" xfId="3" applyFont="1" applyFill="1" applyBorder="1" applyAlignment="1">
      <alignment horizontal="center" vertical="center"/>
    </xf>
    <xf numFmtId="164" fontId="9" fillId="7" borderId="6" xfId="3" applyFont="1" applyFill="1" applyBorder="1" applyAlignment="1">
      <alignment horizontal="center" vertical="center"/>
    </xf>
    <xf numFmtId="164" fontId="11" fillId="7" borderId="6" xfId="3" applyFont="1" applyFill="1" applyBorder="1" applyAlignment="1">
      <alignment horizontal="center" vertical="center"/>
    </xf>
    <xf numFmtId="1" fontId="17" fillId="2" borderId="6" xfId="0" applyNumberFormat="1" applyFont="1" applyFill="1" applyBorder="1" applyAlignment="1">
      <alignment horizontal="center" vertical="center"/>
    </xf>
    <xf numFmtId="166" fontId="11" fillId="7" borderId="6" xfId="3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vertical="top" wrapText="1"/>
    </xf>
    <xf numFmtId="1" fontId="0" fillId="0" borderId="0" xfId="0" applyNumberFormat="1" applyFill="1" applyBorder="1" applyAlignment="1">
      <alignment horizontal="center"/>
    </xf>
    <xf numFmtId="166" fontId="11" fillId="0" borderId="20" xfId="3" applyNumberFormat="1" applyFont="1" applyFill="1" applyBorder="1" applyAlignment="1">
      <alignment horizontal="center"/>
    </xf>
    <xf numFmtId="0" fontId="0" fillId="7" borderId="6" xfId="0" applyFill="1" applyBorder="1" applyAlignment="1">
      <alignment vertical="center"/>
    </xf>
    <xf numFmtId="0" fontId="9" fillId="7" borderId="6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1" fontId="11" fillId="7" borderId="7" xfId="3" applyNumberFormat="1" applyFont="1" applyFill="1" applyBorder="1" applyAlignment="1">
      <alignment horizontal="center"/>
    </xf>
    <xf numFmtId="166" fontId="9" fillId="7" borderId="3" xfId="0" applyNumberFormat="1" applyFont="1" applyFill="1" applyBorder="1" applyAlignment="1">
      <alignment horizontal="center"/>
    </xf>
    <xf numFmtId="1" fontId="11" fillId="7" borderId="29" xfId="3" applyNumberFormat="1" applyFont="1" applyFill="1" applyBorder="1" applyAlignment="1">
      <alignment horizontal="center"/>
    </xf>
    <xf numFmtId="166" fontId="9" fillId="7" borderId="30" xfId="0" applyNumberFormat="1" applyFont="1" applyFill="1" applyBorder="1" applyAlignment="1">
      <alignment horizontal="center"/>
    </xf>
    <xf numFmtId="1" fontId="11" fillId="7" borderId="6" xfId="3" applyNumberFormat="1" applyFont="1" applyFill="1" applyBorder="1" applyAlignment="1">
      <alignment horizontal="center"/>
    </xf>
    <xf numFmtId="166" fontId="9" fillId="7" borderId="21" xfId="0" applyNumberFormat="1" applyFont="1" applyFill="1" applyBorder="1" applyAlignment="1">
      <alignment horizontal="center"/>
    </xf>
    <xf numFmtId="9" fontId="11" fillId="0" borderId="2" xfId="4" applyFont="1" applyFill="1" applyBorder="1" applyAlignment="1">
      <alignment horizontal="center"/>
    </xf>
    <xf numFmtId="164" fontId="9" fillId="4" borderId="7" xfId="3" applyFont="1" applyFill="1" applyBorder="1" applyAlignment="1">
      <alignment horizontal="center" vertical="center"/>
    </xf>
    <xf numFmtId="164" fontId="11" fillId="4" borderId="7" xfId="3" applyFont="1" applyFill="1" applyBorder="1" applyAlignment="1">
      <alignment horizontal="center" vertical="center"/>
    </xf>
    <xf numFmtId="9" fontId="11" fillId="0" borderId="0" xfId="4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166" fontId="11" fillId="6" borderId="7" xfId="2" applyNumberFormat="1" applyFont="1" applyFill="1" applyBorder="1" applyAlignment="1">
      <alignment horizontal="center"/>
    </xf>
    <xf numFmtId="0" fontId="0" fillId="0" borderId="23" xfId="0" applyBorder="1"/>
    <xf numFmtId="0" fontId="0" fillId="0" borderId="19" xfId="0" applyBorder="1" applyAlignment="1">
      <alignment horizontal="right"/>
    </xf>
    <xf numFmtId="166" fontId="11" fillId="2" borderId="7" xfId="2" applyNumberFormat="1" applyFont="1" applyFill="1" applyBorder="1" applyAlignment="1">
      <alignment horizontal="center"/>
    </xf>
    <xf numFmtId="0" fontId="0" fillId="0" borderId="0" xfId="0" applyFill="1" applyBorder="1" applyAlignment="1"/>
    <xf numFmtId="0" fontId="2" fillId="0" borderId="2" xfId="0" applyFont="1" applyFill="1" applyBorder="1" applyAlignment="1">
      <alignment horizontal="center"/>
    </xf>
    <xf numFmtId="43" fontId="9" fillId="0" borderId="2" xfId="2" applyFont="1" applyFill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9" fillId="0" borderId="2" xfId="0" applyFont="1" applyBorder="1"/>
    <xf numFmtId="0" fontId="9" fillId="2" borderId="0" xfId="0" applyFont="1" applyFill="1"/>
    <xf numFmtId="2" fontId="0" fillId="0" borderId="32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1" fontId="9" fillId="0" borderId="15" xfId="0" applyNumberFormat="1" applyFont="1" applyFill="1" applyBorder="1" applyAlignment="1">
      <alignment horizontal="center"/>
    </xf>
    <xf numFmtId="166" fontId="11" fillId="0" borderId="15" xfId="2" applyNumberFormat="1" applyFont="1" applyFill="1" applyBorder="1" applyAlignment="1">
      <alignment horizontal="center"/>
    </xf>
    <xf numFmtId="166" fontId="11" fillId="0" borderId="6" xfId="2" applyNumberFormat="1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1" fontId="9" fillId="0" borderId="19" xfId="0" applyNumberFormat="1" applyFont="1" applyFill="1" applyBorder="1" applyAlignment="1">
      <alignment horizontal="center"/>
    </xf>
    <xf numFmtId="166" fontId="11" fillId="0" borderId="19" xfId="2" applyNumberFormat="1" applyFont="1" applyFill="1" applyBorder="1" applyAlignment="1">
      <alignment horizontal="center"/>
    </xf>
    <xf numFmtId="43" fontId="11" fillId="0" borderId="0" xfId="2" applyFont="1" applyBorder="1" applyAlignment="1">
      <alignment horizontal="center"/>
    </xf>
    <xf numFmtId="166" fontId="6" fillId="0" borderId="15" xfId="2" applyNumberFormat="1" applyFont="1" applyBorder="1" applyAlignment="1">
      <alignment horizontal="center"/>
    </xf>
    <xf numFmtId="43" fontId="1" fillId="0" borderId="0" xfId="2" applyFont="1" applyBorder="1"/>
    <xf numFmtId="2" fontId="0" fillId="0" borderId="15" xfId="0" applyNumberFormat="1" applyBorder="1" applyAlignment="1">
      <alignment horizontal="center" vertical="center"/>
    </xf>
    <xf numFmtId="166" fontId="6" fillId="0" borderId="6" xfId="2" applyNumberFormat="1" applyFont="1" applyBorder="1" applyAlignment="1">
      <alignment horizontal="center"/>
    </xf>
    <xf numFmtId="164" fontId="9" fillId="0" borderId="7" xfId="1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178" fontId="9" fillId="0" borderId="7" xfId="1" applyNumberFormat="1" applyFont="1" applyFill="1" applyBorder="1" applyAlignment="1">
      <alignment horizontal="center"/>
    </xf>
    <xf numFmtId="1" fontId="9" fillId="0" borderId="2" xfId="0" applyNumberFormat="1" applyFont="1" applyFill="1" applyBorder="1" applyAlignment="1">
      <alignment horizontal="center"/>
    </xf>
    <xf numFmtId="0" fontId="0" fillId="2" borderId="0" xfId="0" applyFill="1" applyBorder="1"/>
    <xf numFmtId="0" fontId="0" fillId="0" borderId="0" xfId="0" applyBorder="1" applyAlignment="1"/>
    <xf numFmtId="43" fontId="1" fillId="0" borderId="0" xfId="2" applyFont="1" applyFill="1" applyBorder="1" applyAlignment="1">
      <alignment horizontal="center"/>
    </xf>
    <xf numFmtId="167" fontId="0" fillId="0" borderId="0" xfId="0" applyNumberFormat="1" applyAlignment="1">
      <alignment horizontal="right"/>
    </xf>
    <xf numFmtId="166" fontId="11" fillId="2" borderId="0" xfId="2" applyNumberFormat="1" applyFont="1" applyFill="1" applyBorder="1" applyAlignment="1">
      <alignment horizontal="center" vertical="center"/>
    </xf>
    <xf numFmtId="166" fontId="9" fillId="0" borderId="19" xfId="0" applyNumberFormat="1" applyFont="1" applyFill="1" applyBorder="1" applyAlignment="1">
      <alignment horizontal="center"/>
    </xf>
    <xf numFmtId="0" fontId="0" fillId="0" borderId="24" xfId="0" applyFill="1" applyBorder="1"/>
    <xf numFmtId="0" fontId="9" fillId="0" borderId="24" xfId="0" applyFont="1" applyFill="1" applyBorder="1"/>
    <xf numFmtId="166" fontId="11" fillId="2" borderId="19" xfId="2" applyNumberFormat="1" applyFont="1" applyFill="1" applyBorder="1" applyAlignment="1">
      <alignment horizontal="center"/>
    </xf>
    <xf numFmtId="0" fontId="9" fillId="0" borderId="7" xfId="0" applyFont="1" applyBorder="1" applyAlignment="1">
      <alignment wrapText="1"/>
    </xf>
    <xf numFmtId="166" fontId="9" fillId="0" borderId="7" xfId="0" applyNumberFormat="1" applyFont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164" fontId="11" fillId="0" borderId="7" xfId="1" applyFont="1" applyBorder="1" applyAlignment="1">
      <alignment horizontal="center" vertical="center"/>
    </xf>
    <xf numFmtId="2" fontId="11" fillId="0" borderId="7" xfId="2" applyNumberFormat="1" applyFont="1" applyBorder="1" applyAlignment="1">
      <alignment horizontal="center" vertical="center"/>
    </xf>
    <xf numFmtId="2" fontId="6" fillId="0" borderId="7" xfId="2" applyNumberFormat="1" applyFont="1" applyBorder="1" applyAlignment="1">
      <alignment horizontal="center" vertical="center" wrapText="1"/>
    </xf>
    <xf numFmtId="166" fontId="6" fillId="0" borderId="7" xfId="2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166" fontId="11" fillId="4" borderId="7" xfId="2" applyNumberFormat="1" applyFont="1" applyFill="1" applyBorder="1" applyAlignment="1">
      <alignment horizontal="center" vertical="center"/>
    </xf>
    <xf numFmtId="166" fontId="11" fillId="2" borderId="0" xfId="2" applyNumberFormat="1" applyFont="1" applyFill="1" applyBorder="1" applyAlignment="1">
      <alignment horizontal="center"/>
    </xf>
    <xf numFmtId="43" fontId="12" fillId="0" borderId="7" xfId="2" applyFont="1" applyFill="1" applyBorder="1" applyAlignment="1">
      <alignment horizontal="center" vertical="center"/>
    </xf>
    <xf numFmtId="166" fontId="9" fillId="4" borderId="7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1" fontId="2" fillId="0" borderId="7" xfId="0" applyNumberFormat="1" applyFont="1" applyBorder="1" applyAlignment="1">
      <alignment horizontal="center" vertical="center"/>
    </xf>
    <xf numFmtId="166" fontId="2" fillId="4" borderId="7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wrapText="1"/>
    </xf>
    <xf numFmtId="166" fontId="9" fillId="0" borderId="6" xfId="0" applyNumberFormat="1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164" fontId="11" fillId="0" borderId="6" xfId="1" applyFont="1" applyBorder="1" applyAlignment="1">
      <alignment horizontal="center" vertical="center"/>
    </xf>
    <xf numFmtId="166" fontId="11" fillId="0" borderId="6" xfId="2" applyNumberFormat="1" applyFont="1" applyBorder="1" applyAlignment="1">
      <alignment horizontal="center" vertical="center"/>
    </xf>
    <xf numFmtId="2" fontId="6" fillId="0" borderId="6" xfId="2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wrapText="1"/>
    </xf>
    <xf numFmtId="2" fontId="9" fillId="0" borderId="0" xfId="0" applyNumberFormat="1" applyFont="1" applyBorder="1" applyAlignment="1">
      <alignment horizontal="center" vertical="center"/>
    </xf>
    <xf numFmtId="166" fontId="9" fillId="0" borderId="6" xfId="0" applyNumberFormat="1" applyFont="1" applyFill="1" applyBorder="1" applyAlignment="1">
      <alignment horizontal="center" vertical="center"/>
    </xf>
    <xf numFmtId="1" fontId="9" fillId="0" borderId="6" xfId="0" applyNumberFormat="1" applyFont="1" applyFill="1" applyBorder="1" applyAlignment="1">
      <alignment horizontal="center" vertical="center"/>
    </xf>
    <xf numFmtId="2" fontId="11" fillId="0" borderId="6" xfId="3" applyNumberFormat="1" applyFont="1" applyFill="1" applyBorder="1" applyAlignment="1">
      <alignment horizontal="center" vertical="center"/>
    </xf>
    <xf numFmtId="166" fontId="12" fillId="0" borderId="6" xfId="3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vertical="top" wrapText="1"/>
    </xf>
    <xf numFmtId="166" fontId="6" fillId="0" borderId="6" xfId="2" applyNumberFormat="1" applyFont="1" applyBorder="1" applyAlignment="1">
      <alignment horizontal="center" vertical="center"/>
    </xf>
    <xf numFmtId="166" fontId="11" fillId="0" borderId="3" xfId="2" applyNumberFormat="1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1" fontId="1" fillId="0" borderId="7" xfId="2" applyNumberFormat="1" applyFont="1" applyBorder="1" applyAlignment="1">
      <alignment horizontal="center" vertical="center"/>
    </xf>
    <xf numFmtId="164" fontId="0" fillId="2" borderId="0" xfId="1" applyFont="1" applyFill="1"/>
    <xf numFmtId="166" fontId="9" fillId="0" borderId="5" xfId="0" applyNumberFormat="1" applyFont="1" applyBorder="1" applyAlignment="1">
      <alignment horizontal="center" vertical="center"/>
    </xf>
    <xf numFmtId="1" fontId="11" fillId="0" borderId="7" xfId="2" applyNumberFormat="1" applyFont="1" applyBorder="1" applyAlignment="1">
      <alignment horizontal="center" vertical="center"/>
    </xf>
    <xf numFmtId="166" fontId="10" fillId="5" borderId="7" xfId="2" applyNumberFormat="1" applyFont="1" applyFill="1" applyBorder="1" applyAlignment="1">
      <alignment horizontal="center" vertical="center"/>
    </xf>
    <xf numFmtId="166" fontId="0" fillId="0" borderId="7" xfId="0" applyNumberFormat="1" applyFill="1" applyBorder="1" applyAlignment="1">
      <alignment horizontal="center" vertical="center"/>
    </xf>
    <xf numFmtId="166" fontId="10" fillId="0" borderId="0" xfId="2" applyNumberFormat="1" applyFont="1" applyBorder="1" applyAlignment="1">
      <alignment horizontal="center" vertical="center"/>
    </xf>
    <xf numFmtId="166" fontId="10" fillId="0" borderId="7" xfId="2" applyNumberFormat="1" applyFont="1" applyBorder="1" applyAlignment="1">
      <alignment horizontal="center" vertical="center"/>
    </xf>
    <xf numFmtId="166" fontId="10" fillId="0" borderId="0" xfId="2" applyNumberFormat="1" applyFont="1" applyFill="1" applyBorder="1" applyAlignment="1">
      <alignment horizontal="center"/>
    </xf>
    <xf numFmtId="0" fontId="9" fillId="0" borderId="32" xfId="0" applyFont="1" applyBorder="1" applyAlignment="1">
      <alignment wrapText="1"/>
    </xf>
    <xf numFmtId="166" fontId="11" fillId="2" borderId="7" xfId="2" applyNumberFormat="1" applyFont="1" applyFill="1" applyBorder="1" applyAlignment="1">
      <alignment horizontal="center" vertical="center"/>
    </xf>
    <xf numFmtId="2" fontId="6" fillId="0" borderId="7" xfId="2" applyNumberFormat="1" applyFont="1" applyBorder="1" applyAlignment="1">
      <alignment horizontal="center" vertical="center"/>
    </xf>
    <xf numFmtId="166" fontId="9" fillId="0" borderId="32" xfId="0" applyNumberFormat="1" applyFont="1" applyBorder="1" applyAlignment="1">
      <alignment horizontal="center" vertical="center"/>
    </xf>
    <xf numFmtId="1" fontId="9" fillId="0" borderId="32" xfId="0" applyNumberFormat="1" applyFont="1" applyBorder="1" applyAlignment="1">
      <alignment horizontal="center" vertical="center"/>
    </xf>
    <xf numFmtId="164" fontId="11" fillId="0" borderId="32" xfId="1" applyFont="1" applyBorder="1" applyAlignment="1">
      <alignment horizontal="center" vertical="center"/>
    </xf>
    <xf numFmtId="166" fontId="11" fillId="0" borderId="32" xfId="2" applyNumberFormat="1" applyFont="1" applyBorder="1" applyAlignment="1">
      <alignment horizontal="center" vertical="center"/>
    </xf>
    <xf numFmtId="2" fontId="6" fillId="0" borderId="32" xfId="2" applyNumberFormat="1" applyFont="1" applyBorder="1" applyAlignment="1">
      <alignment horizontal="center" vertical="center"/>
    </xf>
    <xf numFmtId="166" fontId="11" fillId="6" borderId="6" xfId="2" applyNumberFormat="1" applyFont="1" applyFill="1" applyBorder="1" applyAlignment="1">
      <alignment horizontal="center" vertical="center"/>
    </xf>
    <xf numFmtId="2" fontId="11" fillId="4" borderId="7" xfId="2" applyNumberFormat="1" applyFont="1" applyFill="1" applyBorder="1" applyAlignment="1">
      <alignment horizontal="center" vertical="center"/>
    </xf>
    <xf numFmtId="1" fontId="9" fillId="4" borderId="32" xfId="0" applyNumberFormat="1" applyFont="1" applyFill="1" applyBorder="1" applyAlignment="1">
      <alignment horizontal="center" vertical="center"/>
    </xf>
    <xf numFmtId="166" fontId="9" fillId="4" borderId="32" xfId="0" applyNumberFormat="1" applyFont="1" applyFill="1" applyBorder="1" applyAlignment="1">
      <alignment horizontal="center" vertical="center"/>
    </xf>
    <xf numFmtId="2" fontId="11" fillId="4" borderId="32" xfId="2" applyNumberFormat="1" applyFont="1" applyFill="1" applyBorder="1" applyAlignment="1">
      <alignment horizontal="center" vertical="center"/>
    </xf>
    <xf numFmtId="1" fontId="9" fillId="4" borderId="6" xfId="0" applyNumberFormat="1" applyFont="1" applyFill="1" applyBorder="1" applyAlignment="1">
      <alignment horizontal="center" vertical="center"/>
    </xf>
    <xf numFmtId="166" fontId="9" fillId="4" borderId="6" xfId="0" applyNumberFormat="1" applyFont="1" applyFill="1" applyBorder="1" applyAlignment="1">
      <alignment horizontal="center" vertical="center"/>
    </xf>
    <xf numFmtId="2" fontId="11" fillId="4" borderId="6" xfId="2" applyNumberFormat="1" applyFont="1" applyFill="1" applyBorder="1" applyAlignment="1">
      <alignment horizontal="center" vertical="center"/>
    </xf>
    <xf numFmtId="166" fontId="9" fillId="4" borderId="1" xfId="0" applyNumberFormat="1" applyFont="1" applyFill="1" applyBorder="1" applyAlignment="1">
      <alignment horizontal="center" vertical="center"/>
    </xf>
    <xf numFmtId="2" fontId="11" fillId="4" borderId="1" xfId="2" applyNumberFormat="1" applyFont="1" applyFill="1" applyBorder="1" applyAlignment="1">
      <alignment horizontal="center" vertical="center"/>
    </xf>
    <xf numFmtId="1" fontId="9" fillId="4" borderId="33" xfId="0" applyNumberFormat="1" applyFont="1" applyFill="1" applyBorder="1" applyAlignment="1">
      <alignment horizontal="center" vertical="center"/>
    </xf>
    <xf numFmtId="166" fontId="9" fillId="4" borderId="33" xfId="0" applyNumberFormat="1" applyFont="1" applyFill="1" applyBorder="1" applyAlignment="1">
      <alignment horizontal="center" vertical="center"/>
    </xf>
    <xf numFmtId="2" fontId="11" fillId="4" borderId="33" xfId="2" applyNumberFormat="1" applyFont="1" applyFill="1" applyBorder="1" applyAlignment="1">
      <alignment horizontal="center" vertical="center"/>
    </xf>
    <xf numFmtId="2" fontId="11" fillId="2" borderId="7" xfId="2" applyNumberFormat="1" applyFont="1" applyFill="1" applyBorder="1" applyAlignment="1">
      <alignment horizontal="center" vertical="center"/>
    </xf>
    <xf numFmtId="166" fontId="12" fillId="0" borderId="7" xfId="2" applyNumberFormat="1" applyFont="1" applyBorder="1" applyAlignment="1">
      <alignment horizontal="center" vertical="center"/>
    </xf>
    <xf numFmtId="166" fontId="11" fillId="2" borderId="32" xfId="2" applyNumberFormat="1" applyFont="1" applyFill="1" applyBorder="1" applyAlignment="1">
      <alignment horizontal="center" vertical="center"/>
    </xf>
    <xf numFmtId="2" fontId="11" fillId="2" borderId="32" xfId="2" applyNumberFormat="1" applyFont="1" applyFill="1" applyBorder="1" applyAlignment="1">
      <alignment horizontal="center" vertical="center"/>
    </xf>
    <xf numFmtId="166" fontId="11" fillId="4" borderId="32" xfId="2" applyNumberFormat="1" applyFont="1" applyFill="1" applyBorder="1" applyAlignment="1">
      <alignment horizontal="center" vertical="center"/>
    </xf>
    <xf numFmtId="166" fontId="12" fillId="0" borderId="32" xfId="2" applyNumberFormat="1" applyFont="1" applyBorder="1" applyAlignment="1">
      <alignment horizontal="center" vertical="center"/>
    </xf>
    <xf numFmtId="166" fontId="11" fillId="2" borderId="6" xfId="2" applyNumberFormat="1" applyFont="1" applyFill="1" applyBorder="1" applyAlignment="1">
      <alignment horizontal="center" vertical="center"/>
    </xf>
    <xf numFmtId="2" fontId="11" fillId="2" borderId="6" xfId="2" applyNumberFormat="1" applyFont="1" applyFill="1" applyBorder="1" applyAlignment="1">
      <alignment horizontal="center" vertical="center"/>
    </xf>
    <xf numFmtId="166" fontId="11" fillId="4" borderId="6" xfId="2" applyNumberFormat="1" applyFont="1" applyFill="1" applyBorder="1" applyAlignment="1">
      <alignment horizontal="center" vertical="center"/>
    </xf>
    <xf numFmtId="166" fontId="12" fillId="0" borderId="6" xfId="2" applyNumberFormat="1" applyFont="1" applyBorder="1" applyAlignment="1">
      <alignment horizontal="center" vertical="center"/>
    </xf>
    <xf numFmtId="166" fontId="11" fillId="0" borderId="33" xfId="2" applyNumberFormat="1" applyFont="1" applyBorder="1" applyAlignment="1">
      <alignment horizontal="center" vertical="center"/>
    </xf>
    <xf numFmtId="166" fontId="11" fillId="2" borderId="33" xfId="2" applyNumberFormat="1" applyFont="1" applyFill="1" applyBorder="1" applyAlignment="1">
      <alignment horizontal="center" vertical="center"/>
    </xf>
    <xf numFmtId="2" fontId="11" fillId="2" borderId="33" xfId="2" applyNumberFormat="1" applyFont="1" applyFill="1" applyBorder="1" applyAlignment="1">
      <alignment horizontal="center" vertical="center"/>
    </xf>
    <xf numFmtId="166" fontId="11" fillId="4" borderId="33" xfId="2" applyNumberFormat="1" applyFont="1" applyFill="1" applyBorder="1" applyAlignment="1">
      <alignment horizontal="center" vertical="center"/>
    </xf>
    <xf numFmtId="166" fontId="12" fillId="0" borderId="33" xfId="2" applyNumberFormat="1" applyFont="1" applyBorder="1" applyAlignment="1">
      <alignment horizontal="center" vertical="center"/>
    </xf>
    <xf numFmtId="2" fontId="9" fillId="0" borderId="32" xfId="0" applyNumberFormat="1" applyFont="1" applyBorder="1" applyAlignment="1">
      <alignment horizontal="center" vertical="center"/>
    </xf>
    <xf numFmtId="0" fontId="31" fillId="0" borderId="19" xfId="0" quotePrefix="1" applyFont="1" applyBorder="1" applyAlignment="1">
      <alignment horizontal="left"/>
    </xf>
    <xf numFmtId="1" fontId="9" fillId="0" borderId="32" xfId="0" applyNumberFormat="1" applyFont="1" applyFill="1" applyBorder="1" applyAlignment="1">
      <alignment horizontal="center" vertical="center"/>
    </xf>
    <xf numFmtId="166" fontId="9" fillId="0" borderId="32" xfId="0" applyNumberFormat="1" applyFont="1" applyFill="1" applyBorder="1" applyAlignment="1">
      <alignment horizontal="center" vertical="center"/>
    </xf>
    <xf numFmtId="2" fontId="11" fillId="0" borderId="32" xfId="2" applyNumberFormat="1" applyFont="1" applyFill="1" applyBorder="1" applyAlignment="1">
      <alignment horizontal="center" vertical="center"/>
    </xf>
    <xf numFmtId="1" fontId="9" fillId="0" borderId="33" xfId="0" applyNumberFormat="1" applyFont="1" applyFill="1" applyBorder="1" applyAlignment="1">
      <alignment horizontal="center" vertical="center"/>
    </xf>
    <xf numFmtId="166" fontId="9" fillId="0" borderId="33" xfId="0" applyNumberFormat="1" applyFont="1" applyFill="1" applyBorder="1" applyAlignment="1">
      <alignment horizontal="center" vertical="center"/>
    </xf>
    <xf numFmtId="2" fontId="11" fillId="0" borderId="33" xfId="2" applyNumberFormat="1" applyFont="1" applyFill="1" applyBorder="1" applyAlignment="1">
      <alignment horizontal="center" vertical="center"/>
    </xf>
    <xf numFmtId="1" fontId="11" fillId="0" borderId="32" xfId="2" applyNumberFormat="1" applyFont="1" applyBorder="1" applyAlignment="1">
      <alignment horizontal="center" vertical="center"/>
    </xf>
    <xf numFmtId="166" fontId="10" fillId="5" borderId="32" xfId="2" applyNumberFormat="1" applyFont="1" applyFill="1" applyBorder="1" applyAlignment="1">
      <alignment horizontal="center" vertical="center"/>
    </xf>
    <xf numFmtId="166" fontId="0" fillId="0" borderId="32" xfId="0" applyNumberFormat="1" applyFill="1" applyBorder="1" applyAlignment="1">
      <alignment horizontal="center" vertical="center"/>
    </xf>
    <xf numFmtId="1" fontId="11" fillId="0" borderId="6" xfId="2" applyNumberFormat="1" applyFont="1" applyBorder="1" applyAlignment="1">
      <alignment horizontal="center" vertical="center"/>
    </xf>
    <xf numFmtId="166" fontId="10" fillId="5" borderId="6" xfId="2" applyNumberFormat="1" applyFont="1" applyFill="1" applyBorder="1" applyAlignment="1">
      <alignment horizontal="center" vertical="center"/>
    </xf>
    <xf numFmtId="166" fontId="0" fillId="0" borderId="6" xfId="0" applyNumberFormat="1" applyFill="1" applyBorder="1" applyAlignment="1">
      <alignment horizontal="center" vertical="center"/>
    </xf>
    <xf numFmtId="2" fontId="11" fillId="0" borderId="6" xfId="2" applyNumberFormat="1" applyFont="1" applyFill="1" applyBorder="1" applyAlignment="1">
      <alignment horizontal="center" vertical="center"/>
    </xf>
    <xf numFmtId="166" fontId="11" fillId="0" borderId="32" xfId="2" applyNumberFormat="1" applyFont="1" applyFill="1" applyBorder="1" applyAlignment="1">
      <alignment horizontal="center" vertical="center"/>
    </xf>
    <xf numFmtId="166" fontId="12" fillId="0" borderId="32" xfId="2" applyNumberFormat="1" applyFont="1" applyFill="1" applyBorder="1" applyAlignment="1">
      <alignment horizontal="center" vertical="center"/>
    </xf>
    <xf numFmtId="166" fontId="11" fillId="0" borderId="6" xfId="2" applyNumberFormat="1" applyFont="1" applyFill="1" applyBorder="1" applyAlignment="1">
      <alignment horizontal="center" vertical="center"/>
    </xf>
    <xf numFmtId="166" fontId="12" fillId="0" borderId="6" xfId="2" applyNumberFormat="1" applyFont="1" applyFill="1" applyBorder="1" applyAlignment="1">
      <alignment horizontal="center" vertical="center"/>
    </xf>
    <xf numFmtId="2" fontId="9" fillId="0" borderId="32" xfId="0" applyNumberFormat="1" applyFont="1" applyFill="1" applyBorder="1" applyAlignment="1">
      <alignment horizontal="center" vertical="center"/>
    </xf>
    <xf numFmtId="2" fontId="9" fillId="0" borderId="6" xfId="0" applyNumberFormat="1" applyFont="1" applyFill="1" applyBorder="1" applyAlignment="1">
      <alignment horizontal="center" vertical="center"/>
    </xf>
    <xf numFmtId="166" fontId="11" fillId="5" borderId="32" xfId="2" applyNumberFormat="1" applyFont="1" applyFill="1" applyBorder="1" applyAlignment="1">
      <alignment horizontal="center"/>
    </xf>
    <xf numFmtId="2" fontId="0" fillId="0" borderId="37" xfId="0" applyNumberForma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0" fillId="0" borderId="32" xfId="0" applyNumberFormat="1" applyFill="1" applyBorder="1" applyAlignment="1">
      <alignment horizontal="center" vertical="center"/>
    </xf>
    <xf numFmtId="166" fontId="0" fillId="0" borderId="7" xfId="0" applyNumberFormat="1" applyBorder="1" applyAlignment="1">
      <alignment horizontal="center" vertical="center"/>
    </xf>
    <xf numFmtId="166" fontId="0" fillId="0" borderId="6" xfId="0" applyNumberFormat="1" applyBorder="1" applyAlignment="1">
      <alignment horizontal="center" vertical="center"/>
    </xf>
    <xf numFmtId="166" fontId="0" fillId="0" borderId="32" xfId="0" applyNumberForma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top" wrapText="1"/>
    </xf>
    <xf numFmtId="0" fontId="32" fillId="0" borderId="0" xfId="0" applyFont="1" applyFill="1" applyBorder="1" applyAlignment="1">
      <alignment vertical="top" wrapText="1"/>
    </xf>
    <xf numFmtId="0" fontId="33" fillId="0" borderId="0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wrapText="1"/>
    </xf>
    <xf numFmtId="0" fontId="32" fillId="0" borderId="0" xfId="0" applyFont="1"/>
    <xf numFmtId="0" fontId="32" fillId="0" borderId="0" xfId="0" applyFont="1" applyAlignment="1">
      <alignment horizontal="left" wrapText="1"/>
    </xf>
    <xf numFmtId="166" fontId="0" fillId="0" borderId="0" xfId="0" applyNumberFormat="1" applyBorder="1" applyAlignment="1">
      <alignment horizontal="center" vertical="center"/>
    </xf>
    <xf numFmtId="0" fontId="34" fillId="0" borderId="0" xfId="0" applyFont="1"/>
    <xf numFmtId="179" fontId="0" fillId="0" borderId="7" xfId="0" applyNumberFormat="1" applyBorder="1" applyAlignment="1" applyProtection="1">
      <alignment horizontal="center"/>
    </xf>
    <xf numFmtId="0" fontId="0" fillId="0" borderId="14" xfId="0" applyBorder="1"/>
    <xf numFmtId="1" fontId="0" fillId="0" borderId="7" xfId="0" applyNumberFormat="1" applyBorder="1" applyAlignment="1">
      <alignment horizontal="center" vertical="center"/>
    </xf>
    <xf numFmtId="0" fontId="0" fillId="0" borderId="14" xfId="0" applyBorder="1" applyAlignment="1">
      <alignment horizontal="center" wrapText="1"/>
    </xf>
    <xf numFmtId="1" fontId="0" fillId="0" borderId="14" xfId="0" applyNumberFormat="1" applyBorder="1" applyAlignment="1">
      <alignment horizontal="center" vertical="center"/>
    </xf>
    <xf numFmtId="0" fontId="32" fillId="0" borderId="0" xfId="0" applyFont="1" applyAlignment="1">
      <alignment horizontal="left" wrapText="1"/>
    </xf>
    <xf numFmtId="0" fontId="0" fillId="0" borderId="7" xfId="0" applyBorder="1" applyAlignment="1">
      <alignment horizontal="center"/>
    </xf>
    <xf numFmtId="0" fontId="32" fillId="0" borderId="0" xfId="0" applyFont="1" applyAlignment="1">
      <alignment horizontal="left" wrapText="1"/>
    </xf>
    <xf numFmtId="1" fontId="0" fillId="0" borderId="3" xfId="0" applyNumberFormat="1" applyBorder="1" applyAlignment="1">
      <alignment horizontal="center" vertical="center"/>
    </xf>
    <xf numFmtId="0" fontId="0" fillId="0" borderId="22" xfId="0" applyBorder="1"/>
    <xf numFmtId="0" fontId="0" fillId="0" borderId="25" xfId="0" applyBorder="1"/>
    <xf numFmtId="0" fontId="9" fillId="0" borderId="5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wrapText="1"/>
    </xf>
    <xf numFmtId="0" fontId="0" fillId="0" borderId="7" xfId="0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166" fontId="11" fillId="0" borderId="0" xfId="2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32" fillId="0" borderId="0" xfId="0" applyFont="1" applyAlignment="1">
      <alignment horizontal="left" wrapText="1"/>
    </xf>
    <xf numFmtId="43" fontId="11" fillId="0" borderId="0" xfId="2" applyNumberFormat="1" applyFont="1"/>
    <xf numFmtId="0" fontId="0" fillId="0" borderId="0" xfId="0" applyAlignment="1">
      <alignment vertical="top"/>
    </xf>
    <xf numFmtId="0" fontId="35" fillId="0" borderId="0" xfId="0" applyFont="1" applyAlignment="1"/>
    <xf numFmtId="166" fontId="9" fillId="0" borderId="0" xfId="0" applyNumberFormat="1" applyFont="1" applyBorder="1" applyAlignment="1">
      <alignment horizontal="center" vertical="center"/>
    </xf>
    <xf numFmtId="1" fontId="9" fillId="0" borderId="0" xfId="0" applyNumberFormat="1" applyFont="1" applyBorder="1" applyAlignment="1">
      <alignment horizontal="center" vertical="center"/>
    </xf>
    <xf numFmtId="164" fontId="11" fillId="0" borderId="0" xfId="1" applyFont="1" applyBorder="1" applyAlignment="1">
      <alignment horizontal="center" vertical="center"/>
    </xf>
    <xf numFmtId="2" fontId="11" fillId="0" borderId="0" xfId="2" applyNumberFormat="1" applyFont="1" applyBorder="1" applyAlignment="1">
      <alignment horizontal="center" vertical="center"/>
    </xf>
    <xf numFmtId="2" fontId="6" fillId="0" borderId="0" xfId="2" applyNumberFormat="1" applyFont="1" applyBorder="1" applyAlignment="1">
      <alignment horizontal="center" vertical="center" wrapText="1"/>
    </xf>
    <xf numFmtId="166" fontId="6" fillId="0" borderId="0" xfId="2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/>
    </xf>
    <xf numFmtId="166" fontId="0" fillId="7" borderId="7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2" fillId="0" borderId="0" xfId="0" applyFont="1" applyAlignment="1">
      <alignment horizontal="left" wrapText="1"/>
    </xf>
    <xf numFmtId="0" fontId="32" fillId="0" borderId="0" xfId="0" applyFont="1" applyAlignment="1">
      <alignment horizontal="left" wrapText="1"/>
    </xf>
    <xf numFmtId="0" fontId="38" fillId="9" borderId="0" xfId="0" applyFont="1" applyFill="1"/>
    <xf numFmtId="0" fontId="39" fillId="9" borderId="0" xfId="0" applyFont="1" applyFill="1"/>
    <xf numFmtId="0" fontId="40" fillId="9" borderId="0" xfId="0" applyFont="1" applyFill="1" applyAlignment="1">
      <alignment horizontal="left" wrapText="1"/>
    </xf>
    <xf numFmtId="0" fontId="32" fillId="0" borderId="0" xfId="0" applyFont="1" applyAlignment="1"/>
    <xf numFmtId="0" fontId="41" fillId="0" borderId="0" xfId="0" applyFont="1"/>
    <xf numFmtId="0" fontId="32" fillId="0" borderId="0" xfId="0" applyFont="1" applyAlignment="1">
      <alignment horizontal="left"/>
    </xf>
    <xf numFmtId="0" fontId="37" fillId="0" borderId="1" xfId="0" applyFont="1" applyBorder="1"/>
    <xf numFmtId="0" fontId="37" fillId="0" borderId="0" xfId="0" applyFont="1"/>
    <xf numFmtId="0" fontId="37" fillId="0" borderId="6" xfId="0" applyFont="1" applyBorder="1"/>
    <xf numFmtId="171" fontId="37" fillId="0" borderId="7" xfId="0" applyNumberFormat="1" applyFont="1" applyBorder="1" applyAlignment="1">
      <alignment horizontal="center"/>
    </xf>
    <xf numFmtId="0" fontId="37" fillId="0" borderId="7" xfId="0" applyFont="1" applyBorder="1"/>
    <xf numFmtId="0" fontId="43" fillId="0" borderId="7" xfId="0" applyFont="1" applyBorder="1" applyAlignment="1">
      <alignment wrapText="1"/>
    </xf>
    <xf numFmtId="0" fontId="43" fillId="0" borderId="7" xfId="0" applyFont="1" applyBorder="1" applyAlignment="1">
      <alignment horizontal="center" vertical="center" wrapText="1"/>
    </xf>
    <xf numFmtId="166" fontId="37" fillId="7" borderId="7" xfId="0" applyNumberFormat="1" applyFont="1" applyFill="1" applyBorder="1" applyAlignment="1">
      <alignment horizontal="center" vertical="center"/>
    </xf>
    <xf numFmtId="166" fontId="37" fillId="0" borderId="7" xfId="0" applyNumberFormat="1" applyFont="1" applyBorder="1" applyAlignment="1">
      <alignment horizontal="center" vertical="center"/>
    </xf>
    <xf numFmtId="0" fontId="43" fillId="0" borderId="32" xfId="0" applyFont="1" applyBorder="1" applyAlignment="1">
      <alignment wrapText="1"/>
    </xf>
    <xf numFmtId="0" fontId="43" fillId="0" borderId="32" xfId="0" applyFont="1" applyBorder="1" applyAlignment="1">
      <alignment horizontal="center" vertical="center" wrapText="1"/>
    </xf>
    <xf numFmtId="166" fontId="37" fillId="7" borderId="32" xfId="0" applyNumberFormat="1" applyFont="1" applyFill="1" applyBorder="1" applyAlignment="1">
      <alignment horizontal="center" vertical="center"/>
    </xf>
    <xf numFmtId="166" fontId="37" fillId="0" borderId="32" xfId="0" applyNumberFormat="1" applyFont="1" applyBorder="1" applyAlignment="1">
      <alignment horizontal="center" vertical="center"/>
    </xf>
    <xf numFmtId="0" fontId="43" fillId="0" borderId="6" xfId="0" applyFont="1" applyBorder="1" applyAlignment="1">
      <alignment wrapText="1"/>
    </xf>
    <xf numFmtId="166" fontId="37" fillId="7" borderId="6" xfId="0" applyNumberFormat="1" applyFont="1" applyFill="1" applyBorder="1" applyAlignment="1">
      <alignment horizontal="center" vertical="center"/>
    </xf>
    <xf numFmtId="166" fontId="37" fillId="0" borderId="6" xfId="0" applyNumberFormat="1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 wrapText="1"/>
    </xf>
    <xf numFmtId="0" fontId="39" fillId="9" borderId="0" xfId="0" applyFont="1" applyFill="1" applyBorder="1" applyAlignment="1">
      <alignment vertical="center" wrapText="1"/>
    </xf>
    <xf numFmtId="0" fontId="38" fillId="9" borderId="0" xfId="0" applyFont="1" applyFill="1" applyAlignment="1"/>
    <xf numFmtId="0" fontId="35" fillId="0" borderId="0" xfId="0" applyFont="1"/>
    <xf numFmtId="0" fontId="44" fillId="0" borderId="0" xfId="0" applyFont="1"/>
    <xf numFmtId="0" fontId="44" fillId="0" borderId="0" xfId="0" applyFont="1" applyAlignment="1"/>
    <xf numFmtId="0" fontId="45" fillId="0" borderId="0" xfId="0" applyFont="1"/>
    <xf numFmtId="0" fontId="37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2" fillId="0" borderId="0" xfId="0" applyFont="1" applyAlignment="1">
      <alignment horizontal="left" wrapText="1"/>
    </xf>
    <xf numFmtId="0" fontId="3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71" fontId="0" fillId="0" borderId="7" xfId="0" applyNumberForma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 wrapText="1"/>
    </xf>
    <xf numFmtId="0" fontId="0" fillId="0" borderId="6" xfId="0" applyFont="1" applyBorder="1"/>
    <xf numFmtId="0" fontId="0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7" borderId="7" xfId="0" applyFill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171" fontId="0" fillId="0" borderId="7" xfId="0" applyNumberFormat="1" applyFont="1" applyBorder="1" applyAlignment="1">
      <alignment horizontal="center" vertical="center"/>
    </xf>
    <xf numFmtId="0" fontId="0" fillId="7" borderId="7" xfId="0" applyFont="1" applyFill="1" applyBorder="1" applyAlignment="1">
      <alignment horizontal="center" vertical="center"/>
    </xf>
    <xf numFmtId="0" fontId="44" fillId="8" borderId="0" xfId="0" applyFont="1" applyFill="1" applyAlignment="1" applyProtection="1">
      <alignment horizontal="center" vertical="center"/>
      <protection locked="0"/>
    </xf>
    <xf numFmtId="0" fontId="0" fillId="7" borderId="7" xfId="0" applyFill="1" applyBorder="1" applyAlignment="1">
      <alignment horizontal="center" vertical="center"/>
    </xf>
    <xf numFmtId="171" fontId="0" fillId="0" borderId="6" xfId="0" applyNumberForma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37" fillId="0" borderId="5" xfId="0" applyFont="1" applyBorder="1" applyAlignment="1">
      <alignment vertical="center"/>
    </xf>
    <xf numFmtId="0" fontId="0" fillId="0" borderId="4" xfId="0" applyBorder="1" applyAlignment="1">
      <alignment vertical="center"/>
    </xf>
    <xf numFmtId="171" fontId="0" fillId="0" borderId="3" xfId="0" applyNumberFormat="1" applyBorder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1" fontId="0" fillId="7" borderId="41" xfId="0" applyNumberFormat="1" applyFill="1" applyBorder="1" applyAlignment="1">
      <alignment horizontal="center" vertical="center"/>
    </xf>
    <xf numFmtId="1" fontId="0" fillId="7" borderId="7" xfId="0" applyNumberFormat="1" applyFill="1" applyBorder="1" applyAlignment="1">
      <alignment horizontal="center" vertical="center"/>
    </xf>
    <xf numFmtId="0" fontId="19" fillId="0" borderId="0" xfId="0" applyFont="1" applyAlignment="1"/>
    <xf numFmtId="0" fontId="0" fillId="0" borderId="7" xfId="0" applyBorder="1" applyAlignment="1">
      <alignment horizontal="center" vertical="center"/>
    </xf>
    <xf numFmtId="166" fontId="0" fillId="7" borderId="6" xfId="0" applyNumberFormat="1" applyFill="1" applyBorder="1" applyAlignment="1">
      <alignment horizontal="center" vertical="center"/>
    </xf>
    <xf numFmtId="166" fontId="0" fillId="7" borderId="32" xfId="0" applyNumberFormat="1" applyFill="1" applyBorder="1" applyAlignment="1">
      <alignment horizontal="center" vertical="center"/>
    </xf>
    <xf numFmtId="1" fontId="0" fillId="7" borderId="6" xfId="0" applyNumberFormat="1" applyFill="1" applyBorder="1" applyAlignment="1">
      <alignment horizontal="center" vertical="center"/>
    </xf>
    <xf numFmtId="1" fontId="0" fillId="7" borderId="32" xfId="0" applyNumberFormat="1" applyFill="1" applyBorder="1" applyAlignment="1">
      <alignment horizontal="center" vertical="center"/>
    </xf>
    <xf numFmtId="0" fontId="48" fillId="0" borderId="0" xfId="0" applyFont="1" applyAlignment="1">
      <alignment vertical="top"/>
    </xf>
    <xf numFmtId="0" fontId="43" fillId="0" borderId="15" xfId="0" applyFont="1" applyBorder="1" applyAlignment="1">
      <alignment wrapText="1"/>
    </xf>
    <xf numFmtId="0" fontId="43" fillId="0" borderId="15" xfId="0" applyFont="1" applyBorder="1" applyAlignment="1">
      <alignment horizontal="center" vertical="center" wrapText="1"/>
    </xf>
    <xf numFmtId="166" fontId="37" fillId="7" borderId="15" xfId="0" applyNumberFormat="1" applyFont="1" applyFill="1" applyBorder="1" applyAlignment="1">
      <alignment horizontal="center" vertical="center"/>
    </xf>
    <xf numFmtId="166" fontId="37" fillId="0" borderId="15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2" fillId="0" borderId="0" xfId="0" applyFont="1" applyAlignment="1">
      <alignment horizontal="left" wrapText="1"/>
    </xf>
    <xf numFmtId="0" fontId="46" fillId="4" borderId="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66" fontId="0" fillId="0" borderId="47" xfId="0" applyNumberFormat="1" applyFill="1" applyBorder="1" applyAlignment="1">
      <alignment horizontal="center" vertical="center"/>
    </xf>
    <xf numFmtId="166" fontId="0" fillId="0" borderId="48" xfId="0" applyNumberFormat="1" applyFill="1" applyBorder="1" applyAlignment="1">
      <alignment horizontal="center" vertical="center"/>
    </xf>
    <xf numFmtId="166" fontId="0" fillId="0" borderId="46" xfId="0" applyNumberFormat="1" applyFill="1" applyBorder="1" applyAlignment="1">
      <alignment horizontal="center" vertical="center"/>
    </xf>
    <xf numFmtId="166" fontId="17" fillId="7" borderId="6" xfId="0" applyNumberFormat="1" applyFont="1" applyFill="1" applyBorder="1" applyAlignment="1">
      <alignment horizontal="center" vertical="center"/>
    </xf>
    <xf numFmtId="166" fontId="0" fillId="0" borderId="0" xfId="0" applyNumberFormat="1" applyFill="1" applyBorder="1" applyAlignment="1">
      <alignment horizontal="center" vertical="center"/>
    </xf>
    <xf numFmtId="171" fontId="0" fillId="0" borderId="5" xfId="0" applyNumberFormat="1" applyBorder="1" applyAlignment="1">
      <alignment horizontal="center" vertical="center"/>
    </xf>
    <xf numFmtId="166" fontId="0" fillId="0" borderId="49" xfId="0" applyNumberFormat="1" applyFill="1" applyBorder="1" applyAlignment="1">
      <alignment horizontal="center" vertical="center"/>
    </xf>
    <xf numFmtId="166" fontId="0" fillId="0" borderId="47" xfId="0" applyNumberFormat="1" applyBorder="1" applyAlignment="1">
      <alignment horizontal="center" vertical="center"/>
    </xf>
    <xf numFmtId="166" fontId="53" fillId="7" borderId="7" xfId="0" applyNumberFormat="1" applyFont="1" applyFill="1" applyBorder="1" applyAlignment="1">
      <alignment horizontal="center" vertical="center"/>
    </xf>
    <xf numFmtId="166" fontId="53" fillId="7" borderId="32" xfId="0" applyNumberFormat="1" applyFont="1" applyFill="1" applyBorder="1" applyAlignment="1">
      <alignment horizontal="center" vertical="center"/>
    </xf>
    <xf numFmtId="0" fontId="46" fillId="4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171" fontId="0" fillId="0" borderId="0" xfId="0" applyNumberFormat="1" applyBorder="1" applyAlignment="1">
      <alignment horizontal="center" vertical="center"/>
    </xf>
    <xf numFmtId="0" fontId="46" fillId="0" borderId="0" xfId="0" applyFont="1" applyFill="1" applyBorder="1" applyAlignment="1">
      <alignment vertical="center"/>
    </xf>
    <xf numFmtId="0" fontId="38" fillId="0" borderId="0" xfId="0" applyFont="1" applyFill="1" applyBorder="1"/>
    <xf numFmtId="166" fontId="0" fillId="0" borderId="48" xfId="0" applyNumberFormat="1" applyBorder="1" applyAlignment="1">
      <alignment horizontal="center" vertical="center"/>
    </xf>
    <xf numFmtId="166" fontId="0" fillId="0" borderId="46" xfId="0" applyNumberFormat="1" applyBorder="1" applyAlignment="1">
      <alignment horizontal="center" vertical="center"/>
    </xf>
    <xf numFmtId="166" fontId="0" fillId="7" borderId="7" xfId="0" applyNumberFormat="1" applyFill="1" applyBorder="1" applyAlignment="1">
      <alignment horizontal="center" vertical="center" wrapText="1"/>
    </xf>
    <xf numFmtId="166" fontId="0" fillId="0" borderId="28" xfId="0" applyNumberFormat="1" applyFill="1" applyBorder="1" applyAlignment="1">
      <alignment horizontal="center" vertical="center" wrapText="1"/>
    </xf>
    <xf numFmtId="166" fontId="0" fillId="7" borderId="6" xfId="0" applyNumberFormat="1" applyFill="1" applyBorder="1" applyAlignment="1">
      <alignment horizontal="center" vertical="center" wrapText="1"/>
    </xf>
    <xf numFmtId="166" fontId="0" fillId="4" borderId="7" xfId="0" applyNumberFormat="1" applyFill="1" applyBorder="1" applyAlignment="1">
      <alignment horizontal="center" vertical="center" wrapText="1"/>
    </xf>
    <xf numFmtId="0" fontId="0" fillId="0" borderId="32" xfId="0" applyFill="1" applyBorder="1" applyAlignment="1">
      <alignment vertical="top" wrapText="1"/>
    </xf>
    <xf numFmtId="0" fontId="0" fillId="0" borderId="32" xfId="0" applyFill="1" applyBorder="1" applyAlignment="1">
      <alignment horizontal="center" vertical="center" wrapText="1"/>
    </xf>
    <xf numFmtId="171" fontId="0" fillId="0" borderId="2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6" fontId="0" fillId="7" borderId="50" xfId="0" applyNumberFormat="1" applyFill="1" applyBorder="1" applyAlignment="1">
      <alignment horizontal="center" vertical="center"/>
    </xf>
    <xf numFmtId="0" fontId="41" fillId="0" borderId="0" xfId="0" applyFont="1" applyBorder="1"/>
    <xf numFmtId="0" fontId="34" fillId="0" borderId="0" xfId="0" applyFont="1" applyBorder="1"/>
    <xf numFmtId="0" fontId="37" fillId="0" borderId="0" xfId="0" applyFont="1" applyBorder="1"/>
    <xf numFmtId="14" fontId="32" fillId="0" borderId="0" xfId="0" applyNumberFormat="1" applyFont="1" applyFill="1" applyBorder="1" applyAlignment="1">
      <alignment horizontal="right"/>
    </xf>
    <xf numFmtId="0" fontId="38" fillId="0" borderId="0" xfId="0" applyFont="1" applyFill="1"/>
    <xf numFmtId="0" fontId="38" fillId="0" borderId="0" xfId="0" applyFont="1" applyFill="1" applyBorder="1" applyAlignment="1"/>
    <xf numFmtId="0" fontId="51" fillId="0" borderId="0" xfId="0" applyFont="1" applyFill="1" applyBorder="1" applyAlignment="1">
      <alignment horizontal="center" vertical="center"/>
    </xf>
    <xf numFmtId="0" fontId="37" fillId="0" borderId="0" xfId="0" applyFont="1" applyBorder="1" applyAlignment="1">
      <alignment vertical="center"/>
    </xf>
    <xf numFmtId="171" fontId="37" fillId="0" borderId="2" xfId="0" applyNumberFormat="1" applyFont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32" fillId="0" borderId="0" xfId="0" applyFont="1" applyBorder="1" applyAlignment="1">
      <alignment horizontal="left" wrapText="1"/>
    </xf>
    <xf numFmtId="0" fontId="0" fillId="0" borderId="0" xfId="0" applyBorder="1" applyAlignment="1">
      <alignment vertical="top"/>
    </xf>
    <xf numFmtId="0" fontId="32" fillId="0" borderId="0" xfId="0" applyFont="1" applyBorder="1"/>
    <xf numFmtId="171" fontId="0" fillId="0" borderId="0" xfId="0" applyNumberFormat="1" applyBorder="1" applyAlignment="1">
      <alignment horizontal="center"/>
    </xf>
    <xf numFmtId="0" fontId="2" fillId="0" borderId="0" xfId="0" applyFont="1" applyBorder="1" applyAlignment="1">
      <alignment wrapText="1"/>
    </xf>
    <xf numFmtId="0" fontId="32" fillId="0" borderId="0" xfId="0" applyFont="1" applyBorder="1" applyAlignment="1">
      <alignment horizontal="left"/>
    </xf>
    <xf numFmtId="171" fontId="37" fillId="0" borderId="0" xfId="0" applyNumberFormat="1" applyFont="1" applyBorder="1" applyAlignment="1">
      <alignment horizontal="center"/>
    </xf>
    <xf numFmtId="0" fontId="43" fillId="0" borderId="0" xfId="0" applyFont="1" applyBorder="1" applyAlignment="1">
      <alignment wrapText="1"/>
    </xf>
    <xf numFmtId="166" fontId="37" fillId="0" borderId="0" xfId="0" applyNumberFormat="1" applyFon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0" fillId="0" borderId="2" xfId="0" applyFill="1" applyBorder="1" applyAlignment="1">
      <alignment vertical="top" wrapText="1"/>
    </xf>
    <xf numFmtId="0" fontId="34" fillId="0" borderId="0" xfId="0" applyFont="1" applyFill="1"/>
    <xf numFmtId="0" fontId="32" fillId="0" borderId="0" xfId="0" applyFont="1" applyFill="1" applyAlignment="1">
      <alignment horizontal="left" wrapText="1"/>
    </xf>
    <xf numFmtId="0" fontId="0" fillId="0" borderId="2" xfId="0" applyFill="1" applyBorder="1"/>
    <xf numFmtId="171" fontId="0" fillId="0" borderId="0" xfId="0" applyNumberFormat="1" applyFill="1" applyBorder="1" applyAlignment="1">
      <alignment horizontal="center"/>
    </xf>
    <xf numFmtId="2" fontId="11" fillId="2" borderId="0" xfId="2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66" fontId="11" fillId="0" borderId="20" xfId="2" applyNumberFormat="1" applyFont="1" applyFill="1" applyBorder="1" applyAlignment="1">
      <alignment horizontal="center" vertical="center" wrapText="1"/>
    </xf>
    <xf numFmtId="166" fontId="11" fillId="0" borderId="22" xfId="2" applyNumberFormat="1" applyFont="1" applyFill="1" applyBorder="1" applyAlignment="1">
      <alignment horizontal="center" vertical="center" wrapText="1"/>
    </xf>
    <xf numFmtId="166" fontId="11" fillId="0" borderId="2" xfId="2" applyNumberFormat="1" applyFont="1" applyFill="1" applyBorder="1" applyAlignment="1">
      <alignment horizontal="center" vertical="center" wrapText="1"/>
    </xf>
    <xf numFmtId="166" fontId="11" fillId="0" borderId="23" xfId="2" applyNumberFormat="1" applyFont="1" applyFill="1" applyBorder="1" applyAlignment="1">
      <alignment horizontal="center" vertical="center" wrapText="1"/>
    </xf>
    <xf numFmtId="166" fontId="11" fillId="0" borderId="21" xfId="2" applyNumberFormat="1" applyFont="1" applyFill="1" applyBorder="1" applyAlignment="1">
      <alignment horizontal="center" vertical="center" wrapText="1"/>
    </xf>
    <xf numFmtId="166" fontId="11" fillId="0" borderId="25" xfId="2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0" fillId="3" borderId="12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166" fontId="18" fillId="0" borderId="20" xfId="2" applyNumberFormat="1" applyFont="1" applyBorder="1" applyAlignment="1">
      <alignment horizontal="center" vertical="center"/>
    </xf>
    <xf numFmtId="166" fontId="18" fillId="0" borderId="19" xfId="2" applyNumberFormat="1" applyFont="1" applyBorder="1" applyAlignment="1">
      <alignment horizontal="center" vertical="center"/>
    </xf>
    <xf numFmtId="166" fontId="18" fillId="0" borderId="22" xfId="2" applyNumberFormat="1" applyFont="1" applyBorder="1" applyAlignment="1">
      <alignment horizontal="center" vertical="center"/>
    </xf>
    <xf numFmtId="166" fontId="18" fillId="0" borderId="2" xfId="2" applyNumberFormat="1" applyFont="1" applyBorder="1" applyAlignment="1">
      <alignment horizontal="center" vertical="center"/>
    </xf>
    <xf numFmtId="166" fontId="18" fillId="0" borderId="0" xfId="2" applyNumberFormat="1" applyFont="1" applyBorder="1" applyAlignment="1">
      <alignment horizontal="center" vertical="center"/>
    </xf>
    <xf numFmtId="166" fontId="18" fillId="0" borderId="23" xfId="2" applyNumberFormat="1" applyFont="1" applyBorder="1" applyAlignment="1">
      <alignment horizontal="center" vertical="center"/>
    </xf>
    <xf numFmtId="166" fontId="18" fillId="0" borderId="21" xfId="2" applyNumberFormat="1" applyFont="1" applyBorder="1" applyAlignment="1">
      <alignment horizontal="center" vertical="center"/>
    </xf>
    <xf numFmtId="166" fontId="18" fillId="0" borderId="24" xfId="2" applyNumberFormat="1" applyFont="1" applyBorder="1" applyAlignment="1">
      <alignment horizontal="center" vertical="center"/>
    </xf>
    <xf numFmtId="166" fontId="18" fillId="0" borderId="25" xfId="2" applyNumberFormat="1" applyFont="1" applyBorder="1" applyAlignment="1">
      <alignment horizontal="center" vertical="center"/>
    </xf>
    <xf numFmtId="166" fontId="11" fillId="0" borderId="1" xfId="2" applyNumberFormat="1" applyFont="1" applyBorder="1" applyAlignment="1">
      <alignment horizontal="center" vertical="center" wrapText="1"/>
    </xf>
    <xf numFmtId="166" fontId="11" fillId="0" borderId="14" xfId="2" applyNumberFormat="1" applyFont="1" applyBorder="1" applyAlignment="1">
      <alignment horizontal="center" vertical="center" wrapText="1"/>
    </xf>
    <xf numFmtId="166" fontId="11" fillId="0" borderId="6" xfId="2" applyNumberFormat="1" applyFont="1" applyBorder="1" applyAlignment="1">
      <alignment horizontal="center" vertical="center" wrapText="1"/>
    </xf>
    <xf numFmtId="166" fontId="11" fillId="0" borderId="20" xfId="2" applyNumberFormat="1" applyFont="1" applyBorder="1" applyAlignment="1">
      <alignment horizontal="center" vertical="center"/>
    </xf>
    <xf numFmtId="166" fontId="11" fillId="0" borderId="19" xfId="2" applyNumberFormat="1" applyFont="1" applyBorder="1" applyAlignment="1">
      <alignment horizontal="center" vertical="center"/>
    </xf>
    <xf numFmtId="166" fontId="11" fillId="0" borderId="22" xfId="2" applyNumberFormat="1" applyFont="1" applyBorder="1" applyAlignment="1">
      <alignment horizontal="center" vertical="center"/>
    </xf>
    <xf numFmtId="166" fontId="11" fillId="0" borderId="2" xfId="2" applyNumberFormat="1" applyFont="1" applyBorder="1" applyAlignment="1">
      <alignment horizontal="center" vertical="center"/>
    </xf>
    <xf numFmtId="166" fontId="11" fillId="0" borderId="0" xfId="2" applyNumberFormat="1" applyFont="1" applyBorder="1" applyAlignment="1">
      <alignment horizontal="center" vertical="center"/>
    </xf>
    <xf numFmtId="166" fontId="11" fillId="0" borderId="23" xfId="2" applyNumberFormat="1" applyFont="1" applyBorder="1" applyAlignment="1">
      <alignment horizontal="center" vertical="center"/>
    </xf>
    <xf numFmtId="166" fontId="11" fillId="0" borderId="21" xfId="2" applyNumberFormat="1" applyFont="1" applyBorder="1" applyAlignment="1">
      <alignment horizontal="center" vertical="center"/>
    </xf>
    <xf numFmtId="166" fontId="11" fillId="0" borderId="24" xfId="2" applyNumberFormat="1" applyFont="1" applyBorder="1" applyAlignment="1">
      <alignment horizontal="center" vertical="center"/>
    </xf>
    <xf numFmtId="166" fontId="11" fillId="0" borderId="25" xfId="2" applyNumberFormat="1" applyFont="1" applyBorder="1" applyAlignment="1">
      <alignment horizontal="center" vertic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0" borderId="0" xfId="0" applyFill="1" applyAlignment="1">
      <alignment horizontal="center" wrapText="1"/>
    </xf>
    <xf numFmtId="0" fontId="0" fillId="3" borderId="11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14" xfId="0" applyFill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166" fontId="11" fillId="0" borderId="40" xfId="2" applyNumberFormat="1" applyFont="1" applyBorder="1" applyAlignment="1">
      <alignment horizontal="center" vertical="center" wrapText="1"/>
    </xf>
    <xf numFmtId="166" fontId="11" fillId="0" borderId="37" xfId="2" applyNumberFormat="1" applyFont="1" applyFill="1" applyBorder="1" applyAlignment="1">
      <alignment horizontal="center" vertical="center" wrapText="1"/>
    </xf>
    <xf numFmtId="166" fontId="11" fillId="0" borderId="39" xfId="2" applyNumberFormat="1" applyFont="1" applyFill="1" applyBorder="1" applyAlignment="1">
      <alignment horizontal="center" vertical="center" wrapText="1"/>
    </xf>
    <xf numFmtId="166" fontId="11" fillId="0" borderId="34" xfId="2" applyNumberFormat="1" applyFont="1" applyBorder="1" applyAlignment="1">
      <alignment horizontal="center" vertical="center"/>
    </xf>
    <xf numFmtId="166" fontId="11" fillId="0" borderId="35" xfId="2" applyNumberFormat="1" applyFont="1" applyBorder="1" applyAlignment="1">
      <alignment horizontal="center" vertical="center"/>
    </xf>
    <xf numFmtId="166" fontId="11" fillId="0" borderId="36" xfId="2" applyNumberFormat="1" applyFont="1" applyBorder="1" applyAlignment="1">
      <alignment horizontal="center" vertical="center"/>
    </xf>
    <xf numFmtId="166" fontId="18" fillId="0" borderId="34" xfId="2" applyNumberFormat="1" applyFont="1" applyBorder="1" applyAlignment="1">
      <alignment horizontal="center" vertical="center"/>
    </xf>
    <xf numFmtId="166" fontId="18" fillId="0" borderId="35" xfId="2" applyNumberFormat="1" applyFont="1" applyBorder="1" applyAlignment="1">
      <alignment horizontal="center" vertical="center"/>
    </xf>
    <xf numFmtId="166" fontId="18" fillId="0" borderId="36" xfId="2" applyNumberFormat="1" applyFont="1" applyBorder="1" applyAlignment="1">
      <alignment horizontal="center" vertical="center"/>
    </xf>
    <xf numFmtId="166" fontId="18" fillId="0" borderId="37" xfId="2" applyNumberFormat="1" applyFont="1" applyBorder="1" applyAlignment="1">
      <alignment horizontal="center" vertical="center"/>
    </xf>
    <xf numFmtId="166" fontId="18" fillId="0" borderId="38" xfId="2" applyNumberFormat="1" applyFont="1" applyBorder="1" applyAlignment="1">
      <alignment horizontal="center" vertical="center"/>
    </xf>
    <xf numFmtId="166" fontId="18" fillId="0" borderId="39" xfId="2" applyNumberFormat="1" applyFont="1" applyBorder="1" applyAlignment="1">
      <alignment horizontal="center" vertical="center"/>
    </xf>
    <xf numFmtId="166" fontId="11" fillId="0" borderId="20" xfId="2" applyNumberFormat="1" applyFont="1" applyBorder="1" applyAlignment="1">
      <alignment horizontal="center" vertical="center" wrapText="1"/>
    </xf>
    <xf numFmtId="166" fontId="11" fillId="0" borderId="2" xfId="2" applyNumberFormat="1" applyFont="1" applyBorder="1" applyAlignment="1">
      <alignment horizontal="center" vertical="center" wrapText="1"/>
    </xf>
    <xf numFmtId="166" fontId="11" fillId="0" borderId="34" xfId="2" applyNumberFormat="1" applyFont="1" applyBorder="1" applyAlignment="1">
      <alignment horizontal="center" vertical="center" wrapText="1"/>
    </xf>
    <xf numFmtId="166" fontId="11" fillId="0" borderId="34" xfId="2" applyNumberFormat="1" applyFont="1" applyFill="1" applyBorder="1" applyAlignment="1">
      <alignment horizontal="center" vertical="center" wrapText="1"/>
    </xf>
    <xf numFmtId="166" fontId="11" fillId="0" borderId="36" xfId="2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9" fillId="0" borderId="1" xfId="0" applyFont="1" applyFill="1" applyBorder="1" applyAlignment="1">
      <alignment horizontal="left" vertical="top"/>
    </xf>
    <xf numFmtId="0" fontId="9" fillId="0" borderId="14" xfId="0" applyFont="1" applyFill="1" applyBorder="1" applyAlignment="1">
      <alignment horizontal="left" vertical="top"/>
    </xf>
    <xf numFmtId="0" fontId="9" fillId="0" borderId="6" xfId="0" applyFont="1" applyFill="1" applyBorder="1" applyAlignment="1">
      <alignment horizontal="left" vertical="top"/>
    </xf>
    <xf numFmtId="0" fontId="9" fillId="0" borderId="3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32" fillId="0" borderId="0" xfId="0" applyFont="1" applyAlignment="1">
      <alignment horizontal="left" wrapText="1"/>
    </xf>
    <xf numFmtId="0" fontId="37" fillId="0" borderId="7" xfId="0" applyFont="1" applyBorder="1" applyAlignment="1">
      <alignment horizontal="center"/>
    </xf>
    <xf numFmtId="0" fontId="35" fillId="0" borderId="0" xfId="0" applyFont="1" applyAlignment="1">
      <alignment horizontal="left"/>
    </xf>
    <xf numFmtId="0" fontId="0" fillId="0" borderId="7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7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7" borderId="42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43" xfId="0" applyFill="1" applyBorder="1" applyAlignment="1">
      <alignment horizontal="center" vertical="center" wrapText="1"/>
    </xf>
    <xf numFmtId="0" fontId="0" fillId="7" borderId="44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51" fillId="9" borderId="0" xfId="0" applyFont="1" applyFill="1" applyAlignment="1">
      <alignment horizontal="center" vertical="center"/>
    </xf>
    <xf numFmtId="0" fontId="46" fillId="4" borderId="0" xfId="0" applyFont="1" applyFill="1" applyBorder="1" applyAlignment="1">
      <alignment horizontal="center" vertical="center" wrapText="1"/>
    </xf>
    <xf numFmtId="0" fontId="46" fillId="4" borderId="8" xfId="0" applyFont="1" applyFill="1" applyBorder="1" applyAlignment="1">
      <alignment horizontal="center" vertical="center" wrapText="1"/>
    </xf>
    <xf numFmtId="0" fontId="37" fillId="0" borderId="3" xfId="0" applyFont="1" applyBorder="1" applyAlignment="1">
      <alignment horizontal="center"/>
    </xf>
    <xf numFmtId="0" fontId="37" fillId="0" borderId="5" xfId="0" applyFont="1" applyBorder="1" applyAlignment="1">
      <alignment horizontal="center"/>
    </xf>
    <xf numFmtId="0" fontId="37" fillId="0" borderId="4" xfId="0" applyFont="1" applyBorder="1" applyAlignment="1">
      <alignment horizontal="center"/>
    </xf>
    <xf numFmtId="0" fontId="39" fillId="9" borderId="0" xfId="0" applyFont="1" applyFill="1" applyBorder="1" applyAlignment="1">
      <alignment horizontal="left" vertical="center" wrapText="1"/>
    </xf>
    <xf numFmtId="0" fontId="0" fillId="7" borderId="7" xfId="0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7" borderId="7" xfId="0" applyFill="1" applyBorder="1" applyAlignment="1">
      <alignment horizontal="center"/>
    </xf>
    <xf numFmtId="0" fontId="39" fillId="9" borderId="19" xfId="0" applyFont="1" applyFill="1" applyBorder="1" applyAlignment="1">
      <alignment horizontal="left" vertical="center" wrapText="1"/>
    </xf>
    <xf numFmtId="0" fontId="37" fillId="0" borderId="0" xfId="0" applyFont="1" applyBorder="1" applyAlignment="1">
      <alignment horizontal="center"/>
    </xf>
    <xf numFmtId="0" fontId="35" fillId="0" borderId="0" xfId="0" applyFont="1" applyBorder="1" applyAlignment="1">
      <alignment horizontal="left"/>
    </xf>
    <xf numFmtId="0" fontId="0" fillId="0" borderId="7" xfId="0" applyFont="1" applyBorder="1" applyAlignment="1">
      <alignment horizontal="center" vertical="center"/>
    </xf>
    <xf numFmtId="0" fontId="0" fillId="7" borderId="3" xfId="0" applyFont="1" applyFill="1" applyBorder="1" applyAlignment="1">
      <alignment horizontal="center" vertical="center"/>
    </xf>
    <xf numFmtId="0" fontId="0" fillId="7" borderId="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0" fillId="7" borderId="7" xfId="0" applyFill="1" applyBorder="1" applyAlignment="1">
      <alignment horizontal="center" vertical="center" wrapText="1"/>
    </xf>
    <xf numFmtId="0" fontId="32" fillId="0" borderId="0" xfId="0" applyFont="1" applyBorder="1" applyAlignment="1">
      <alignment horizontal="left" wrapText="1"/>
    </xf>
    <xf numFmtId="0" fontId="32" fillId="0" borderId="10" xfId="0" applyFont="1" applyBorder="1" applyAlignment="1">
      <alignment horizontal="right" wrapText="1"/>
    </xf>
    <xf numFmtId="14" fontId="32" fillId="0" borderId="10" xfId="0" applyNumberFormat="1" applyFont="1" applyBorder="1" applyAlignment="1">
      <alignment horizontal="right"/>
    </xf>
    <xf numFmtId="0" fontId="0" fillId="0" borderId="45" xfId="0" applyFill="1" applyBorder="1" applyAlignment="1">
      <alignment horizontal="center" vertical="center" wrapText="1"/>
    </xf>
    <xf numFmtId="0" fontId="0" fillId="0" borderId="46" xfId="0" applyFill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14" fontId="32" fillId="0" borderId="0" xfId="0" applyNumberFormat="1" applyFont="1" applyBorder="1" applyAlignment="1">
      <alignment horizontal="center"/>
    </xf>
    <xf numFmtId="0" fontId="32" fillId="0" borderId="0" xfId="0" applyFont="1" applyBorder="1" applyAlignment="1">
      <alignment horizontal="center" wrapText="1"/>
    </xf>
    <xf numFmtId="0" fontId="46" fillId="4" borderId="0" xfId="0" applyFont="1" applyFill="1" applyBorder="1" applyAlignment="1">
      <alignment horizontal="center" vertical="center"/>
    </xf>
    <xf numFmtId="0" fontId="46" fillId="4" borderId="8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35" fillId="0" borderId="0" xfId="0" applyFont="1" applyFill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37" fillId="0" borderId="2" xfId="0" applyFont="1" applyBorder="1" applyAlignment="1">
      <alignment horizontal="center"/>
    </xf>
  </cellXfs>
  <cellStyles count="5">
    <cellStyle name="Komma" xfId="1" builtinId="3"/>
    <cellStyle name="Komma 2" xfId="3" xr:uid="{00000000-0005-0000-0000-000001000000}"/>
    <cellStyle name="Komma 3" xfId="2" xr:uid="{00000000-0005-0000-0000-000002000000}"/>
    <cellStyle name="Prozent" xfId="4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5.png"/><Relationship Id="rId1" Type="http://schemas.openxmlformats.org/officeDocument/2006/relationships/image" Target="../media/image20.png"/><Relationship Id="rId6" Type="http://schemas.openxmlformats.org/officeDocument/2006/relationships/image" Target="../media/image46.jpeg"/><Relationship Id="rId5" Type="http://schemas.openxmlformats.org/officeDocument/2006/relationships/image" Target="../media/image45.jpeg"/><Relationship Id="rId4" Type="http://schemas.openxmlformats.org/officeDocument/2006/relationships/image" Target="../media/image4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12" Type="http://schemas.openxmlformats.org/officeDocument/2006/relationships/image" Target="../media/image25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11" Type="http://schemas.openxmlformats.org/officeDocument/2006/relationships/image" Target="../media/image24.png"/><Relationship Id="rId5" Type="http://schemas.openxmlformats.org/officeDocument/2006/relationships/image" Target="../media/image18.png"/><Relationship Id="rId10" Type="http://schemas.openxmlformats.org/officeDocument/2006/relationships/image" Target="../media/image23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2" Type="http://schemas.openxmlformats.org/officeDocument/2006/relationships/image" Target="../media/image27.png"/><Relationship Id="rId1" Type="http://schemas.openxmlformats.org/officeDocument/2006/relationships/image" Target="../media/image26.png"/><Relationship Id="rId4" Type="http://schemas.openxmlformats.org/officeDocument/2006/relationships/image" Target="../media/image29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6.png"/><Relationship Id="rId2" Type="http://schemas.openxmlformats.org/officeDocument/2006/relationships/image" Target="../media/image35.png"/><Relationship Id="rId1" Type="http://schemas.openxmlformats.org/officeDocument/2006/relationships/image" Target="../media/image34.png"/><Relationship Id="rId6" Type="http://schemas.openxmlformats.org/officeDocument/2006/relationships/image" Target="../media/image39.png"/><Relationship Id="rId5" Type="http://schemas.openxmlformats.org/officeDocument/2006/relationships/image" Target="../media/image38.png"/><Relationship Id="rId4" Type="http://schemas.openxmlformats.org/officeDocument/2006/relationships/image" Target="../media/image3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0.png"/><Relationship Id="rId2" Type="http://schemas.openxmlformats.org/officeDocument/2006/relationships/image" Target="../media/image22.png"/><Relationship Id="rId1" Type="http://schemas.openxmlformats.org/officeDocument/2006/relationships/image" Target="../media/image14.png"/><Relationship Id="rId4" Type="http://schemas.openxmlformats.org/officeDocument/2006/relationships/image" Target="../media/image19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3.png"/><Relationship Id="rId1" Type="http://schemas.openxmlformats.org/officeDocument/2006/relationships/image" Target="../media/image15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6.emf"/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5" Type="http://schemas.openxmlformats.org/officeDocument/2006/relationships/image" Target="../media/image8.emf"/><Relationship Id="rId4" Type="http://schemas.openxmlformats.org/officeDocument/2006/relationships/image" Target="../media/image5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0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2.jpeg"/><Relationship Id="rId1" Type="http://schemas.openxmlformats.org/officeDocument/2006/relationships/image" Target="../media/image4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2.jpeg"/><Relationship Id="rId1" Type="http://schemas.openxmlformats.org/officeDocument/2006/relationships/image" Target="../media/image4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2.jpeg"/><Relationship Id="rId1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704850</xdr:colOff>
          <xdr:row>68</xdr:row>
          <xdr:rowOff>133350</xdr:rowOff>
        </xdr:from>
        <xdr:to>
          <xdr:col>4</xdr:col>
          <xdr:colOff>561975</xdr:colOff>
          <xdr:row>69</xdr:row>
          <xdr:rowOff>190500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695325</xdr:colOff>
          <xdr:row>43</xdr:row>
          <xdr:rowOff>180975</xdr:rowOff>
        </xdr:from>
        <xdr:to>
          <xdr:col>11</xdr:col>
          <xdr:colOff>647700</xdr:colOff>
          <xdr:row>44</xdr:row>
          <xdr:rowOff>285750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58</xdr:row>
          <xdr:rowOff>142875</xdr:rowOff>
        </xdr:from>
        <xdr:to>
          <xdr:col>9</xdr:col>
          <xdr:colOff>552450</xdr:colOff>
          <xdr:row>60</xdr:row>
          <xdr:rowOff>19050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70</xdr:row>
          <xdr:rowOff>19050</xdr:rowOff>
        </xdr:from>
        <xdr:to>
          <xdr:col>4</xdr:col>
          <xdr:colOff>561975</xdr:colOff>
          <xdr:row>71</xdr:row>
          <xdr:rowOff>9525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117</xdr:row>
          <xdr:rowOff>123825</xdr:rowOff>
        </xdr:from>
        <xdr:to>
          <xdr:col>6</xdr:col>
          <xdr:colOff>400050</xdr:colOff>
          <xdr:row>118</xdr:row>
          <xdr:rowOff>190500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119</xdr:row>
          <xdr:rowOff>19050</xdr:rowOff>
        </xdr:from>
        <xdr:to>
          <xdr:col>6</xdr:col>
          <xdr:colOff>457200</xdr:colOff>
          <xdr:row>120</xdr:row>
          <xdr:rowOff>9525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186</xdr:row>
          <xdr:rowOff>123825</xdr:rowOff>
        </xdr:from>
        <xdr:to>
          <xdr:col>5</xdr:col>
          <xdr:colOff>647700</xdr:colOff>
          <xdr:row>188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188</xdr:row>
          <xdr:rowOff>28575</xdr:rowOff>
        </xdr:from>
        <xdr:to>
          <xdr:col>5</xdr:col>
          <xdr:colOff>676275</xdr:colOff>
          <xdr:row>189</xdr:row>
          <xdr:rowOff>19050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231</xdr:row>
          <xdr:rowOff>0</xdr:rowOff>
        </xdr:from>
        <xdr:to>
          <xdr:col>11</xdr:col>
          <xdr:colOff>619125</xdr:colOff>
          <xdr:row>243</xdr:row>
          <xdr:rowOff>228600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350</xdr:row>
          <xdr:rowOff>95250</xdr:rowOff>
        </xdr:from>
        <xdr:to>
          <xdr:col>12</xdr:col>
          <xdr:colOff>752475</xdr:colOff>
          <xdr:row>359</xdr:row>
          <xdr:rowOff>38100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162</xdr:row>
          <xdr:rowOff>9525</xdr:rowOff>
        </xdr:from>
        <xdr:to>
          <xdr:col>12</xdr:col>
          <xdr:colOff>76200</xdr:colOff>
          <xdr:row>166</xdr:row>
          <xdr:rowOff>161925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704850</xdr:colOff>
          <xdr:row>376</xdr:row>
          <xdr:rowOff>133350</xdr:rowOff>
        </xdr:from>
        <xdr:to>
          <xdr:col>4</xdr:col>
          <xdr:colOff>561975</xdr:colOff>
          <xdr:row>378</xdr:row>
          <xdr:rowOff>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378</xdr:row>
          <xdr:rowOff>19050</xdr:rowOff>
        </xdr:from>
        <xdr:to>
          <xdr:col>4</xdr:col>
          <xdr:colOff>561975</xdr:colOff>
          <xdr:row>379</xdr:row>
          <xdr:rowOff>9525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412</xdr:row>
          <xdr:rowOff>123825</xdr:rowOff>
        </xdr:from>
        <xdr:to>
          <xdr:col>6</xdr:col>
          <xdr:colOff>400050</xdr:colOff>
          <xdr:row>414</xdr:row>
          <xdr:rowOff>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414</xdr:row>
          <xdr:rowOff>19050</xdr:rowOff>
        </xdr:from>
        <xdr:to>
          <xdr:col>6</xdr:col>
          <xdr:colOff>457200</xdr:colOff>
          <xdr:row>415</xdr:row>
          <xdr:rowOff>9525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485</xdr:row>
          <xdr:rowOff>123825</xdr:rowOff>
        </xdr:from>
        <xdr:to>
          <xdr:col>5</xdr:col>
          <xdr:colOff>647700</xdr:colOff>
          <xdr:row>487</xdr:row>
          <xdr:rowOff>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487</xdr:row>
          <xdr:rowOff>28575</xdr:rowOff>
        </xdr:from>
        <xdr:to>
          <xdr:col>5</xdr:col>
          <xdr:colOff>676275</xdr:colOff>
          <xdr:row>488</xdr:row>
          <xdr:rowOff>19050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397</xdr:row>
          <xdr:rowOff>142875</xdr:rowOff>
        </xdr:from>
        <xdr:to>
          <xdr:col>11</xdr:col>
          <xdr:colOff>581025</xdr:colOff>
          <xdr:row>401</xdr:row>
          <xdr:rowOff>66675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451</xdr:row>
          <xdr:rowOff>142875</xdr:rowOff>
        </xdr:from>
        <xdr:to>
          <xdr:col>11</xdr:col>
          <xdr:colOff>581025</xdr:colOff>
          <xdr:row>455</xdr:row>
          <xdr:rowOff>57150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530</xdr:row>
          <xdr:rowOff>0</xdr:rowOff>
        </xdr:from>
        <xdr:to>
          <xdr:col>11</xdr:col>
          <xdr:colOff>581025</xdr:colOff>
          <xdr:row>542</xdr:row>
          <xdr:rowOff>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563</xdr:row>
          <xdr:rowOff>142875</xdr:rowOff>
        </xdr:from>
        <xdr:to>
          <xdr:col>11</xdr:col>
          <xdr:colOff>581025</xdr:colOff>
          <xdr:row>571</xdr:row>
          <xdr:rowOff>66675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704850</xdr:colOff>
          <xdr:row>580</xdr:row>
          <xdr:rowOff>133350</xdr:rowOff>
        </xdr:from>
        <xdr:to>
          <xdr:col>4</xdr:col>
          <xdr:colOff>561975</xdr:colOff>
          <xdr:row>582</xdr:row>
          <xdr:rowOff>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582</xdr:row>
          <xdr:rowOff>19050</xdr:rowOff>
        </xdr:from>
        <xdr:to>
          <xdr:col>4</xdr:col>
          <xdr:colOff>561975</xdr:colOff>
          <xdr:row>583</xdr:row>
          <xdr:rowOff>9525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621</xdr:row>
          <xdr:rowOff>123825</xdr:rowOff>
        </xdr:from>
        <xdr:to>
          <xdr:col>6</xdr:col>
          <xdr:colOff>400050</xdr:colOff>
          <xdr:row>623</xdr:row>
          <xdr:rowOff>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623</xdr:row>
          <xdr:rowOff>19050</xdr:rowOff>
        </xdr:from>
        <xdr:to>
          <xdr:col>6</xdr:col>
          <xdr:colOff>457200</xdr:colOff>
          <xdr:row>624</xdr:row>
          <xdr:rowOff>9525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771</xdr:row>
          <xdr:rowOff>123825</xdr:rowOff>
        </xdr:from>
        <xdr:to>
          <xdr:col>5</xdr:col>
          <xdr:colOff>647700</xdr:colOff>
          <xdr:row>773</xdr:row>
          <xdr:rowOff>0</xdr:rowOff>
        </xdr:to>
        <xdr:sp macro="" textlink="">
          <xdr:nvSpPr>
            <xdr:cNvPr id="1052" name="Object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773</xdr:row>
          <xdr:rowOff>28575</xdr:rowOff>
        </xdr:from>
        <xdr:to>
          <xdr:col>5</xdr:col>
          <xdr:colOff>676275</xdr:colOff>
          <xdr:row>774</xdr:row>
          <xdr:rowOff>19050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704850</xdr:colOff>
          <xdr:row>68</xdr:row>
          <xdr:rowOff>133350</xdr:rowOff>
        </xdr:from>
        <xdr:to>
          <xdr:col>4</xdr:col>
          <xdr:colOff>561975</xdr:colOff>
          <xdr:row>69</xdr:row>
          <xdr:rowOff>190500</xdr:rowOff>
        </xdr:to>
        <xdr:sp macro="" textlink="">
          <xdr:nvSpPr>
            <xdr:cNvPr id="1054" name="Object 145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58</xdr:row>
          <xdr:rowOff>142875</xdr:rowOff>
        </xdr:from>
        <xdr:to>
          <xdr:col>9</xdr:col>
          <xdr:colOff>552450</xdr:colOff>
          <xdr:row>60</xdr:row>
          <xdr:rowOff>19050</xdr:rowOff>
        </xdr:to>
        <xdr:sp macro="" textlink="">
          <xdr:nvSpPr>
            <xdr:cNvPr id="1056" name="Object 148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70</xdr:row>
          <xdr:rowOff>19050</xdr:rowOff>
        </xdr:from>
        <xdr:to>
          <xdr:col>4</xdr:col>
          <xdr:colOff>561975</xdr:colOff>
          <xdr:row>71</xdr:row>
          <xdr:rowOff>9525</xdr:rowOff>
        </xdr:to>
        <xdr:sp macro="" textlink="">
          <xdr:nvSpPr>
            <xdr:cNvPr id="1057" name="Object 149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117</xdr:row>
          <xdr:rowOff>123825</xdr:rowOff>
        </xdr:from>
        <xdr:to>
          <xdr:col>6</xdr:col>
          <xdr:colOff>400050</xdr:colOff>
          <xdr:row>118</xdr:row>
          <xdr:rowOff>190500</xdr:rowOff>
        </xdr:to>
        <xdr:sp macro="" textlink="">
          <xdr:nvSpPr>
            <xdr:cNvPr id="1058" name="Object 150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119</xdr:row>
          <xdr:rowOff>19050</xdr:rowOff>
        </xdr:from>
        <xdr:to>
          <xdr:col>6</xdr:col>
          <xdr:colOff>457200</xdr:colOff>
          <xdr:row>120</xdr:row>
          <xdr:rowOff>9525</xdr:rowOff>
        </xdr:to>
        <xdr:sp macro="" textlink="">
          <xdr:nvSpPr>
            <xdr:cNvPr id="1059" name="Object 151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186</xdr:row>
          <xdr:rowOff>123825</xdr:rowOff>
        </xdr:from>
        <xdr:to>
          <xdr:col>5</xdr:col>
          <xdr:colOff>647700</xdr:colOff>
          <xdr:row>188</xdr:row>
          <xdr:rowOff>0</xdr:rowOff>
        </xdr:to>
        <xdr:sp macro="" textlink="">
          <xdr:nvSpPr>
            <xdr:cNvPr id="1060" name="Object 152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188</xdr:row>
          <xdr:rowOff>28575</xdr:rowOff>
        </xdr:from>
        <xdr:to>
          <xdr:col>5</xdr:col>
          <xdr:colOff>676275</xdr:colOff>
          <xdr:row>189</xdr:row>
          <xdr:rowOff>19050</xdr:rowOff>
        </xdr:to>
        <xdr:sp macro="" textlink="">
          <xdr:nvSpPr>
            <xdr:cNvPr id="1061" name="Object 153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231</xdr:row>
          <xdr:rowOff>0</xdr:rowOff>
        </xdr:from>
        <xdr:to>
          <xdr:col>11</xdr:col>
          <xdr:colOff>619125</xdr:colOff>
          <xdr:row>243</xdr:row>
          <xdr:rowOff>228600</xdr:rowOff>
        </xdr:to>
        <xdr:sp macro="" textlink="">
          <xdr:nvSpPr>
            <xdr:cNvPr id="1062" name="Object 154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350</xdr:row>
          <xdr:rowOff>95250</xdr:rowOff>
        </xdr:from>
        <xdr:to>
          <xdr:col>12</xdr:col>
          <xdr:colOff>752475</xdr:colOff>
          <xdr:row>359</xdr:row>
          <xdr:rowOff>38100</xdr:rowOff>
        </xdr:to>
        <xdr:sp macro="" textlink="">
          <xdr:nvSpPr>
            <xdr:cNvPr id="1063" name="Object 155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100</xdr:row>
          <xdr:rowOff>142875</xdr:rowOff>
        </xdr:from>
        <xdr:to>
          <xdr:col>9</xdr:col>
          <xdr:colOff>514350</xdr:colOff>
          <xdr:row>102</xdr:row>
          <xdr:rowOff>628650</xdr:rowOff>
        </xdr:to>
        <xdr:sp macro="" textlink="">
          <xdr:nvSpPr>
            <xdr:cNvPr id="1064" name="Object 157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704850</xdr:colOff>
          <xdr:row>376</xdr:row>
          <xdr:rowOff>133350</xdr:rowOff>
        </xdr:from>
        <xdr:to>
          <xdr:col>4</xdr:col>
          <xdr:colOff>561975</xdr:colOff>
          <xdr:row>378</xdr:row>
          <xdr:rowOff>0</xdr:rowOff>
        </xdr:to>
        <xdr:sp macro="" textlink="">
          <xdr:nvSpPr>
            <xdr:cNvPr id="1065" name="Object 158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378</xdr:row>
          <xdr:rowOff>19050</xdr:rowOff>
        </xdr:from>
        <xdr:to>
          <xdr:col>4</xdr:col>
          <xdr:colOff>561975</xdr:colOff>
          <xdr:row>379</xdr:row>
          <xdr:rowOff>9525</xdr:rowOff>
        </xdr:to>
        <xdr:sp macro="" textlink="">
          <xdr:nvSpPr>
            <xdr:cNvPr id="1066" name="Object 159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412</xdr:row>
          <xdr:rowOff>123825</xdr:rowOff>
        </xdr:from>
        <xdr:to>
          <xdr:col>6</xdr:col>
          <xdr:colOff>400050</xdr:colOff>
          <xdr:row>414</xdr:row>
          <xdr:rowOff>0</xdr:rowOff>
        </xdr:to>
        <xdr:sp macro="" textlink="">
          <xdr:nvSpPr>
            <xdr:cNvPr id="1067" name="Object 160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414</xdr:row>
          <xdr:rowOff>19050</xdr:rowOff>
        </xdr:from>
        <xdr:to>
          <xdr:col>6</xdr:col>
          <xdr:colOff>457200</xdr:colOff>
          <xdr:row>415</xdr:row>
          <xdr:rowOff>9525</xdr:rowOff>
        </xdr:to>
        <xdr:sp macro="" textlink="">
          <xdr:nvSpPr>
            <xdr:cNvPr id="1068" name="Object 161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485</xdr:row>
          <xdr:rowOff>123825</xdr:rowOff>
        </xdr:from>
        <xdr:to>
          <xdr:col>5</xdr:col>
          <xdr:colOff>647700</xdr:colOff>
          <xdr:row>487</xdr:row>
          <xdr:rowOff>0</xdr:rowOff>
        </xdr:to>
        <xdr:sp macro="" textlink="">
          <xdr:nvSpPr>
            <xdr:cNvPr id="1069" name="Object 162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487</xdr:row>
          <xdr:rowOff>28575</xdr:rowOff>
        </xdr:from>
        <xdr:to>
          <xdr:col>5</xdr:col>
          <xdr:colOff>676275</xdr:colOff>
          <xdr:row>488</xdr:row>
          <xdr:rowOff>19050</xdr:rowOff>
        </xdr:to>
        <xdr:sp macro="" textlink="">
          <xdr:nvSpPr>
            <xdr:cNvPr id="1070" name="Object 163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397</xdr:row>
          <xdr:rowOff>142875</xdr:rowOff>
        </xdr:from>
        <xdr:to>
          <xdr:col>11</xdr:col>
          <xdr:colOff>581025</xdr:colOff>
          <xdr:row>401</xdr:row>
          <xdr:rowOff>66675</xdr:rowOff>
        </xdr:to>
        <xdr:sp macro="" textlink="">
          <xdr:nvSpPr>
            <xdr:cNvPr id="1071" name="Object 164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451</xdr:row>
          <xdr:rowOff>142875</xdr:rowOff>
        </xdr:from>
        <xdr:to>
          <xdr:col>11</xdr:col>
          <xdr:colOff>581025</xdr:colOff>
          <xdr:row>455</xdr:row>
          <xdr:rowOff>57150</xdr:rowOff>
        </xdr:to>
        <xdr:sp macro="" textlink="">
          <xdr:nvSpPr>
            <xdr:cNvPr id="1072" name="Object 165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530</xdr:row>
          <xdr:rowOff>0</xdr:rowOff>
        </xdr:from>
        <xdr:to>
          <xdr:col>11</xdr:col>
          <xdr:colOff>581025</xdr:colOff>
          <xdr:row>542</xdr:row>
          <xdr:rowOff>0</xdr:rowOff>
        </xdr:to>
        <xdr:sp macro="" textlink="">
          <xdr:nvSpPr>
            <xdr:cNvPr id="1073" name="Object 166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563</xdr:row>
          <xdr:rowOff>142875</xdr:rowOff>
        </xdr:from>
        <xdr:to>
          <xdr:col>11</xdr:col>
          <xdr:colOff>581025</xdr:colOff>
          <xdr:row>571</xdr:row>
          <xdr:rowOff>66675</xdr:rowOff>
        </xdr:to>
        <xdr:sp macro="" textlink="">
          <xdr:nvSpPr>
            <xdr:cNvPr id="1074" name="Object 167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704850</xdr:colOff>
          <xdr:row>580</xdr:row>
          <xdr:rowOff>133350</xdr:rowOff>
        </xdr:from>
        <xdr:to>
          <xdr:col>4</xdr:col>
          <xdr:colOff>561975</xdr:colOff>
          <xdr:row>582</xdr:row>
          <xdr:rowOff>0</xdr:rowOff>
        </xdr:to>
        <xdr:sp macro="" textlink="">
          <xdr:nvSpPr>
            <xdr:cNvPr id="1075" name="Object 168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582</xdr:row>
          <xdr:rowOff>19050</xdr:rowOff>
        </xdr:from>
        <xdr:to>
          <xdr:col>4</xdr:col>
          <xdr:colOff>561975</xdr:colOff>
          <xdr:row>583</xdr:row>
          <xdr:rowOff>9525</xdr:rowOff>
        </xdr:to>
        <xdr:sp macro="" textlink="">
          <xdr:nvSpPr>
            <xdr:cNvPr id="1076" name="Object 169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621</xdr:row>
          <xdr:rowOff>123825</xdr:rowOff>
        </xdr:from>
        <xdr:to>
          <xdr:col>6</xdr:col>
          <xdr:colOff>400050</xdr:colOff>
          <xdr:row>623</xdr:row>
          <xdr:rowOff>0</xdr:rowOff>
        </xdr:to>
        <xdr:sp macro="" textlink="">
          <xdr:nvSpPr>
            <xdr:cNvPr id="1077" name="Object 170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623</xdr:row>
          <xdr:rowOff>19050</xdr:rowOff>
        </xdr:from>
        <xdr:to>
          <xdr:col>6</xdr:col>
          <xdr:colOff>457200</xdr:colOff>
          <xdr:row>624</xdr:row>
          <xdr:rowOff>9525</xdr:rowOff>
        </xdr:to>
        <xdr:sp macro="" textlink="">
          <xdr:nvSpPr>
            <xdr:cNvPr id="1078" name="Object 171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771</xdr:row>
          <xdr:rowOff>123825</xdr:rowOff>
        </xdr:from>
        <xdr:to>
          <xdr:col>5</xdr:col>
          <xdr:colOff>647700</xdr:colOff>
          <xdr:row>773</xdr:row>
          <xdr:rowOff>0</xdr:rowOff>
        </xdr:to>
        <xdr:sp macro="" textlink="">
          <xdr:nvSpPr>
            <xdr:cNvPr id="1079" name="Object 172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773</xdr:row>
          <xdr:rowOff>28575</xdr:rowOff>
        </xdr:from>
        <xdr:to>
          <xdr:col>5</xdr:col>
          <xdr:colOff>676275</xdr:colOff>
          <xdr:row>774</xdr:row>
          <xdr:rowOff>19050</xdr:rowOff>
        </xdr:to>
        <xdr:sp macro="" textlink="">
          <xdr:nvSpPr>
            <xdr:cNvPr id="1080" name="Object 173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390525</xdr:colOff>
      <xdr:row>42</xdr:row>
      <xdr:rowOff>38101</xdr:rowOff>
    </xdr:from>
    <xdr:to>
      <xdr:col>6</xdr:col>
      <xdr:colOff>95250</xdr:colOff>
      <xdr:row>44</xdr:row>
      <xdr:rowOff>362545</xdr:rowOff>
    </xdr:to>
    <xdr:pic>
      <xdr:nvPicPr>
        <xdr:cNvPr id="58" name="Grafik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1425" y="12582526"/>
          <a:ext cx="1990725" cy="741639"/>
        </a:xfrm>
        <a:prstGeom prst="rect">
          <a:avLst/>
        </a:prstGeom>
      </xdr:spPr>
    </xdr:pic>
    <xdr:clientData/>
  </xdr:twoCellAnchor>
  <xdr:twoCellAnchor editAs="oneCell">
    <xdr:from>
      <xdr:col>2</xdr:col>
      <xdr:colOff>676275</xdr:colOff>
      <xdr:row>82</xdr:row>
      <xdr:rowOff>47625</xdr:rowOff>
    </xdr:from>
    <xdr:to>
      <xdr:col>5</xdr:col>
      <xdr:colOff>231115</xdr:colOff>
      <xdr:row>85</xdr:row>
      <xdr:rowOff>161925</xdr:rowOff>
    </xdr:to>
    <xdr:pic>
      <xdr:nvPicPr>
        <xdr:cNvPr id="59" name="Grafik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1350" y="10515600"/>
          <a:ext cx="1840840" cy="68580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466725</xdr:colOff>
      <xdr:row>139</xdr:row>
      <xdr:rowOff>17746</xdr:rowOff>
    </xdr:from>
    <xdr:to>
      <xdr:col>7</xdr:col>
      <xdr:colOff>714375</xdr:colOff>
      <xdr:row>142</xdr:row>
      <xdr:rowOff>152400</xdr:rowOff>
    </xdr:to>
    <xdr:pic>
      <xdr:nvPicPr>
        <xdr:cNvPr id="61" name="Grafik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57800" y="21906196"/>
          <a:ext cx="1895475" cy="706154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390525</xdr:colOff>
      <xdr:row>386</xdr:row>
      <xdr:rowOff>57150</xdr:rowOff>
    </xdr:from>
    <xdr:to>
      <xdr:col>3</xdr:col>
      <xdr:colOff>628650</xdr:colOff>
      <xdr:row>389</xdr:row>
      <xdr:rowOff>142125</xdr:rowOff>
    </xdr:to>
    <xdr:pic>
      <xdr:nvPicPr>
        <xdr:cNvPr id="64" name="Grafik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00" y="83029425"/>
          <a:ext cx="1762125" cy="656475"/>
        </a:xfrm>
        <a:prstGeom prst="rect">
          <a:avLst/>
        </a:prstGeom>
      </xdr:spPr>
    </xdr:pic>
    <xdr:clientData/>
  </xdr:twoCellAnchor>
  <xdr:twoCellAnchor editAs="oneCell">
    <xdr:from>
      <xdr:col>4</xdr:col>
      <xdr:colOff>742950</xdr:colOff>
      <xdr:row>591</xdr:row>
      <xdr:rowOff>57150</xdr:rowOff>
    </xdr:from>
    <xdr:to>
      <xdr:col>7</xdr:col>
      <xdr:colOff>95250</xdr:colOff>
      <xdr:row>594</xdr:row>
      <xdr:rowOff>142125</xdr:rowOff>
    </xdr:to>
    <xdr:pic>
      <xdr:nvPicPr>
        <xdr:cNvPr id="65" name="Grafik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2025" y="150971250"/>
          <a:ext cx="1762125" cy="6564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253</xdr:row>
          <xdr:rowOff>123825</xdr:rowOff>
        </xdr:from>
        <xdr:to>
          <xdr:col>5</xdr:col>
          <xdr:colOff>647700</xdr:colOff>
          <xdr:row>255</xdr:row>
          <xdr:rowOff>0</xdr:rowOff>
        </xdr:to>
        <xdr:sp macro="" textlink="">
          <xdr:nvSpPr>
            <xdr:cNvPr id="1176" name="Object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255</xdr:row>
          <xdr:rowOff>28575</xdr:rowOff>
        </xdr:from>
        <xdr:to>
          <xdr:col>5</xdr:col>
          <xdr:colOff>676275</xdr:colOff>
          <xdr:row>256</xdr:row>
          <xdr:rowOff>19050</xdr:rowOff>
        </xdr:to>
        <xdr:sp macro="" textlink="">
          <xdr:nvSpPr>
            <xdr:cNvPr id="1177" name="Object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253</xdr:row>
          <xdr:rowOff>123825</xdr:rowOff>
        </xdr:from>
        <xdr:to>
          <xdr:col>5</xdr:col>
          <xdr:colOff>647700</xdr:colOff>
          <xdr:row>255</xdr:row>
          <xdr:rowOff>0</xdr:rowOff>
        </xdr:to>
        <xdr:sp macro="" textlink="">
          <xdr:nvSpPr>
            <xdr:cNvPr id="1178" name="Object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255</xdr:row>
          <xdr:rowOff>28575</xdr:rowOff>
        </xdr:from>
        <xdr:to>
          <xdr:col>5</xdr:col>
          <xdr:colOff>676275</xdr:colOff>
          <xdr:row>256</xdr:row>
          <xdr:rowOff>19050</xdr:rowOff>
        </xdr:to>
        <xdr:sp macro="" textlink="">
          <xdr:nvSpPr>
            <xdr:cNvPr id="1179" name="Object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6</xdr:row>
      <xdr:rowOff>47624</xdr:rowOff>
    </xdr:from>
    <xdr:to>
      <xdr:col>2</xdr:col>
      <xdr:colOff>333375</xdr:colOff>
      <xdr:row>16</xdr:row>
      <xdr:rowOff>204185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15"/>
        <a:stretch/>
      </xdr:blipFill>
      <xdr:spPr>
        <a:xfrm>
          <a:off x="47625" y="1781174"/>
          <a:ext cx="4029075" cy="251876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26</xdr:row>
      <xdr:rowOff>66675</xdr:rowOff>
    </xdr:from>
    <xdr:to>
      <xdr:col>1</xdr:col>
      <xdr:colOff>933450</xdr:colOff>
      <xdr:row>30</xdr:row>
      <xdr:rowOff>137444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029" t="6764" r="4798" b="24628"/>
        <a:stretch/>
      </xdr:blipFill>
      <xdr:spPr>
        <a:xfrm>
          <a:off x="57150" y="8677275"/>
          <a:ext cx="2838450" cy="832769"/>
        </a:xfrm>
        <a:prstGeom prst="rect">
          <a:avLst/>
        </a:prstGeom>
      </xdr:spPr>
    </xdr:pic>
    <xdr:clientData/>
  </xdr:twoCellAnchor>
  <xdr:twoCellAnchor editAs="oneCell">
    <xdr:from>
      <xdr:col>0</xdr:col>
      <xdr:colOff>76199</xdr:colOff>
      <xdr:row>96</xdr:row>
      <xdr:rowOff>95250</xdr:rowOff>
    </xdr:from>
    <xdr:to>
      <xdr:col>7</xdr:col>
      <xdr:colOff>263251</xdr:colOff>
      <xdr:row>101</xdr:row>
      <xdr:rowOff>166927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750" b="17667"/>
        <a:stretch/>
      </xdr:blipFill>
      <xdr:spPr>
        <a:xfrm>
          <a:off x="76199" y="20183475"/>
          <a:ext cx="8997677" cy="1024177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66</xdr:row>
      <xdr:rowOff>66676</xdr:rowOff>
    </xdr:from>
    <xdr:to>
      <xdr:col>10</xdr:col>
      <xdr:colOff>823853</xdr:colOff>
      <xdr:row>78</xdr:row>
      <xdr:rowOff>76200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19" b="19363"/>
        <a:stretch/>
      </xdr:blipFill>
      <xdr:spPr>
        <a:xfrm>
          <a:off x="152400" y="10401301"/>
          <a:ext cx="11158478" cy="2867024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34</xdr:row>
      <xdr:rowOff>57150</xdr:rowOff>
    </xdr:from>
    <xdr:to>
      <xdr:col>2</xdr:col>
      <xdr:colOff>515976</xdr:colOff>
      <xdr:row>45</xdr:row>
      <xdr:rowOff>123825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2" t="10579" r="53384" b="8097"/>
        <a:stretch/>
      </xdr:blipFill>
      <xdr:spPr>
        <a:xfrm>
          <a:off x="66675" y="10391775"/>
          <a:ext cx="3935451" cy="266700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34</xdr:row>
      <xdr:rowOff>57150</xdr:rowOff>
    </xdr:from>
    <xdr:to>
      <xdr:col>7</xdr:col>
      <xdr:colOff>134473</xdr:colOff>
      <xdr:row>45</xdr:row>
      <xdr:rowOff>152400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7" t="15210" r="55278" b="9076"/>
        <a:stretch/>
      </xdr:blipFill>
      <xdr:spPr>
        <a:xfrm>
          <a:off x="4286250" y="10391775"/>
          <a:ext cx="4049248" cy="269557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56</xdr:row>
      <xdr:rowOff>57150</xdr:rowOff>
    </xdr:from>
    <xdr:to>
      <xdr:col>1</xdr:col>
      <xdr:colOff>895350</xdr:colOff>
      <xdr:row>60</xdr:row>
      <xdr:rowOff>127919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029" t="6764" r="4798" b="24628"/>
        <a:stretch/>
      </xdr:blipFill>
      <xdr:spPr>
        <a:xfrm>
          <a:off x="19050" y="18307050"/>
          <a:ext cx="2705100" cy="8327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704850</xdr:colOff>
          <xdr:row>18</xdr:row>
          <xdr:rowOff>85725</xdr:rowOff>
        </xdr:from>
        <xdr:to>
          <xdr:col>11</xdr:col>
          <xdr:colOff>542925</xdr:colOff>
          <xdr:row>19</xdr:row>
          <xdr:rowOff>114300</xdr:rowOff>
        </xdr:to>
        <xdr:sp macro="" textlink="">
          <xdr:nvSpPr>
            <xdr:cNvPr id="3073" name="Object 2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30</xdr:row>
          <xdr:rowOff>9525</xdr:rowOff>
        </xdr:from>
        <xdr:to>
          <xdr:col>5</xdr:col>
          <xdr:colOff>676275</xdr:colOff>
          <xdr:row>30</xdr:row>
          <xdr:rowOff>190500</xdr:rowOff>
        </xdr:to>
        <xdr:sp macro="" textlink="">
          <xdr:nvSpPr>
            <xdr:cNvPr id="3074" name="Object 6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28</xdr:row>
          <xdr:rowOff>95250</xdr:rowOff>
        </xdr:from>
        <xdr:to>
          <xdr:col>5</xdr:col>
          <xdr:colOff>638175</xdr:colOff>
          <xdr:row>29</xdr:row>
          <xdr:rowOff>161925</xdr:rowOff>
        </xdr:to>
        <xdr:sp macro="" textlink="">
          <xdr:nvSpPr>
            <xdr:cNvPr id="3075" name="Object 8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98</xdr:row>
          <xdr:rowOff>123825</xdr:rowOff>
        </xdr:from>
        <xdr:to>
          <xdr:col>5</xdr:col>
          <xdr:colOff>647700</xdr:colOff>
          <xdr:row>99</xdr:row>
          <xdr:rowOff>190500</xdr:rowOff>
        </xdr:to>
        <xdr:sp macro="" textlink="">
          <xdr:nvSpPr>
            <xdr:cNvPr id="3076" name="Object 10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100</xdr:row>
          <xdr:rowOff>28575</xdr:rowOff>
        </xdr:from>
        <xdr:to>
          <xdr:col>5</xdr:col>
          <xdr:colOff>676275</xdr:colOff>
          <xdr:row>101</xdr:row>
          <xdr:rowOff>0</xdr:rowOff>
        </xdr:to>
        <xdr:sp macro="" textlink="">
          <xdr:nvSpPr>
            <xdr:cNvPr id="3077" name="Object 11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5</xdr:col>
      <xdr:colOff>314325</xdr:colOff>
      <xdr:row>161</xdr:row>
      <xdr:rowOff>190500</xdr:rowOff>
    </xdr:from>
    <xdr:to>
      <xdr:col>9</xdr:col>
      <xdr:colOff>417017</xdr:colOff>
      <xdr:row>165</xdr:row>
      <xdr:rowOff>66675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29325" y="35147250"/>
          <a:ext cx="3150692" cy="1066800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165</xdr:row>
      <xdr:rowOff>133351</xdr:rowOff>
    </xdr:from>
    <xdr:to>
      <xdr:col>9</xdr:col>
      <xdr:colOff>228821</xdr:colOff>
      <xdr:row>170</xdr:row>
      <xdr:rowOff>76200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29300" y="36280726"/>
          <a:ext cx="3162521" cy="1895474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190501</xdr:colOff>
      <xdr:row>73</xdr:row>
      <xdr:rowOff>104775</xdr:rowOff>
    </xdr:from>
    <xdr:to>
      <xdr:col>10</xdr:col>
      <xdr:colOff>507534</xdr:colOff>
      <xdr:row>79</xdr:row>
      <xdr:rowOff>133349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01" y="15897225"/>
          <a:ext cx="3422183" cy="19907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685800</xdr:colOff>
          <xdr:row>29</xdr:row>
          <xdr:rowOff>161925</xdr:rowOff>
        </xdr:from>
        <xdr:to>
          <xdr:col>11</xdr:col>
          <xdr:colOff>571500</xdr:colOff>
          <xdr:row>31</xdr:row>
          <xdr:rowOff>38100</xdr:rowOff>
        </xdr:to>
        <xdr:sp macro="" textlink="">
          <xdr:nvSpPr>
            <xdr:cNvPr id="4097" name="Object 3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39</xdr:row>
          <xdr:rowOff>142875</xdr:rowOff>
        </xdr:from>
        <xdr:to>
          <xdr:col>9</xdr:col>
          <xdr:colOff>361950</xdr:colOff>
          <xdr:row>41</xdr:row>
          <xdr:rowOff>0</xdr:rowOff>
        </xdr:to>
        <xdr:sp macro="" textlink="">
          <xdr:nvSpPr>
            <xdr:cNvPr id="4098" name="Object 4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47</xdr:row>
          <xdr:rowOff>123825</xdr:rowOff>
        </xdr:from>
        <xdr:to>
          <xdr:col>6</xdr:col>
          <xdr:colOff>400050</xdr:colOff>
          <xdr:row>48</xdr:row>
          <xdr:rowOff>190500</xdr:rowOff>
        </xdr:to>
        <xdr:sp macro="" textlink="">
          <xdr:nvSpPr>
            <xdr:cNvPr id="4099" name="Object 6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49</xdr:row>
          <xdr:rowOff>19050</xdr:rowOff>
        </xdr:from>
        <xdr:to>
          <xdr:col>6</xdr:col>
          <xdr:colOff>457200</xdr:colOff>
          <xdr:row>50</xdr:row>
          <xdr:rowOff>0</xdr:rowOff>
        </xdr:to>
        <xdr:sp macro="" textlink="">
          <xdr:nvSpPr>
            <xdr:cNvPr id="4100" name="Object 7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108</xdr:row>
          <xdr:rowOff>9525</xdr:rowOff>
        </xdr:from>
        <xdr:to>
          <xdr:col>12</xdr:col>
          <xdr:colOff>9525</xdr:colOff>
          <xdr:row>112</xdr:row>
          <xdr:rowOff>123825</xdr:rowOff>
        </xdr:to>
        <xdr:sp macro="" textlink="">
          <xdr:nvSpPr>
            <xdr:cNvPr id="4101" name="Object 12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199</xdr:row>
          <xdr:rowOff>123825</xdr:rowOff>
        </xdr:from>
        <xdr:to>
          <xdr:col>6</xdr:col>
          <xdr:colOff>400050</xdr:colOff>
          <xdr:row>200</xdr:row>
          <xdr:rowOff>190500</xdr:rowOff>
        </xdr:to>
        <xdr:sp macro="" textlink="">
          <xdr:nvSpPr>
            <xdr:cNvPr id="4102" name="Object 2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201</xdr:row>
          <xdr:rowOff>19050</xdr:rowOff>
        </xdr:from>
        <xdr:to>
          <xdr:col>6</xdr:col>
          <xdr:colOff>457200</xdr:colOff>
          <xdr:row>202</xdr:row>
          <xdr:rowOff>0</xdr:rowOff>
        </xdr:to>
        <xdr:sp macro="" textlink="">
          <xdr:nvSpPr>
            <xdr:cNvPr id="4103" name="Object 2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39</xdr:row>
          <xdr:rowOff>142875</xdr:rowOff>
        </xdr:from>
        <xdr:to>
          <xdr:col>9</xdr:col>
          <xdr:colOff>361950</xdr:colOff>
          <xdr:row>41</xdr:row>
          <xdr:rowOff>0</xdr:rowOff>
        </xdr:to>
        <xdr:sp macro="" textlink="">
          <xdr:nvSpPr>
            <xdr:cNvPr id="4104" name="Object 14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47</xdr:row>
          <xdr:rowOff>123825</xdr:rowOff>
        </xdr:from>
        <xdr:to>
          <xdr:col>6</xdr:col>
          <xdr:colOff>400050</xdr:colOff>
          <xdr:row>48</xdr:row>
          <xdr:rowOff>190500</xdr:rowOff>
        </xdr:to>
        <xdr:sp macro="" textlink="">
          <xdr:nvSpPr>
            <xdr:cNvPr id="4105" name="Object 150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49</xdr:row>
          <xdr:rowOff>19050</xdr:rowOff>
        </xdr:from>
        <xdr:to>
          <xdr:col>6</xdr:col>
          <xdr:colOff>457200</xdr:colOff>
          <xdr:row>50</xdr:row>
          <xdr:rowOff>0</xdr:rowOff>
        </xdr:to>
        <xdr:sp macro="" textlink="">
          <xdr:nvSpPr>
            <xdr:cNvPr id="4106" name="Object 151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199</xdr:row>
          <xdr:rowOff>123825</xdr:rowOff>
        </xdr:from>
        <xdr:to>
          <xdr:col>6</xdr:col>
          <xdr:colOff>400050</xdr:colOff>
          <xdr:row>200</xdr:row>
          <xdr:rowOff>190500</xdr:rowOff>
        </xdr:to>
        <xdr:sp macro="" textlink="">
          <xdr:nvSpPr>
            <xdr:cNvPr id="4107" name="Object 170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201</xdr:row>
          <xdr:rowOff>19050</xdr:rowOff>
        </xdr:from>
        <xdr:to>
          <xdr:col>6</xdr:col>
          <xdr:colOff>457200</xdr:colOff>
          <xdr:row>202</xdr:row>
          <xdr:rowOff>0</xdr:rowOff>
        </xdr:to>
        <xdr:sp macro="" textlink="">
          <xdr:nvSpPr>
            <xdr:cNvPr id="4108" name="Object 171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142874</xdr:colOff>
      <xdr:row>5</xdr:row>
      <xdr:rowOff>133351</xdr:rowOff>
    </xdr:from>
    <xdr:to>
      <xdr:col>16</xdr:col>
      <xdr:colOff>628650</xdr:colOff>
      <xdr:row>13</xdr:row>
      <xdr:rowOff>95416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4" y="1409701"/>
          <a:ext cx="7172326" cy="1943265"/>
        </a:xfrm>
        <a:prstGeom prst="rect">
          <a:avLst/>
        </a:prstGeom>
      </xdr:spPr>
    </xdr:pic>
    <xdr:clientData/>
  </xdr:twoCellAnchor>
  <xdr:twoCellAnchor editAs="oneCell">
    <xdr:from>
      <xdr:col>10</xdr:col>
      <xdr:colOff>38103</xdr:colOff>
      <xdr:row>101</xdr:row>
      <xdr:rowOff>38102</xdr:rowOff>
    </xdr:from>
    <xdr:to>
      <xdr:col>10</xdr:col>
      <xdr:colOff>1534543</xdr:colOff>
      <xdr:row>107</xdr:row>
      <xdr:rowOff>142876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039"/>
        <a:stretch/>
      </xdr:blipFill>
      <xdr:spPr>
        <a:xfrm>
          <a:off x="38103" y="44472227"/>
          <a:ext cx="1496440" cy="1533524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</xdr:colOff>
      <xdr:row>157</xdr:row>
      <xdr:rowOff>200025</xdr:rowOff>
    </xdr:from>
    <xdr:to>
      <xdr:col>11</xdr:col>
      <xdr:colOff>1447800</xdr:colOff>
      <xdr:row>169</xdr:row>
      <xdr:rowOff>90359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12" r="14175"/>
        <a:stretch/>
      </xdr:blipFill>
      <xdr:spPr>
        <a:xfrm>
          <a:off x="104775" y="61950600"/>
          <a:ext cx="3171825" cy="2747834"/>
        </a:xfrm>
        <a:prstGeom prst="rect">
          <a:avLst/>
        </a:prstGeom>
      </xdr:spPr>
    </xdr:pic>
    <xdr:clientData/>
  </xdr:twoCellAnchor>
  <xdr:twoCellAnchor editAs="oneCell">
    <xdr:from>
      <xdr:col>11</xdr:col>
      <xdr:colOff>1343026</xdr:colOff>
      <xdr:row>157</xdr:row>
      <xdr:rowOff>209550</xdr:rowOff>
    </xdr:from>
    <xdr:to>
      <xdr:col>16</xdr:col>
      <xdr:colOff>238126</xdr:colOff>
      <xdr:row>168</xdr:row>
      <xdr:rowOff>144952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6" y="61960125"/>
          <a:ext cx="3752850" cy="2554777"/>
        </a:xfrm>
        <a:prstGeom prst="rect">
          <a:avLst/>
        </a:prstGeom>
      </xdr:spPr>
    </xdr:pic>
    <xdr:clientData/>
  </xdr:twoCellAnchor>
  <xdr:twoCellAnchor editAs="oneCell">
    <xdr:from>
      <xdr:col>10</xdr:col>
      <xdr:colOff>85725</xdr:colOff>
      <xdr:row>199</xdr:row>
      <xdr:rowOff>85725</xdr:rowOff>
    </xdr:from>
    <xdr:to>
      <xdr:col>16</xdr:col>
      <xdr:colOff>255629</xdr:colOff>
      <xdr:row>209</xdr:row>
      <xdr:rowOff>161925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9"/>
        <a:stretch/>
      </xdr:blipFill>
      <xdr:spPr>
        <a:xfrm>
          <a:off x="85725" y="70170675"/>
          <a:ext cx="6856454" cy="24574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228</xdr:row>
      <xdr:rowOff>0</xdr:rowOff>
    </xdr:from>
    <xdr:to>
      <xdr:col>17</xdr:col>
      <xdr:colOff>608098</xdr:colOff>
      <xdr:row>234</xdr:row>
      <xdr:rowOff>9525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258025"/>
          <a:ext cx="8056648" cy="1152525"/>
        </a:xfrm>
        <a:prstGeom prst="rect">
          <a:avLst/>
        </a:prstGeom>
      </xdr:spPr>
    </xdr:pic>
    <xdr:clientData/>
  </xdr:twoCellAnchor>
  <xdr:twoCellAnchor editAs="oneCell">
    <xdr:from>
      <xdr:col>10</xdr:col>
      <xdr:colOff>28575</xdr:colOff>
      <xdr:row>123</xdr:row>
      <xdr:rowOff>19051</xdr:rowOff>
    </xdr:from>
    <xdr:to>
      <xdr:col>11</xdr:col>
      <xdr:colOff>1612736</xdr:colOff>
      <xdr:row>132</xdr:row>
      <xdr:rowOff>9526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15"/>
        <a:stretch/>
      </xdr:blipFill>
      <xdr:spPr>
        <a:xfrm>
          <a:off x="28575" y="51977926"/>
          <a:ext cx="3412961" cy="2133600"/>
        </a:xfrm>
        <a:prstGeom prst="rect">
          <a:avLst/>
        </a:prstGeom>
      </xdr:spPr>
    </xdr:pic>
    <xdr:clientData/>
  </xdr:twoCellAnchor>
  <xdr:twoCellAnchor editAs="oneCell">
    <xdr:from>
      <xdr:col>10</xdr:col>
      <xdr:colOff>133350</xdr:colOff>
      <xdr:row>148</xdr:row>
      <xdr:rowOff>85725</xdr:rowOff>
    </xdr:from>
    <xdr:to>
      <xdr:col>13</xdr:col>
      <xdr:colOff>875502</xdr:colOff>
      <xdr:row>157</xdr:row>
      <xdr:rowOff>219075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61350525"/>
          <a:ext cx="4990302" cy="227647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30</xdr:row>
      <xdr:rowOff>95251</xdr:rowOff>
    </xdr:from>
    <xdr:to>
      <xdr:col>18</xdr:col>
      <xdr:colOff>666751</xdr:colOff>
      <xdr:row>35</xdr:row>
      <xdr:rowOff>34165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r="2338" b="25758"/>
        <a:stretch/>
      </xdr:blipFill>
      <xdr:spPr>
        <a:xfrm>
          <a:off x="1" y="11668126"/>
          <a:ext cx="8877300" cy="891414"/>
        </a:xfrm>
        <a:prstGeom prst="rect">
          <a:avLst/>
        </a:prstGeom>
      </xdr:spPr>
    </xdr:pic>
    <xdr:clientData/>
  </xdr:twoCellAnchor>
  <xdr:twoCellAnchor editAs="oneCell">
    <xdr:from>
      <xdr:col>10</xdr:col>
      <xdr:colOff>9526</xdr:colOff>
      <xdr:row>116</xdr:row>
      <xdr:rowOff>47626</xdr:rowOff>
    </xdr:from>
    <xdr:to>
      <xdr:col>11</xdr:col>
      <xdr:colOff>1609726</xdr:colOff>
      <xdr:row>120</xdr:row>
      <xdr:rowOff>185036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r="8029" b="20432"/>
        <a:stretch/>
      </xdr:blipFill>
      <xdr:spPr>
        <a:xfrm>
          <a:off x="9526" y="50577751"/>
          <a:ext cx="3429000" cy="89941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183</xdr:row>
      <xdr:rowOff>9526</xdr:rowOff>
    </xdr:from>
    <xdr:to>
      <xdr:col>17</xdr:col>
      <xdr:colOff>647700</xdr:colOff>
      <xdr:row>187</xdr:row>
      <xdr:rowOff>166928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r="750" b="17667"/>
        <a:stretch/>
      </xdr:blipFill>
      <xdr:spPr>
        <a:xfrm>
          <a:off x="19050" y="74133076"/>
          <a:ext cx="8077200" cy="919402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141</xdr:row>
      <xdr:rowOff>104774</xdr:rowOff>
    </xdr:from>
    <xdr:to>
      <xdr:col>11</xdr:col>
      <xdr:colOff>1085850</xdr:colOff>
      <xdr:row>145</xdr:row>
      <xdr:rowOff>175543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12029" t="6764" r="4798" b="24628"/>
        <a:stretch/>
      </xdr:blipFill>
      <xdr:spPr>
        <a:xfrm>
          <a:off x="76200" y="58283474"/>
          <a:ext cx="2838450" cy="83276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6</xdr:row>
      <xdr:rowOff>85727</xdr:rowOff>
    </xdr:from>
    <xdr:to>
      <xdr:col>6</xdr:col>
      <xdr:colOff>369350</xdr:colOff>
      <xdr:row>14</xdr:row>
      <xdr:rowOff>9525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419227"/>
          <a:ext cx="8094124" cy="1981198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72</xdr:row>
      <xdr:rowOff>219075</xdr:rowOff>
    </xdr:from>
    <xdr:to>
      <xdr:col>5</xdr:col>
      <xdr:colOff>619125</xdr:colOff>
      <xdr:row>83</xdr:row>
      <xdr:rowOff>167546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54" b="-1"/>
        <a:stretch/>
      </xdr:blipFill>
      <xdr:spPr>
        <a:xfrm>
          <a:off x="266700" y="29317950"/>
          <a:ext cx="7743825" cy="256784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100</xdr:row>
      <xdr:rowOff>85724</xdr:rowOff>
    </xdr:from>
    <xdr:to>
      <xdr:col>2</xdr:col>
      <xdr:colOff>533400</xdr:colOff>
      <xdr:row>106</xdr:row>
      <xdr:rowOff>97809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03" b="1"/>
        <a:stretch/>
      </xdr:blipFill>
      <xdr:spPr>
        <a:xfrm>
          <a:off x="38101" y="86687024"/>
          <a:ext cx="3981449" cy="11550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57151</xdr:rowOff>
    </xdr:from>
    <xdr:to>
      <xdr:col>7</xdr:col>
      <xdr:colOff>484714</xdr:colOff>
      <xdr:row>36</xdr:row>
      <xdr:rowOff>171451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1877676"/>
          <a:ext cx="8971489" cy="1066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</xdr:row>
      <xdr:rowOff>228601</xdr:rowOff>
    </xdr:from>
    <xdr:to>
      <xdr:col>1</xdr:col>
      <xdr:colOff>9526</xdr:colOff>
      <xdr:row>13</xdr:row>
      <xdr:rowOff>134283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31" t="406" r="4201" b="8537"/>
        <a:stretch/>
      </xdr:blipFill>
      <xdr:spPr>
        <a:xfrm>
          <a:off x="57150" y="1266826"/>
          <a:ext cx="1781176" cy="1839257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22</xdr:row>
      <xdr:rowOff>76201</xdr:rowOff>
    </xdr:from>
    <xdr:to>
      <xdr:col>2</xdr:col>
      <xdr:colOff>714375</xdr:colOff>
      <xdr:row>28</xdr:row>
      <xdr:rowOff>38100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5762" b="28805"/>
        <a:stretch/>
      </xdr:blipFill>
      <xdr:spPr>
        <a:xfrm>
          <a:off x="38100" y="7734301"/>
          <a:ext cx="4162425" cy="11048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76200</xdr:colOff>
      <xdr:row>36</xdr:row>
      <xdr:rowOff>57150</xdr:rowOff>
    </xdr:from>
    <xdr:to>
      <xdr:col>9</xdr:col>
      <xdr:colOff>866775</xdr:colOff>
      <xdr:row>46</xdr:row>
      <xdr:rowOff>142875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887" b="2996"/>
        <a:stretch/>
      </xdr:blipFill>
      <xdr:spPr>
        <a:xfrm>
          <a:off x="8067675" y="11077575"/>
          <a:ext cx="3248025" cy="2466975"/>
        </a:xfrm>
        <a:prstGeom prst="rect">
          <a:avLst/>
        </a:prstGeom>
      </xdr:spPr>
    </xdr:pic>
    <xdr:clientData/>
  </xdr:twoCellAnchor>
  <xdr:twoCellAnchor editAs="oneCell">
    <xdr:from>
      <xdr:col>0</xdr:col>
      <xdr:colOff>76199</xdr:colOff>
      <xdr:row>6</xdr:row>
      <xdr:rowOff>142876</xdr:rowOff>
    </xdr:from>
    <xdr:to>
      <xdr:col>2</xdr:col>
      <xdr:colOff>695537</xdr:colOff>
      <xdr:row>16</xdr:row>
      <xdr:rowOff>95250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1419226"/>
          <a:ext cx="4105488" cy="2314574"/>
        </a:xfrm>
        <a:prstGeom prst="rect">
          <a:avLst/>
        </a:prstGeom>
      </xdr:spPr>
    </xdr:pic>
    <xdr:clientData/>
  </xdr:twoCellAnchor>
  <xdr:twoCellAnchor editAs="oneCell">
    <xdr:from>
      <xdr:col>0</xdr:col>
      <xdr:colOff>85723</xdr:colOff>
      <xdr:row>26</xdr:row>
      <xdr:rowOff>66675</xdr:rowOff>
    </xdr:from>
    <xdr:to>
      <xdr:col>1</xdr:col>
      <xdr:colOff>1133475</xdr:colOff>
      <xdr:row>30</xdr:row>
      <xdr:rowOff>116868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9724" t="9514" r="4213" b="22882"/>
        <a:stretch/>
      </xdr:blipFill>
      <xdr:spPr>
        <a:xfrm>
          <a:off x="85723" y="8220075"/>
          <a:ext cx="2876552" cy="81219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59</xdr:row>
      <xdr:rowOff>38101</xdr:rowOff>
    </xdr:from>
    <xdr:to>
      <xdr:col>1</xdr:col>
      <xdr:colOff>1181100</xdr:colOff>
      <xdr:row>63</xdr:row>
      <xdr:rowOff>102669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r="4936" b="43935"/>
        <a:stretch/>
      </xdr:blipFill>
      <xdr:spPr>
        <a:xfrm>
          <a:off x="1" y="22574251"/>
          <a:ext cx="3009899" cy="826568"/>
        </a:xfrm>
        <a:prstGeom prst="rect">
          <a:avLst/>
        </a:prstGeom>
      </xdr:spPr>
    </xdr:pic>
    <xdr:clientData/>
  </xdr:twoCellAnchor>
  <xdr:twoCellAnchor editAs="oneCell">
    <xdr:from>
      <xdr:col>3</xdr:col>
      <xdr:colOff>923926</xdr:colOff>
      <xdr:row>35</xdr:row>
      <xdr:rowOff>180976</xdr:rowOff>
    </xdr:from>
    <xdr:to>
      <xdr:col>6</xdr:col>
      <xdr:colOff>68526</xdr:colOff>
      <xdr:row>45</xdr:row>
      <xdr:rowOff>152400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316" t="4412" r="13800" b="6312"/>
        <a:stretch/>
      </xdr:blipFill>
      <xdr:spPr>
        <a:xfrm>
          <a:off x="5486401" y="10963276"/>
          <a:ext cx="2573600" cy="2352674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36</xdr:row>
      <xdr:rowOff>9525</xdr:rowOff>
    </xdr:from>
    <xdr:to>
      <xdr:col>3</xdr:col>
      <xdr:colOff>728729</xdr:colOff>
      <xdr:row>46</xdr:row>
      <xdr:rowOff>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3255" t="3198" b="-1"/>
        <a:stretch/>
      </xdr:blipFill>
      <xdr:spPr>
        <a:xfrm>
          <a:off x="209550" y="11029950"/>
          <a:ext cx="5081654" cy="237172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6</xdr:row>
      <xdr:rowOff>76200</xdr:rowOff>
    </xdr:from>
    <xdr:to>
      <xdr:col>8</xdr:col>
      <xdr:colOff>29750</xdr:colOff>
      <xdr:row>15</xdr:row>
      <xdr:rowOff>66675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28"/>
        <a:stretch/>
      </xdr:blipFill>
      <xdr:spPr>
        <a:xfrm>
          <a:off x="114299" y="1809750"/>
          <a:ext cx="8678451" cy="22383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95249</xdr:rowOff>
    </xdr:from>
    <xdr:to>
      <xdr:col>8</xdr:col>
      <xdr:colOff>523662</xdr:colOff>
      <xdr:row>38</xdr:row>
      <xdr:rowOff>142874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2338" b="25758"/>
        <a:stretch/>
      </xdr:blipFill>
      <xdr:spPr>
        <a:xfrm>
          <a:off x="0" y="12801599"/>
          <a:ext cx="9286662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123824</xdr:colOff>
      <xdr:row>73</xdr:row>
      <xdr:rowOff>116496</xdr:rowOff>
    </xdr:from>
    <xdr:to>
      <xdr:col>6</xdr:col>
      <xdr:colOff>150152</xdr:colOff>
      <xdr:row>85</xdr:row>
      <xdr:rowOff>95250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412"/>
        <a:stretch/>
      </xdr:blipFill>
      <xdr:spPr>
        <a:xfrm>
          <a:off x="123824" y="25052946"/>
          <a:ext cx="7198653" cy="28362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8</xdr:col>
      <xdr:colOff>314324</xdr:colOff>
      <xdr:row>112</xdr:row>
      <xdr:rowOff>58277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937950"/>
          <a:ext cx="9077324" cy="139177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238126</xdr:colOff>
      <xdr:row>5</xdr:row>
      <xdr:rowOff>114300</xdr:rowOff>
    </xdr:from>
    <xdr:to>
      <xdr:col>1</xdr:col>
      <xdr:colOff>189168</xdr:colOff>
      <xdr:row>14</xdr:row>
      <xdr:rowOff>123825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38" t="-384" r="64640" b="9718"/>
        <a:stretch/>
      </xdr:blipFill>
      <xdr:spPr>
        <a:xfrm>
          <a:off x="238126" y="1609725"/>
          <a:ext cx="1913192" cy="218122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25</xdr:row>
      <xdr:rowOff>0</xdr:rowOff>
    </xdr:from>
    <xdr:to>
      <xdr:col>2</xdr:col>
      <xdr:colOff>342901</xdr:colOff>
      <xdr:row>31</xdr:row>
      <xdr:rowOff>124359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6" y="8124825"/>
          <a:ext cx="4019550" cy="1267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oleObject" Target="../embeddings/oleObject5.bin"/><Relationship Id="rId18" Type="http://schemas.openxmlformats.org/officeDocument/2006/relationships/image" Target="../media/image6.emf"/><Relationship Id="rId26" Type="http://schemas.openxmlformats.org/officeDocument/2006/relationships/oleObject" Target="../embeddings/oleObject14.bin"/><Relationship Id="rId39" Type="http://schemas.openxmlformats.org/officeDocument/2006/relationships/oleObject" Target="../embeddings/oleObject25.bin"/><Relationship Id="rId21" Type="http://schemas.openxmlformats.org/officeDocument/2006/relationships/oleObject" Target="../embeddings/oleObject10.bin"/><Relationship Id="rId34" Type="http://schemas.openxmlformats.org/officeDocument/2006/relationships/oleObject" Target="../embeddings/oleObject20.bin"/><Relationship Id="rId42" Type="http://schemas.openxmlformats.org/officeDocument/2006/relationships/oleObject" Target="../embeddings/oleObject28.bin"/><Relationship Id="rId47" Type="http://schemas.openxmlformats.org/officeDocument/2006/relationships/oleObject" Target="../embeddings/oleObject33.bin"/><Relationship Id="rId50" Type="http://schemas.openxmlformats.org/officeDocument/2006/relationships/oleObject" Target="../embeddings/oleObject36.bin"/><Relationship Id="rId55" Type="http://schemas.openxmlformats.org/officeDocument/2006/relationships/oleObject" Target="../embeddings/oleObject41.bin"/><Relationship Id="rId63" Type="http://schemas.openxmlformats.org/officeDocument/2006/relationships/oleObject" Target="../embeddings/oleObject49.bin"/><Relationship Id="rId68" Type="http://schemas.openxmlformats.org/officeDocument/2006/relationships/oleObject" Target="../embeddings/oleObject54.bin"/><Relationship Id="rId7" Type="http://schemas.openxmlformats.org/officeDocument/2006/relationships/oleObject" Target="../embeddings/oleObject2.bin"/><Relationship Id="rId71" Type="http://schemas.openxmlformats.org/officeDocument/2006/relationships/oleObject" Target="../embeddings/oleObject57.bin"/><Relationship Id="rId2" Type="http://schemas.openxmlformats.org/officeDocument/2006/relationships/printerSettings" Target="../printerSettings/printerSettings2.bin"/><Relationship Id="rId16" Type="http://schemas.openxmlformats.org/officeDocument/2006/relationships/oleObject" Target="../embeddings/oleObject7.bin"/><Relationship Id="rId29" Type="http://schemas.openxmlformats.org/officeDocument/2006/relationships/oleObject" Target="../embeddings/oleObject17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11" Type="http://schemas.openxmlformats.org/officeDocument/2006/relationships/oleObject" Target="../embeddings/oleObject4.bin"/><Relationship Id="rId24" Type="http://schemas.openxmlformats.org/officeDocument/2006/relationships/oleObject" Target="../embeddings/oleObject12.bin"/><Relationship Id="rId32" Type="http://schemas.openxmlformats.org/officeDocument/2006/relationships/oleObject" Target="../embeddings/oleObject19.bin"/><Relationship Id="rId37" Type="http://schemas.openxmlformats.org/officeDocument/2006/relationships/oleObject" Target="../embeddings/oleObject23.bin"/><Relationship Id="rId40" Type="http://schemas.openxmlformats.org/officeDocument/2006/relationships/oleObject" Target="../embeddings/oleObject26.bin"/><Relationship Id="rId45" Type="http://schemas.openxmlformats.org/officeDocument/2006/relationships/oleObject" Target="../embeddings/oleObject31.bin"/><Relationship Id="rId53" Type="http://schemas.openxmlformats.org/officeDocument/2006/relationships/oleObject" Target="../embeddings/oleObject39.bin"/><Relationship Id="rId58" Type="http://schemas.openxmlformats.org/officeDocument/2006/relationships/oleObject" Target="../embeddings/oleObject44.bin"/><Relationship Id="rId66" Type="http://schemas.openxmlformats.org/officeDocument/2006/relationships/oleObject" Target="../embeddings/oleObject52.bin"/><Relationship Id="rId5" Type="http://schemas.openxmlformats.org/officeDocument/2006/relationships/oleObject" Target="../embeddings/oleObject1.bin"/><Relationship Id="rId15" Type="http://schemas.openxmlformats.org/officeDocument/2006/relationships/image" Target="../media/image5.emf"/><Relationship Id="rId23" Type="http://schemas.openxmlformats.org/officeDocument/2006/relationships/oleObject" Target="../embeddings/oleObject11.bin"/><Relationship Id="rId28" Type="http://schemas.openxmlformats.org/officeDocument/2006/relationships/oleObject" Target="../embeddings/oleObject16.bin"/><Relationship Id="rId36" Type="http://schemas.openxmlformats.org/officeDocument/2006/relationships/oleObject" Target="../embeddings/oleObject22.bin"/><Relationship Id="rId49" Type="http://schemas.openxmlformats.org/officeDocument/2006/relationships/oleObject" Target="../embeddings/oleObject35.bin"/><Relationship Id="rId57" Type="http://schemas.openxmlformats.org/officeDocument/2006/relationships/oleObject" Target="../embeddings/oleObject43.bin"/><Relationship Id="rId61" Type="http://schemas.openxmlformats.org/officeDocument/2006/relationships/oleObject" Target="../embeddings/oleObject47.bin"/><Relationship Id="rId10" Type="http://schemas.openxmlformats.org/officeDocument/2006/relationships/image" Target="../media/image3.emf"/><Relationship Id="rId19" Type="http://schemas.openxmlformats.org/officeDocument/2006/relationships/oleObject" Target="../embeddings/oleObject9.bin"/><Relationship Id="rId31" Type="http://schemas.openxmlformats.org/officeDocument/2006/relationships/image" Target="../media/image9.emf"/><Relationship Id="rId44" Type="http://schemas.openxmlformats.org/officeDocument/2006/relationships/oleObject" Target="../embeddings/oleObject30.bin"/><Relationship Id="rId52" Type="http://schemas.openxmlformats.org/officeDocument/2006/relationships/oleObject" Target="../embeddings/oleObject38.bin"/><Relationship Id="rId60" Type="http://schemas.openxmlformats.org/officeDocument/2006/relationships/oleObject" Target="../embeddings/oleObject46.bin"/><Relationship Id="rId65" Type="http://schemas.openxmlformats.org/officeDocument/2006/relationships/oleObject" Target="../embeddings/oleObject51.bin"/><Relationship Id="rId4" Type="http://schemas.openxmlformats.org/officeDocument/2006/relationships/vmlDrawing" Target="../drawings/vmlDrawing1.vml"/><Relationship Id="rId9" Type="http://schemas.openxmlformats.org/officeDocument/2006/relationships/oleObject" Target="../embeddings/oleObject3.bin"/><Relationship Id="rId14" Type="http://schemas.openxmlformats.org/officeDocument/2006/relationships/oleObject" Target="../embeddings/oleObject6.bin"/><Relationship Id="rId22" Type="http://schemas.openxmlformats.org/officeDocument/2006/relationships/image" Target="../media/image8.emf"/><Relationship Id="rId27" Type="http://schemas.openxmlformats.org/officeDocument/2006/relationships/oleObject" Target="../embeddings/oleObject15.bin"/><Relationship Id="rId30" Type="http://schemas.openxmlformats.org/officeDocument/2006/relationships/oleObject" Target="../embeddings/oleObject18.bin"/><Relationship Id="rId35" Type="http://schemas.openxmlformats.org/officeDocument/2006/relationships/oleObject" Target="../embeddings/oleObject21.bin"/><Relationship Id="rId43" Type="http://schemas.openxmlformats.org/officeDocument/2006/relationships/oleObject" Target="../embeddings/oleObject29.bin"/><Relationship Id="rId48" Type="http://schemas.openxmlformats.org/officeDocument/2006/relationships/oleObject" Target="../embeddings/oleObject34.bin"/><Relationship Id="rId56" Type="http://schemas.openxmlformats.org/officeDocument/2006/relationships/oleObject" Target="../embeddings/oleObject42.bin"/><Relationship Id="rId64" Type="http://schemas.openxmlformats.org/officeDocument/2006/relationships/oleObject" Target="../embeddings/oleObject50.bin"/><Relationship Id="rId69" Type="http://schemas.openxmlformats.org/officeDocument/2006/relationships/oleObject" Target="../embeddings/oleObject55.bin"/><Relationship Id="rId8" Type="http://schemas.openxmlformats.org/officeDocument/2006/relationships/image" Target="../media/image2.emf"/><Relationship Id="rId51" Type="http://schemas.openxmlformats.org/officeDocument/2006/relationships/oleObject" Target="../embeddings/oleObject37.bin"/><Relationship Id="rId72" Type="http://schemas.openxmlformats.org/officeDocument/2006/relationships/comments" Target="../comments1.xml"/><Relationship Id="rId3" Type="http://schemas.openxmlformats.org/officeDocument/2006/relationships/drawing" Target="../drawings/drawing1.xml"/><Relationship Id="rId12" Type="http://schemas.openxmlformats.org/officeDocument/2006/relationships/image" Target="../media/image4.emf"/><Relationship Id="rId17" Type="http://schemas.openxmlformats.org/officeDocument/2006/relationships/oleObject" Target="../embeddings/oleObject8.bin"/><Relationship Id="rId25" Type="http://schemas.openxmlformats.org/officeDocument/2006/relationships/oleObject" Target="../embeddings/oleObject13.bin"/><Relationship Id="rId33" Type="http://schemas.openxmlformats.org/officeDocument/2006/relationships/image" Target="../media/image10.emf"/><Relationship Id="rId38" Type="http://schemas.openxmlformats.org/officeDocument/2006/relationships/oleObject" Target="../embeddings/oleObject24.bin"/><Relationship Id="rId46" Type="http://schemas.openxmlformats.org/officeDocument/2006/relationships/oleObject" Target="../embeddings/oleObject32.bin"/><Relationship Id="rId59" Type="http://schemas.openxmlformats.org/officeDocument/2006/relationships/oleObject" Target="../embeddings/oleObject45.bin"/><Relationship Id="rId67" Type="http://schemas.openxmlformats.org/officeDocument/2006/relationships/oleObject" Target="../embeddings/oleObject53.bin"/><Relationship Id="rId20" Type="http://schemas.openxmlformats.org/officeDocument/2006/relationships/image" Target="../media/image7.emf"/><Relationship Id="rId41" Type="http://schemas.openxmlformats.org/officeDocument/2006/relationships/oleObject" Target="../embeddings/oleObject27.bin"/><Relationship Id="rId54" Type="http://schemas.openxmlformats.org/officeDocument/2006/relationships/oleObject" Target="../embeddings/oleObject40.bin"/><Relationship Id="rId62" Type="http://schemas.openxmlformats.org/officeDocument/2006/relationships/oleObject" Target="../embeddings/oleObject48.bin"/><Relationship Id="rId70" Type="http://schemas.openxmlformats.org/officeDocument/2006/relationships/oleObject" Target="../embeddings/oleObject56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0.bin"/><Relationship Id="rId3" Type="http://schemas.openxmlformats.org/officeDocument/2006/relationships/vmlDrawing" Target="../drawings/vmlDrawing2.vml"/><Relationship Id="rId7" Type="http://schemas.openxmlformats.org/officeDocument/2006/relationships/image" Target="../media/image6.emf"/><Relationship Id="rId12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59.bin"/><Relationship Id="rId11" Type="http://schemas.openxmlformats.org/officeDocument/2006/relationships/oleObject" Target="../embeddings/oleObject62.bin"/><Relationship Id="rId5" Type="http://schemas.openxmlformats.org/officeDocument/2006/relationships/image" Target="../media/image2.emf"/><Relationship Id="rId10" Type="http://schemas.openxmlformats.org/officeDocument/2006/relationships/oleObject" Target="../embeddings/oleObject61.bin"/><Relationship Id="rId4" Type="http://schemas.openxmlformats.org/officeDocument/2006/relationships/oleObject" Target="../embeddings/oleObject58.bin"/><Relationship Id="rId9" Type="http://schemas.openxmlformats.org/officeDocument/2006/relationships/image" Target="../media/image1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13" Type="http://schemas.openxmlformats.org/officeDocument/2006/relationships/oleObject" Target="../embeddings/oleObject67.bin"/><Relationship Id="rId18" Type="http://schemas.openxmlformats.org/officeDocument/2006/relationships/oleObject" Target="../embeddings/oleObject71.bin"/><Relationship Id="rId3" Type="http://schemas.openxmlformats.org/officeDocument/2006/relationships/drawing" Target="../drawings/drawing3.xml"/><Relationship Id="rId21" Type="http://schemas.openxmlformats.org/officeDocument/2006/relationships/oleObject" Target="../embeddings/oleObject74.bin"/><Relationship Id="rId7" Type="http://schemas.openxmlformats.org/officeDocument/2006/relationships/oleObject" Target="../embeddings/oleObject64.bin"/><Relationship Id="rId12" Type="http://schemas.openxmlformats.org/officeDocument/2006/relationships/image" Target="../media/image5.emf"/><Relationship Id="rId17" Type="http://schemas.openxmlformats.org/officeDocument/2006/relationships/oleObject" Target="../embeddings/oleObject70.bin"/><Relationship Id="rId2" Type="http://schemas.openxmlformats.org/officeDocument/2006/relationships/printerSettings" Target="../printerSettings/printerSettings5.bin"/><Relationship Id="rId16" Type="http://schemas.openxmlformats.org/officeDocument/2006/relationships/oleObject" Target="../embeddings/oleObject69.bin"/><Relationship Id="rId20" Type="http://schemas.openxmlformats.org/officeDocument/2006/relationships/oleObject" Target="../embeddings/oleObject73.bin"/><Relationship Id="rId1" Type="http://schemas.openxmlformats.org/officeDocument/2006/relationships/printerSettings" Target="../printerSettings/printerSettings4.bin"/><Relationship Id="rId6" Type="http://schemas.openxmlformats.org/officeDocument/2006/relationships/image" Target="../media/image2.emf"/><Relationship Id="rId11" Type="http://schemas.openxmlformats.org/officeDocument/2006/relationships/oleObject" Target="../embeddings/oleObject66.bin"/><Relationship Id="rId5" Type="http://schemas.openxmlformats.org/officeDocument/2006/relationships/oleObject" Target="../embeddings/oleObject63.bin"/><Relationship Id="rId15" Type="http://schemas.openxmlformats.org/officeDocument/2006/relationships/oleObject" Target="../embeddings/oleObject68.bin"/><Relationship Id="rId10" Type="http://schemas.openxmlformats.org/officeDocument/2006/relationships/image" Target="../media/image1.emf"/><Relationship Id="rId19" Type="http://schemas.openxmlformats.org/officeDocument/2006/relationships/oleObject" Target="../embeddings/oleObject72.bin"/><Relationship Id="rId4" Type="http://schemas.openxmlformats.org/officeDocument/2006/relationships/vmlDrawing" Target="../drawings/vmlDrawing3.vml"/><Relationship Id="rId9" Type="http://schemas.openxmlformats.org/officeDocument/2006/relationships/oleObject" Target="../embeddings/oleObject65.bin"/><Relationship Id="rId14" Type="http://schemas.openxmlformats.org/officeDocument/2006/relationships/image" Target="../media/image8.emf"/><Relationship Id="rId22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048"/>
  <sheetViews>
    <sheetView zoomScaleNormal="100" workbookViewId="0">
      <selection activeCell="M11" sqref="M11"/>
    </sheetView>
  </sheetViews>
  <sheetFormatPr baseColWidth="10" defaultRowHeight="15"/>
  <cols>
    <col min="1" max="1" width="28" customWidth="1"/>
    <col min="7" max="7" width="13.28515625" customWidth="1"/>
    <col min="8" max="8" width="12.42578125" customWidth="1"/>
    <col min="14" max="14" width="13.85546875" customWidth="1"/>
    <col min="15" max="15" width="29.140625" customWidth="1"/>
    <col min="16" max="16" width="13.42578125" style="2" customWidth="1"/>
    <col min="17" max="17" width="26.7109375" style="2" bestFit="1" customWidth="1"/>
    <col min="18" max="18" width="30.5703125" style="2" bestFit="1" customWidth="1"/>
    <col min="19" max="19" width="37.42578125" style="2" bestFit="1" customWidth="1"/>
    <col min="21" max="21" width="12" customWidth="1"/>
    <col min="22" max="22" width="12.5703125" customWidth="1"/>
    <col min="23" max="23" width="23.28515625" bestFit="1" customWidth="1"/>
    <col min="24" max="24" width="25.85546875" bestFit="1" customWidth="1"/>
    <col min="25" max="25" width="37.140625" bestFit="1" customWidth="1"/>
    <col min="26" max="28" width="13" customWidth="1"/>
    <col min="31" max="31" width="12.85546875" bestFit="1" customWidth="1"/>
    <col min="36" max="37" width="17" customWidth="1"/>
    <col min="39" max="42" width="13.5703125" customWidth="1"/>
    <col min="45" max="45" width="12.85546875" bestFit="1" customWidth="1"/>
  </cols>
  <sheetData>
    <row r="1" spans="1:25" ht="26.25">
      <c r="A1" s="1" t="s">
        <v>0</v>
      </c>
    </row>
    <row r="2" spans="1:25" ht="23.25">
      <c r="A2" s="1"/>
    </row>
    <row r="3" spans="1:25" ht="18.75">
      <c r="A3" s="56" t="s">
        <v>58</v>
      </c>
    </row>
    <row r="4" spans="1:25" ht="23.25">
      <c r="A4" s="1"/>
    </row>
    <row r="5" spans="1:25" ht="18">
      <c r="A5" s="4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6" t="s">
        <v>13</v>
      </c>
      <c r="M5" s="7"/>
      <c r="O5" s="4" t="s">
        <v>2</v>
      </c>
      <c r="P5" s="682" t="s">
        <v>14</v>
      </c>
      <c r="Q5" s="683"/>
      <c r="R5" s="683"/>
      <c r="S5" s="683"/>
      <c r="T5" s="684"/>
      <c r="V5" s="4" t="s">
        <v>15</v>
      </c>
      <c r="W5" s="4" t="s">
        <v>16</v>
      </c>
    </row>
    <row r="6" spans="1:25">
      <c r="A6" s="8"/>
      <c r="B6" s="9" t="s">
        <v>17</v>
      </c>
      <c r="C6" s="9" t="s">
        <v>18</v>
      </c>
      <c r="D6" s="9" t="s">
        <v>18</v>
      </c>
      <c r="E6" s="9" t="s">
        <v>19</v>
      </c>
      <c r="F6" s="9" t="s">
        <v>18</v>
      </c>
      <c r="G6" s="9" t="s">
        <v>18</v>
      </c>
      <c r="H6" s="9" t="s">
        <v>18</v>
      </c>
      <c r="I6" s="9" t="s">
        <v>17</v>
      </c>
      <c r="J6" s="9" t="s">
        <v>17</v>
      </c>
      <c r="K6" s="9" t="s">
        <v>17</v>
      </c>
      <c r="L6" s="10" t="s">
        <v>17</v>
      </c>
      <c r="M6" s="7"/>
      <c r="O6" s="8"/>
      <c r="P6" s="11">
        <v>0.6</v>
      </c>
      <c r="Q6" s="11">
        <v>0.7</v>
      </c>
      <c r="R6" s="11">
        <v>0.8</v>
      </c>
      <c r="S6" s="11">
        <v>0.9</v>
      </c>
      <c r="T6" s="11">
        <v>1</v>
      </c>
      <c r="V6" s="8" t="s">
        <v>20</v>
      </c>
      <c r="W6" s="8" t="s">
        <v>21</v>
      </c>
      <c r="Y6" t="s">
        <v>676</v>
      </c>
    </row>
    <row r="7" spans="1:25" ht="45">
      <c r="A7" s="396" t="s">
        <v>370</v>
      </c>
      <c r="B7" s="397">
        <v>6.2</v>
      </c>
      <c r="C7" s="398">
        <v>58</v>
      </c>
      <c r="D7" s="398">
        <f>C7/2</f>
        <v>29</v>
      </c>
      <c r="E7" s="398">
        <f>C7/(C7-D7)</f>
        <v>2</v>
      </c>
      <c r="F7" s="398">
        <v>54</v>
      </c>
      <c r="G7" s="398">
        <v>84</v>
      </c>
      <c r="H7" s="398">
        <v>10</v>
      </c>
      <c r="I7" s="399">
        <f>(0.52*SQRT(H7)*(F7)^0.9*$B$11^0.8)/1000</f>
        <v>6.974712508553587</v>
      </c>
      <c r="J7" s="85">
        <f>($J$10*0.52*SQRT(H7)*G7^0.9*$B$11^0.8)/1000</f>
        <v>6.2283718772573966</v>
      </c>
      <c r="K7" s="397">
        <v>30</v>
      </c>
      <c r="L7" s="401">
        <f>MIN(I7*E7,J7*E7)</f>
        <v>12.456743754514793</v>
      </c>
      <c r="M7" s="12"/>
      <c r="O7" s="396" t="s">
        <v>370</v>
      </c>
      <c r="P7" s="88">
        <f>$E7*MIN($B7/1,$I7*P$6/1.3,$J7*P$6/1.3,$K7/1.25)</f>
        <v>5.7492663482375965</v>
      </c>
      <c r="Q7" s="88">
        <f t="shared" ref="P7:T37" si="0">$E7*MIN($B7/1,$I7*Q$6/1.3,$J7*Q$6/1.3,$K7/1.25)</f>
        <v>6.7074774062771958</v>
      </c>
      <c r="R7" s="88">
        <f t="shared" si="0"/>
        <v>7.665688464316796</v>
      </c>
      <c r="S7" s="88">
        <f t="shared" si="0"/>
        <v>8.6238995223563961</v>
      </c>
      <c r="T7" s="88">
        <f t="shared" si="0"/>
        <v>9.5821105803959945</v>
      </c>
      <c r="V7" s="14" t="s">
        <v>22</v>
      </c>
      <c r="W7" s="15">
        <v>350</v>
      </c>
      <c r="X7" s="14" t="s">
        <v>655</v>
      </c>
      <c r="Y7" s="14" t="s">
        <v>677</v>
      </c>
    </row>
    <row r="8" spans="1:25" ht="45">
      <c r="A8" s="396" t="s">
        <v>369</v>
      </c>
      <c r="B8" s="397">
        <v>6.2</v>
      </c>
      <c r="C8" s="398">
        <v>90</v>
      </c>
      <c r="D8" s="398">
        <f t="shared" ref="D8:D42" si="1">C8/2</f>
        <v>45</v>
      </c>
      <c r="E8" s="398">
        <f>C8/(C8-D8)</f>
        <v>2</v>
      </c>
      <c r="F8" s="398">
        <v>54</v>
      </c>
      <c r="G8" s="398">
        <v>84</v>
      </c>
      <c r="H8" s="398">
        <v>10</v>
      </c>
      <c r="I8" s="399">
        <f>(0.52*SQRT(H8)*(F8)^0.9*$B$11^0.8)/1000</f>
        <v>6.974712508553587</v>
      </c>
      <c r="J8" s="85">
        <f t="shared" ref="J8:J9" si="2">($J$10*0.52*SQRT(H8)*G8^0.9*$B$11^0.8)/1000</f>
        <v>6.2283718772573966</v>
      </c>
      <c r="K8" s="397">
        <v>30</v>
      </c>
      <c r="L8" s="401">
        <f>MIN(I8*E8,J8*E8)</f>
        <v>12.456743754514793</v>
      </c>
      <c r="M8" s="12"/>
      <c r="O8" s="396" t="s">
        <v>369</v>
      </c>
      <c r="P8" s="88">
        <f>$E8*MIN($B8/1,$I8*P$6/1.3,$J8*P$6/1.3,$K8/1.25)</f>
        <v>5.7492663482375965</v>
      </c>
      <c r="Q8" s="88">
        <f t="shared" si="0"/>
        <v>6.7074774062771958</v>
      </c>
      <c r="R8" s="88">
        <f t="shared" si="0"/>
        <v>7.665688464316796</v>
      </c>
      <c r="S8" s="88">
        <f t="shared" si="0"/>
        <v>8.6238995223563961</v>
      </c>
      <c r="T8" s="88">
        <f t="shared" si="0"/>
        <v>9.5821105803959945</v>
      </c>
      <c r="V8" s="14" t="s">
        <v>23</v>
      </c>
      <c r="W8" s="15">
        <v>380</v>
      </c>
      <c r="X8" s="14" t="s">
        <v>655</v>
      </c>
      <c r="Y8" s="14" t="s">
        <v>677</v>
      </c>
    </row>
    <row r="9" spans="1:25" ht="45">
      <c r="A9" s="396" t="s">
        <v>371</v>
      </c>
      <c r="B9" s="397">
        <v>6.2</v>
      </c>
      <c r="C9" s="398">
        <v>122</v>
      </c>
      <c r="D9" s="398">
        <f t="shared" si="1"/>
        <v>61</v>
      </c>
      <c r="E9" s="398">
        <f>C9/(C9-D9)</f>
        <v>2</v>
      </c>
      <c r="F9" s="398">
        <v>54</v>
      </c>
      <c r="G9" s="398">
        <v>84</v>
      </c>
      <c r="H9" s="398">
        <v>10</v>
      </c>
      <c r="I9" s="399">
        <f>(0.52*SQRT(H9)*(F9)^0.9*$B$11^0.8)/1000</f>
        <v>6.974712508553587</v>
      </c>
      <c r="J9" s="85">
        <f t="shared" si="2"/>
        <v>6.2283718772573966</v>
      </c>
      <c r="K9" s="397">
        <v>30</v>
      </c>
      <c r="L9" s="401">
        <f>MIN(I9*E9,J9*E9)</f>
        <v>12.456743754514793</v>
      </c>
      <c r="M9" s="12"/>
      <c r="O9" s="396" t="s">
        <v>371</v>
      </c>
      <c r="P9" s="88">
        <f t="shared" si="0"/>
        <v>5.7492663482375965</v>
      </c>
      <c r="Q9" s="88">
        <f t="shared" si="0"/>
        <v>6.7074774062771958</v>
      </c>
      <c r="R9" s="88">
        <f t="shared" si="0"/>
        <v>7.665688464316796</v>
      </c>
      <c r="S9" s="88">
        <f t="shared" si="0"/>
        <v>8.6238995223563961</v>
      </c>
      <c r="T9" s="88">
        <f t="shared" si="0"/>
        <v>9.5821105803959945</v>
      </c>
      <c r="V9" s="14" t="s">
        <v>24</v>
      </c>
      <c r="W9" s="15">
        <v>365</v>
      </c>
      <c r="X9" s="14" t="s">
        <v>651</v>
      </c>
      <c r="Y9" s="14" t="s">
        <v>682</v>
      </c>
    </row>
    <row r="10" spans="1:25">
      <c r="A10" s="21" t="s">
        <v>37</v>
      </c>
      <c r="B10" t="str">
        <f>B66</f>
        <v>GL24h</v>
      </c>
      <c r="D10" s="545"/>
      <c r="E10" s="545"/>
      <c r="F10" s="545"/>
      <c r="G10" s="545"/>
      <c r="H10" s="545"/>
      <c r="I10" s="546" t="s">
        <v>308</v>
      </c>
      <c r="J10" s="681">
        <v>0.6</v>
      </c>
      <c r="K10" s="544"/>
      <c r="L10" s="548"/>
      <c r="M10" s="115"/>
      <c r="N10" s="3"/>
      <c r="O10" s="418"/>
      <c r="P10" s="116"/>
      <c r="Q10" s="116"/>
      <c r="R10" s="116"/>
      <c r="S10" s="116"/>
      <c r="T10" s="116"/>
      <c r="V10" s="14" t="s">
        <v>25</v>
      </c>
      <c r="W10" s="15">
        <v>385</v>
      </c>
      <c r="X10" s="14" t="s">
        <v>652</v>
      </c>
      <c r="Y10" s="14" t="s">
        <v>683</v>
      </c>
    </row>
    <row r="11" spans="1:25" ht="18">
      <c r="A11" s="23" t="s">
        <v>39</v>
      </c>
      <c r="B11" s="24">
        <f>VLOOKUP(B10,$V$7:$W$16,2,FALSE)</f>
        <v>385</v>
      </c>
      <c r="C11" t="s">
        <v>40</v>
      </c>
      <c r="D11" s="545"/>
      <c r="E11" s="545"/>
      <c r="F11" s="545"/>
      <c r="G11" s="545"/>
      <c r="H11" s="545"/>
      <c r="I11" s="546"/>
      <c r="J11" s="547"/>
      <c r="K11" s="544"/>
      <c r="L11" s="548"/>
      <c r="M11" s="115"/>
      <c r="N11" s="3"/>
      <c r="O11" s="418"/>
      <c r="P11" s="116"/>
      <c r="Q11" s="116"/>
      <c r="R11" s="116"/>
      <c r="S11" s="116"/>
      <c r="T11" s="116"/>
      <c r="V11" s="14" t="s">
        <v>653</v>
      </c>
      <c r="W11" s="15">
        <v>390</v>
      </c>
      <c r="X11" s="14" t="s">
        <v>651</v>
      </c>
      <c r="Y11" s="14" t="s">
        <v>682</v>
      </c>
    </row>
    <row r="12" spans="1:25">
      <c r="A12" s="23"/>
      <c r="B12" s="24"/>
      <c r="D12" s="545"/>
      <c r="E12" s="545"/>
      <c r="F12" s="545"/>
      <c r="G12" s="545"/>
      <c r="H12" s="545"/>
      <c r="I12" s="546"/>
      <c r="J12" s="547"/>
      <c r="K12" s="544"/>
      <c r="L12" s="548"/>
      <c r="M12" s="115"/>
      <c r="N12" s="3"/>
      <c r="O12" s="418"/>
      <c r="P12" s="116"/>
      <c r="Q12" s="116"/>
      <c r="R12" s="116"/>
      <c r="S12" s="116"/>
      <c r="T12" s="116"/>
      <c r="V12" s="14" t="s">
        <v>26</v>
      </c>
      <c r="W12" s="15">
        <v>425</v>
      </c>
      <c r="X12" s="14" t="s">
        <v>652</v>
      </c>
      <c r="Y12" s="14" t="s">
        <v>683</v>
      </c>
    </row>
    <row r="13" spans="1:25" ht="18.75">
      <c r="A13" s="56" t="s">
        <v>79</v>
      </c>
      <c r="B13" s="544"/>
      <c r="C13" s="545"/>
      <c r="D13" s="545"/>
      <c r="E13" s="545"/>
      <c r="F13" s="545"/>
      <c r="G13" s="545"/>
      <c r="H13" s="545"/>
      <c r="I13" s="546"/>
      <c r="J13" s="547"/>
      <c r="K13" s="544"/>
      <c r="L13" s="548"/>
      <c r="M13" s="115"/>
      <c r="N13" s="3"/>
      <c r="O13" s="418"/>
      <c r="P13" s="116"/>
      <c r="Q13" s="116"/>
      <c r="R13" s="116"/>
      <c r="S13" s="116"/>
      <c r="T13" s="116"/>
      <c r="V13" s="14" t="s">
        <v>654</v>
      </c>
      <c r="W13" s="15">
        <v>390</v>
      </c>
      <c r="X13" s="14" t="s">
        <v>651</v>
      </c>
      <c r="Y13" s="14" t="s">
        <v>682</v>
      </c>
    </row>
    <row r="14" spans="1:25">
      <c r="A14" s="418"/>
      <c r="B14" s="544"/>
      <c r="C14" s="545"/>
      <c r="D14" s="545"/>
      <c r="E14" s="545"/>
      <c r="F14" s="545"/>
      <c r="G14" s="545"/>
      <c r="H14" s="545"/>
      <c r="I14" s="546"/>
      <c r="J14" s="547"/>
      <c r="K14" s="544"/>
      <c r="L14" s="548"/>
      <c r="M14" s="115"/>
      <c r="N14" s="3"/>
      <c r="O14" s="418"/>
      <c r="P14" s="116"/>
      <c r="Q14" s="116"/>
      <c r="R14" s="116"/>
      <c r="S14" s="116"/>
      <c r="T14" s="116"/>
      <c r="V14" s="14" t="s">
        <v>298</v>
      </c>
      <c r="W14" s="15">
        <v>430</v>
      </c>
      <c r="X14" s="14" t="s">
        <v>652</v>
      </c>
      <c r="Y14" s="14" t="s">
        <v>683</v>
      </c>
    </row>
    <row r="15" spans="1:25" ht="18">
      <c r="A15" s="4" t="s">
        <v>2</v>
      </c>
      <c r="B15" s="5" t="s">
        <v>3</v>
      </c>
      <c r="C15" s="5" t="s">
        <v>4</v>
      </c>
      <c r="D15" s="5" t="s">
        <v>5</v>
      </c>
      <c r="E15" s="5" t="s">
        <v>6</v>
      </c>
      <c r="F15" s="5" t="s">
        <v>7</v>
      </c>
      <c r="G15" s="5" t="s">
        <v>8</v>
      </c>
      <c r="H15" s="5" t="s">
        <v>9</v>
      </c>
      <c r="I15" s="5" t="s">
        <v>10</v>
      </c>
      <c r="J15" s="5" t="s">
        <v>11</v>
      </c>
      <c r="K15" s="5" t="s">
        <v>12</v>
      </c>
      <c r="L15" s="6" t="s">
        <v>13</v>
      </c>
      <c r="M15" s="12"/>
      <c r="O15" s="4" t="s">
        <v>2</v>
      </c>
      <c r="P15" s="682" t="s">
        <v>14</v>
      </c>
      <c r="Q15" s="683"/>
      <c r="R15" s="683"/>
      <c r="S15" s="683"/>
      <c r="T15" s="684"/>
      <c r="V15" s="14" t="s">
        <v>300</v>
      </c>
      <c r="W15" s="15">
        <v>400</v>
      </c>
      <c r="X15" s="14" t="s">
        <v>651</v>
      </c>
      <c r="Y15" s="14" t="s">
        <v>682</v>
      </c>
    </row>
    <row r="16" spans="1:25">
      <c r="A16" s="8"/>
      <c r="B16" s="9" t="s">
        <v>17</v>
      </c>
      <c r="C16" s="9" t="s">
        <v>18</v>
      </c>
      <c r="D16" s="9" t="s">
        <v>18</v>
      </c>
      <c r="E16" s="9" t="s">
        <v>19</v>
      </c>
      <c r="F16" s="9" t="s">
        <v>18</v>
      </c>
      <c r="G16" s="9" t="s">
        <v>18</v>
      </c>
      <c r="H16" s="9" t="s">
        <v>18</v>
      </c>
      <c r="I16" s="9" t="s">
        <v>17</v>
      </c>
      <c r="J16" s="9" t="s">
        <v>17</v>
      </c>
      <c r="K16" s="9" t="s">
        <v>17</v>
      </c>
      <c r="L16" s="10" t="s">
        <v>17</v>
      </c>
      <c r="M16" s="12"/>
      <c r="O16" s="8"/>
      <c r="P16" s="11">
        <v>0.6</v>
      </c>
      <c r="Q16" s="11">
        <v>0.7</v>
      </c>
      <c r="R16" s="11">
        <v>0.8</v>
      </c>
      <c r="S16" s="11">
        <v>0.9</v>
      </c>
      <c r="T16" s="11">
        <v>1</v>
      </c>
      <c r="V16" s="14" t="s">
        <v>302</v>
      </c>
      <c r="W16" s="15">
        <v>440</v>
      </c>
      <c r="X16" s="14" t="s">
        <v>652</v>
      </c>
      <c r="Y16" s="14" t="s">
        <v>683</v>
      </c>
    </row>
    <row r="17" spans="1:25" ht="45">
      <c r="A17" s="411" t="s">
        <v>356</v>
      </c>
      <c r="B17" s="412">
        <v>5.9</v>
      </c>
      <c r="C17" s="413">
        <v>34</v>
      </c>
      <c r="D17" s="413">
        <f t="shared" si="1"/>
        <v>17</v>
      </c>
      <c r="E17" s="413">
        <v>2</v>
      </c>
      <c r="F17" s="413">
        <v>35</v>
      </c>
      <c r="G17" s="413">
        <v>65</v>
      </c>
      <c r="H17" s="413">
        <v>8</v>
      </c>
      <c r="I17" s="414">
        <f>(0.52*SQRT(H17)*(F17)^0.9*$B$31^0.8)/1000</f>
        <v>4.2225826668958426</v>
      </c>
      <c r="J17" s="415">
        <f>(0.3*0.52*SQRT(H17)*G17^0.9*$B$31^0.8)/1000</f>
        <v>2.2113638026311735</v>
      </c>
      <c r="K17" s="412">
        <v>20</v>
      </c>
      <c r="L17" s="416">
        <f t="shared" ref="L17:L42" si="3">E17*MIN(B17,I17,J17,K17)</f>
        <v>4.422727605262347</v>
      </c>
      <c r="M17" s="12"/>
      <c r="O17" s="411" t="s">
        <v>356</v>
      </c>
      <c r="P17" s="417">
        <f t="shared" si="0"/>
        <v>2.0412588947364676</v>
      </c>
      <c r="Q17" s="417">
        <f t="shared" si="0"/>
        <v>2.3814687105258789</v>
      </c>
      <c r="R17" s="417">
        <f t="shared" si="0"/>
        <v>2.7216785263152903</v>
      </c>
      <c r="S17" s="417">
        <f t="shared" si="0"/>
        <v>3.0618883421047021</v>
      </c>
      <c r="T17" s="417">
        <f t="shared" si="0"/>
        <v>3.402098157894113</v>
      </c>
      <c r="V17" s="14" t="s">
        <v>663</v>
      </c>
      <c r="W17" s="15">
        <v>530</v>
      </c>
      <c r="X17" s="14" t="s">
        <v>664</v>
      </c>
      <c r="Y17" s="14" t="s">
        <v>686</v>
      </c>
    </row>
    <row r="18" spans="1:25" ht="45">
      <c r="A18" s="396" t="s">
        <v>360</v>
      </c>
      <c r="B18" s="397">
        <v>5.9</v>
      </c>
      <c r="C18" s="398">
        <v>54</v>
      </c>
      <c r="D18" s="398">
        <f t="shared" si="1"/>
        <v>27</v>
      </c>
      <c r="E18" s="398">
        <v>2</v>
      </c>
      <c r="F18" s="398">
        <f>$F$17</f>
        <v>35</v>
      </c>
      <c r="G18" s="398">
        <f>$G$17</f>
        <v>65</v>
      </c>
      <c r="H18" s="398">
        <v>8</v>
      </c>
      <c r="I18" s="414">
        <f t="shared" ref="I18:I29" si="4">(0.52*SQRT(H18)*(F18)^0.9*$B$31^0.8)/1000</f>
        <v>4.2225826668958426</v>
      </c>
      <c r="J18" s="415">
        <f t="shared" ref="J18:J29" si="5">(0.3*0.52*SQRT(H18)*G18^0.9*$B$31^0.8)/1000</f>
        <v>2.2113638026311735</v>
      </c>
      <c r="K18" s="397">
        <v>20</v>
      </c>
      <c r="L18" s="402">
        <f t="shared" si="3"/>
        <v>4.422727605262347</v>
      </c>
      <c r="M18" s="12"/>
      <c r="N18" s="19"/>
      <c r="O18" s="396" t="s">
        <v>360</v>
      </c>
      <c r="P18" s="403">
        <f t="shared" si="0"/>
        <v>2.0412588947364676</v>
      </c>
      <c r="Q18" s="403">
        <f t="shared" si="0"/>
        <v>2.3814687105258789</v>
      </c>
      <c r="R18" s="403">
        <f t="shared" si="0"/>
        <v>2.7216785263152903</v>
      </c>
      <c r="S18" s="403">
        <f t="shared" si="0"/>
        <v>3.0618883421047021</v>
      </c>
      <c r="T18" s="403">
        <f t="shared" si="0"/>
        <v>3.402098157894113</v>
      </c>
      <c r="V18" s="14" t="s">
        <v>665</v>
      </c>
      <c r="W18" s="15">
        <v>590</v>
      </c>
      <c r="X18" s="14" t="s">
        <v>688</v>
      </c>
      <c r="Y18" s="14" t="s">
        <v>687</v>
      </c>
    </row>
    <row r="19" spans="1:25" ht="45">
      <c r="A19" s="396" t="s">
        <v>357</v>
      </c>
      <c r="B19" s="397">
        <v>5.9</v>
      </c>
      <c r="C19" s="398">
        <v>74</v>
      </c>
      <c r="D19" s="398">
        <f t="shared" si="1"/>
        <v>37</v>
      </c>
      <c r="E19" s="398">
        <v>2</v>
      </c>
      <c r="F19" s="398">
        <f>$F$17</f>
        <v>35</v>
      </c>
      <c r="G19" s="398">
        <f>$G$17</f>
        <v>65</v>
      </c>
      <c r="H19" s="398">
        <v>8</v>
      </c>
      <c r="I19" s="414">
        <f t="shared" si="4"/>
        <v>4.2225826668958426</v>
      </c>
      <c r="J19" s="415">
        <f t="shared" si="5"/>
        <v>2.2113638026311735</v>
      </c>
      <c r="K19" s="397">
        <v>20</v>
      </c>
      <c r="L19" s="402">
        <f t="shared" si="3"/>
        <v>4.422727605262347</v>
      </c>
      <c r="M19" s="12"/>
      <c r="O19" s="396" t="s">
        <v>357</v>
      </c>
      <c r="P19" s="403">
        <f t="shared" si="0"/>
        <v>2.0412588947364676</v>
      </c>
      <c r="Q19" s="403">
        <f t="shared" si="0"/>
        <v>2.3814687105258789</v>
      </c>
      <c r="R19" s="403">
        <f t="shared" si="0"/>
        <v>2.7216785263152903</v>
      </c>
      <c r="S19" s="403">
        <f t="shared" si="0"/>
        <v>3.0618883421047021</v>
      </c>
      <c r="T19" s="403">
        <f t="shared" si="0"/>
        <v>3.402098157894113</v>
      </c>
    </row>
    <row r="20" spans="1:25" ht="45">
      <c r="A20" s="396" t="s">
        <v>359</v>
      </c>
      <c r="B20" s="397">
        <v>5.9</v>
      </c>
      <c r="C20" s="398">
        <v>94</v>
      </c>
      <c r="D20" s="398">
        <f t="shared" si="1"/>
        <v>47</v>
      </c>
      <c r="E20" s="398">
        <v>2</v>
      </c>
      <c r="F20" s="398">
        <f>$F$17</f>
        <v>35</v>
      </c>
      <c r="G20" s="398">
        <f>$G$17</f>
        <v>65</v>
      </c>
      <c r="H20" s="398">
        <v>8</v>
      </c>
      <c r="I20" s="414">
        <f t="shared" si="4"/>
        <v>4.2225826668958426</v>
      </c>
      <c r="J20" s="415">
        <f t="shared" si="5"/>
        <v>2.2113638026311735</v>
      </c>
      <c r="K20" s="397">
        <v>20</v>
      </c>
      <c r="L20" s="402">
        <f t="shared" si="3"/>
        <v>4.422727605262347</v>
      </c>
      <c r="M20" s="12"/>
      <c r="O20" s="396" t="s">
        <v>359</v>
      </c>
      <c r="P20" s="403">
        <f t="shared" si="0"/>
        <v>2.0412588947364676</v>
      </c>
      <c r="Q20" s="403">
        <f t="shared" si="0"/>
        <v>2.3814687105258789</v>
      </c>
      <c r="R20" s="403">
        <f t="shared" si="0"/>
        <v>2.7216785263152903</v>
      </c>
      <c r="S20" s="403">
        <f t="shared" si="0"/>
        <v>3.0618883421047021</v>
      </c>
      <c r="T20" s="403">
        <f t="shared" si="0"/>
        <v>3.402098157894113</v>
      </c>
      <c r="V20" s="14" t="s">
        <v>658</v>
      </c>
      <c r="W20" s="14" t="s">
        <v>662</v>
      </c>
      <c r="X20" s="14" t="s">
        <v>676</v>
      </c>
    </row>
    <row r="21" spans="1:25" ht="45">
      <c r="A21" s="396" t="s">
        <v>358</v>
      </c>
      <c r="B21" s="397">
        <v>5.9</v>
      </c>
      <c r="C21" s="398">
        <v>114</v>
      </c>
      <c r="D21" s="398">
        <f t="shared" si="1"/>
        <v>57</v>
      </c>
      <c r="E21" s="398">
        <v>2</v>
      </c>
      <c r="F21" s="398">
        <f>$F$17</f>
        <v>35</v>
      </c>
      <c r="G21" s="398">
        <f>$G$17</f>
        <v>65</v>
      </c>
      <c r="H21" s="398">
        <v>8</v>
      </c>
      <c r="I21" s="414">
        <f t="shared" si="4"/>
        <v>4.2225826668958426</v>
      </c>
      <c r="J21" s="415">
        <f t="shared" si="5"/>
        <v>2.2113638026311735</v>
      </c>
      <c r="K21" s="397">
        <v>20</v>
      </c>
      <c r="L21" s="402">
        <f t="shared" si="3"/>
        <v>4.422727605262347</v>
      </c>
      <c r="M21" s="12"/>
      <c r="O21" s="396" t="s">
        <v>358</v>
      </c>
      <c r="P21" s="403">
        <f t="shared" si="0"/>
        <v>2.0412588947364676</v>
      </c>
      <c r="Q21" s="403">
        <f t="shared" si="0"/>
        <v>2.3814687105258789</v>
      </c>
      <c r="R21" s="403">
        <f t="shared" si="0"/>
        <v>2.7216785263152903</v>
      </c>
      <c r="S21" s="403">
        <f t="shared" si="0"/>
        <v>3.0618883421047021</v>
      </c>
      <c r="T21" s="403">
        <f t="shared" si="0"/>
        <v>3.402098157894113</v>
      </c>
      <c r="V21" s="14">
        <v>1</v>
      </c>
      <c r="W21" s="14" t="s">
        <v>659</v>
      </c>
      <c r="X21" s="14" t="s">
        <v>668</v>
      </c>
    </row>
    <row r="22" spans="1:25" ht="45">
      <c r="A22" s="396" t="s">
        <v>361</v>
      </c>
      <c r="B22" s="397">
        <v>5.9</v>
      </c>
      <c r="C22" s="398">
        <v>134</v>
      </c>
      <c r="D22" s="398">
        <f t="shared" si="1"/>
        <v>67</v>
      </c>
      <c r="E22" s="398">
        <v>2</v>
      </c>
      <c r="F22" s="398">
        <f>$F$17</f>
        <v>35</v>
      </c>
      <c r="G22" s="398">
        <f>$G$17</f>
        <v>65</v>
      </c>
      <c r="H22" s="398">
        <v>8</v>
      </c>
      <c r="I22" s="414">
        <f t="shared" si="4"/>
        <v>4.2225826668958426</v>
      </c>
      <c r="J22" s="415">
        <f t="shared" si="5"/>
        <v>2.2113638026311735</v>
      </c>
      <c r="K22" s="397">
        <v>20</v>
      </c>
      <c r="L22" s="402">
        <f t="shared" si="3"/>
        <v>4.422727605262347</v>
      </c>
      <c r="M22" s="12"/>
      <c r="O22" s="396" t="s">
        <v>361</v>
      </c>
      <c r="P22" s="403">
        <f t="shared" si="0"/>
        <v>2.0412588947364676</v>
      </c>
      <c r="Q22" s="403">
        <f t="shared" si="0"/>
        <v>2.3814687105258789</v>
      </c>
      <c r="R22" s="403">
        <f t="shared" si="0"/>
        <v>2.7216785263152903</v>
      </c>
      <c r="S22" s="403">
        <f t="shared" si="0"/>
        <v>3.0618883421047021</v>
      </c>
      <c r="T22" s="403">
        <f t="shared" si="0"/>
        <v>3.402098157894113</v>
      </c>
      <c r="V22" s="14">
        <v>2</v>
      </c>
      <c r="W22" s="14" t="s">
        <v>660</v>
      </c>
      <c r="X22" s="14" t="s">
        <v>669</v>
      </c>
    </row>
    <row r="23" spans="1:25" ht="45">
      <c r="A23" s="408" t="s">
        <v>362</v>
      </c>
      <c r="B23" s="397">
        <v>5.9</v>
      </c>
      <c r="C23" s="398">
        <v>114</v>
      </c>
      <c r="D23" s="398">
        <f>C23/2</f>
        <v>57</v>
      </c>
      <c r="E23" s="398">
        <v>2</v>
      </c>
      <c r="F23" s="409">
        <v>35</v>
      </c>
      <c r="G23" s="409">
        <f>160-15</f>
        <v>145</v>
      </c>
      <c r="H23" s="398">
        <v>8</v>
      </c>
      <c r="I23" s="414">
        <f t="shared" si="4"/>
        <v>4.2225826668958426</v>
      </c>
      <c r="J23" s="415">
        <f t="shared" si="5"/>
        <v>4.5527036065307724</v>
      </c>
      <c r="K23" s="397">
        <v>20</v>
      </c>
      <c r="L23" s="402">
        <f>E23*MIN(B23,I23,J23,K23)</f>
        <v>8.4451653337916852</v>
      </c>
      <c r="M23" s="12"/>
      <c r="O23" s="408" t="s">
        <v>362</v>
      </c>
      <c r="P23" s="403">
        <f t="shared" si="0"/>
        <v>3.8977686155961617</v>
      </c>
      <c r="Q23" s="403">
        <f t="shared" si="0"/>
        <v>4.5473967181955226</v>
      </c>
      <c r="R23" s="403">
        <f t="shared" si="0"/>
        <v>5.1970248207948835</v>
      </c>
      <c r="S23" s="403">
        <f t="shared" si="0"/>
        <v>5.8466529233942435</v>
      </c>
      <c r="T23" s="403">
        <f t="shared" si="0"/>
        <v>6.4962810259936035</v>
      </c>
      <c r="V23" s="14">
        <v>3</v>
      </c>
      <c r="W23" s="14" t="s">
        <v>661</v>
      </c>
      <c r="X23" s="14" t="s">
        <v>670</v>
      </c>
    </row>
    <row r="24" spans="1:25" ht="45">
      <c r="A24" s="408" t="s">
        <v>363</v>
      </c>
      <c r="B24" s="397">
        <v>5.9</v>
      </c>
      <c r="C24" s="398">
        <v>134</v>
      </c>
      <c r="D24" s="398">
        <f>C24/2</f>
        <v>67</v>
      </c>
      <c r="E24" s="398">
        <v>2</v>
      </c>
      <c r="F24" s="409">
        <v>35</v>
      </c>
      <c r="G24" s="409">
        <f>160-15</f>
        <v>145</v>
      </c>
      <c r="H24" s="398">
        <v>8</v>
      </c>
      <c r="I24" s="414">
        <f t="shared" si="4"/>
        <v>4.2225826668958426</v>
      </c>
      <c r="J24" s="415">
        <f t="shared" si="5"/>
        <v>4.5527036065307724</v>
      </c>
      <c r="K24" s="397">
        <v>20</v>
      </c>
      <c r="L24" s="402">
        <f>E24*MIN(B24,I24,J24,K24)</f>
        <v>8.4451653337916852</v>
      </c>
      <c r="M24" s="12"/>
      <c r="O24" s="408" t="s">
        <v>363</v>
      </c>
      <c r="P24" s="403">
        <f t="shared" si="0"/>
        <v>3.8977686155961617</v>
      </c>
      <c r="Q24" s="403">
        <f t="shared" si="0"/>
        <v>4.5473967181955226</v>
      </c>
      <c r="R24" s="403">
        <f t="shared" si="0"/>
        <v>5.1970248207948835</v>
      </c>
      <c r="S24" s="403">
        <f t="shared" si="0"/>
        <v>5.8466529233942435</v>
      </c>
      <c r="T24" s="403">
        <f t="shared" si="0"/>
        <v>6.4962810259936035</v>
      </c>
    </row>
    <row r="25" spans="1:25" ht="46.5" customHeight="1">
      <c r="A25" s="396" t="s">
        <v>364</v>
      </c>
      <c r="B25" s="397">
        <v>5.9</v>
      </c>
      <c r="C25" s="398">
        <v>134</v>
      </c>
      <c r="D25" s="398">
        <f t="shared" si="1"/>
        <v>67</v>
      </c>
      <c r="E25" s="398">
        <f>C25/(C25-D25)</f>
        <v>2</v>
      </c>
      <c r="F25" s="398">
        <v>35</v>
      </c>
      <c r="G25" s="398">
        <v>65</v>
      </c>
      <c r="H25" s="398">
        <v>8</v>
      </c>
      <c r="I25" s="414">
        <f t="shared" si="4"/>
        <v>4.2225826668958426</v>
      </c>
      <c r="J25" s="415">
        <f t="shared" si="5"/>
        <v>2.2113638026311735</v>
      </c>
      <c r="K25" s="397">
        <v>20</v>
      </c>
      <c r="L25" s="402">
        <f t="shared" si="3"/>
        <v>4.422727605262347</v>
      </c>
      <c r="M25" s="12"/>
      <c r="O25" s="396" t="s">
        <v>364</v>
      </c>
      <c r="P25" s="403">
        <f t="shared" si="0"/>
        <v>2.0412588947364676</v>
      </c>
      <c r="Q25" s="403">
        <f t="shared" si="0"/>
        <v>2.3814687105258789</v>
      </c>
      <c r="R25" s="403">
        <f t="shared" si="0"/>
        <v>2.7216785263152903</v>
      </c>
      <c r="S25" s="403">
        <f t="shared" si="0"/>
        <v>3.0618883421047021</v>
      </c>
      <c r="T25" s="403">
        <f t="shared" si="0"/>
        <v>3.402098157894113</v>
      </c>
    </row>
    <row r="26" spans="1:25" ht="46.5" customHeight="1">
      <c r="A26" s="396" t="s">
        <v>365</v>
      </c>
      <c r="B26" s="397">
        <v>5.9</v>
      </c>
      <c r="C26" s="398">
        <v>174</v>
      </c>
      <c r="D26" s="398">
        <f t="shared" si="1"/>
        <v>87</v>
      </c>
      <c r="E26" s="398">
        <f>C26/(C26-D26)</f>
        <v>2</v>
      </c>
      <c r="F26" s="398">
        <v>35</v>
      </c>
      <c r="G26" s="398">
        <v>65</v>
      </c>
      <c r="H26" s="398">
        <v>8</v>
      </c>
      <c r="I26" s="414">
        <f t="shared" si="4"/>
        <v>4.2225826668958426</v>
      </c>
      <c r="J26" s="415">
        <f t="shared" si="5"/>
        <v>2.2113638026311735</v>
      </c>
      <c r="K26" s="397">
        <v>20</v>
      </c>
      <c r="L26" s="402">
        <f t="shared" si="3"/>
        <v>4.422727605262347</v>
      </c>
      <c r="M26" s="12"/>
      <c r="O26" s="396" t="s">
        <v>365</v>
      </c>
      <c r="P26" s="403">
        <f t="shared" si="0"/>
        <v>2.0412588947364676</v>
      </c>
      <c r="Q26" s="403">
        <f t="shared" si="0"/>
        <v>2.3814687105258789</v>
      </c>
      <c r="R26" s="403">
        <f t="shared" si="0"/>
        <v>2.7216785263152903</v>
      </c>
      <c r="S26" s="403">
        <f t="shared" si="0"/>
        <v>3.0618883421047021</v>
      </c>
      <c r="T26" s="403">
        <f t="shared" si="0"/>
        <v>3.402098157894113</v>
      </c>
    </row>
    <row r="27" spans="1:25" ht="46.5" customHeight="1">
      <c r="A27" s="396" t="s">
        <v>366</v>
      </c>
      <c r="B27" s="397">
        <v>5.9</v>
      </c>
      <c r="C27" s="398">
        <v>214</v>
      </c>
      <c r="D27" s="398">
        <f t="shared" si="1"/>
        <v>107</v>
      </c>
      <c r="E27" s="398">
        <f>C27/(C27-D27)</f>
        <v>2</v>
      </c>
      <c r="F27" s="398">
        <v>35</v>
      </c>
      <c r="G27" s="398">
        <v>65</v>
      </c>
      <c r="H27" s="398">
        <v>8</v>
      </c>
      <c r="I27" s="414">
        <f t="shared" si="4"/>
        <v>4.2225826668958426</v>
      </c>
      <c r="J27" s="415">
        <f t="shared" si="5"/>
        <v>2.2113638026311735</v>
      </c>
      <c r="K27" s="397">
        <v>20</v>
      </c>
      <c r="L27" s="402">
        <f t="shared" si="3"/>
        <v>4.422727605262347</v>
      </c>
      <c r="M27" s="12"/>
      <c r="O27" s="396" t="s">
        <v>366</v>
      </c>
      <c r="P27" s="403">
        <f t="shared" si="0"/>
        <v>2.0412588947364676</v>
      </c>
      <c r="Q27" s="403">
        <f t="shared" si="0"/>
        <v>2.3814687105258789</v>
      </c>
      <c r="R27" s="403">
        <f t="shared" si="0"/>
        <v>2.7216785263152903</v>
      </c>
      <c r="S27" s="403">
        <f t="shared" si="0"/>
        <v>3.0618883421047021</v>
      </c>
      <c r="T27" s="403">
        <f t="shared" si="0"/>
        <v>3.402098157894113</v>
      </c>
    </row>
    <row r="28" spans="1:25" ht="46.5" customHeight="1">
      <c r="A28" s="396" t="s">
        <v>367</v>
      </c>
      <c r="B28" s="397">
        <v>5.9</v>
      </c>
      <c r="C28" s="398">
        <v>254</v>
      </c>
      <c r="D28" s="398">
        <f t="shared" si="1"/>
        <v>127</v>
      </c>
      <c r="E28" s="398">
        <f>C28/(C28-D28)</f>
        <v>2</v>
      </c>
      <c r="F28" s="398">
        <v>35</v>
      </c>
      <c r="G28" s="398">
        <v>65</v>
      </c>
      <c r="H28" s="398">
        <v>8</v>
      </c>
      <c r="I28" s="414">
        <f t="shared" si="4"/>
        <v>4.2225826668958426</v>
      </c>
      <c r="J28" s="415">
        <f t="shared" si="5"/>
        <v>2.2113638026311735</v>
      </c>
      <c r="K28" s="397">
        <v>20</v>
      </c>
      <c r="L28" s="402">
        <f t="shared" si="3"/>
        <v>4.422727605262347</v>
      </c>
      <c r="M28" s="12"/>
      <c r="O28" s="396" t="s">
        <v>367</v>
      </c>
      <c r="P28" s="403">
        <f t="shared" si="0"/>
        <v>2.0412588947364676</v>
      </c>
      <c r="Q28" s="403">
        <f t="shared" si="0"/>
        <v>2.3814687105258789</v>
      </c>
      <c r="R28" s="403">
        <f t="shared" si="0"/>
        <v>2.7216785263152903</v>
      </c>
      <c r="S28" s="403">
        <f t="shared" si="0"/>
        <v>3.0618883421047021</v>
      </c>
      <c r="T28" s="403">
        <f t="shared" si="0"/>
        <v>3.402098157894113</v>
      </c>
    </row>
    <row r="29" spans="1:25" ht="46.5" customHeight="1">
      <c r="A29" s="396" t="s">
        <v>368</v>
      </c>
      <c r="B29" s="397">
        <v>5.9</v>
      </c>
      <c r="C29" s="398">
        <v>294</v>
      </c>
      <c r="D29" s="398">
        <f t="shared" si="1"/>
        <v>147</v>
      </c>
      <c r="E29" s="398">
        <f>C29/(C29-D29)</f>
        <v>2</v>
      </c>
      <c r="F29" s="398">
        <v>35</v>
      </c>
      <c r="G29" s="398">
        <v>65</v>
      </c>
      <c r="H29" s="398">
        <v>8</v>
      </c>
      <c r="I29" s="414">
        <f t="shared" si="4"/>
        <v>4.2225826668958426</v>
      </c>
      <c r="J29" s="415">
        <f t="shared" si="5"/>
        <v>2.2113638026311735</v>
      </c>
      <c r="K29" s="397">
        <v>20</v>
      </c>
      <c r="L29" s="402">
        <f t="shared" si="3"/>
        <v>4.422727605262347</v>
      </c>
      <c r="M29" s="12"/>
      <c r="O29" s="396" t="s">
        <v>368</v>
      </c>
      <c r="P29" s="403">
        <f t="shared" si="0"/>
        <v>2.0412588947364676</v>
      </c>
      <c r="Q29" s="403">
        <f t="shared" si="0"/>
        <v>2.3814687105258789</v>
      </c>
      <c r="R29" s="403">
        <f t="shared" si="0"/>
        <v>2.7216785263152903</v>
      </c>
      <c r="S29" s="403">
        <f t="shared" si="0"/>
        <v>3.0618883421047021</v>
      </c>
      <c r="T29" s="403">
        <f t="shared" si="0"/>
        <v>3.402098157894113</v>
      </c>
    </row>
    <row r="30" spans="1:25">
      <c r="A30" s="21" t="s">
        <v>37</v>
      </c>
      <c r="B30" t="str">
        <f>B115</f>
        <v>GL24h</v>
      </c>
      <c r="D30" s="545"/>
      <c r="E30" s="545"/>
      <c r="F30" s="545"/>
      <c r="G30" s="545"/>
      <c r="H30" s="545"/>
      <c r="I30" s="546"/>
      <c r="J30" s="538"/>
      <c r="K30" s="544"/>
      <c r="L30" s="549"/>
      <c r="M30" s="115"/>
      <c r="N30" s="3"/>
      <c r="O30" s="418"/>
      <c r="P30" s="419"/>
      <c r="Q30" s="419"/>
      <c r="R30" s="419"/>
      <c r="S30" s="419"/>
      <c r="T30" s="419"/>
    </row>
    <row r="31" spans="1:25" ht="18">
      <c r="A31" s="23" t="s">
        <v>39</v>
      </c>
      <c r="B31" s="24">
        <f>VLOOKUP(B30,$V$7:$W$16,2,FALSE)</f>
        <v>385</v>
      </c>
      <c r="C31" t="s">
        <v>40</v>
      </c>
      <c r="D31" s="545"/>
      <c r="E31" s="545"/>
      <c r="F31" s="545"/>
      <c r="G31" s="545"/>
      <c r="H31" s="545"/>
      <c r="I31" s="546"/>
      <c r="J31" s="538"/>
      <c r="K31" s="544"/>
      <c r="L31" s="549"/>
      <c r="M31" s="115"/>
      <c r="N31" s="3"/>
      <c r="O31" s="418"/>
      <c r="P31" s="419"/>
      <c r="Q31" s="419"/>
      <c r="R31" s="419"/>
      <c r="S31" s="419"/>
      <c r="T31" s="419"/>
    </row>
    <row r="32" spans="1:25">
      <c r="A32" s="418"/>
      <c r="B32" s="544"/>
      <c r="C32" s="545"/>
      <c r="D32" s="545"/>
      <c r="E32" s="545"/>
      <c r="F32" s="545"/>
      <c r="G32" s="545"/>
      <c r="H32" s="545"/>
      <c r="I32" s="546"/>
      <c r="J32" s="538"/>
      <c r="K32" s="544"/>
      <c r="L32" s="549"/>
      <c r="M32" s="115"/>
      <c r="N32" s="3"/>
      <c r="O32" s="418"/>
      <c r="P32" s="419"/>
      <c r="Q32" s="419"/>
      <c r="R32" s="419"/>
      <c r="S32" s="419"/>
      <c r="T32" s="419"/>
    </row>
    <row r="33" spans="1:32" ht="18.75">
      <c r="A33" s="550" t="s">
        <v>656</v>
      </c>
      <c r="B33" s="544"/>
      <c r="C33" s="545"/>
      <c r="D33" s="545"/>
      <c r="E33" s="545"/>
      <c r="F33" s="545"/>
      <c r="G33" s="545"/>
      <c r="H33" s="545"/>
      <c r="I33" s="546"/>
      <c r="J33" s="538"/>
      <c r="K33" s="544"/>
      <c r="L33" s="549"/>
      <c r="M33" s="115"/>
      <c r="N33" s="3"/>
      <c r="O33" s="418"/>
      <c r="P33" s="419"/>
      <c r="Q33" s="419"/>
      <c r="R33" s="419"/>
      <c r="S33" s="419"/>
      <c r="T33" s="419"/>
    </row>
    <row r="34" spans="1:32">
      <c r="A34" s="418"/>
      <c r="B34" s="544"/>
      <c r="C34" s="545"/>
      <c r="D34" s="545"/>
      <c r="E34" s="545"/>
      <c r="F34" s="545"/>
      <c r="G34" s="545"/>
      <c r="H34" s="545"/>
      <c r="I34" s="546"/>
      <c r="J34" s="538"/>
      <c r="K34" s="544"/>
      <c r="L34" s="549"/>
      <c r="M34" s="115"/>
      <c r="N34" s="3"/>
      <c r="O34" s="418"/>
      <c r="P34" s="419"/>
      <c r="Q34" s="419"/>
      <c r="R34" s="419"/>
      <c r="S34" s="419"/>
      <c r="T34" s="419"/>
    </row>
    <row r="35" spans="1:32" ht="18">
      <c r="A35" s="4" t="s">
        <v>2</v>
      </c>
      <c r="B35" s="5" t="s">
        <v>3</v>
      </c>
      <c r="C35" s="5" t="s">
        <v>4</v>
      </c>
      <c r="D35" s="5" t="s">
        <v>5</v>
      </c>
      <c r="E35" s="5" t="s">
        <v>6</v>
      </c>
      <c r="F35" s="5" t="s">
        <v>7</v>
      </c>
      <c r="G35" s="5" t="s">
        <v>8</v>
      </c>
      <c r="H35" s="5" t="s">
        <v>9</v>
      </c>
      <c r="I35" s="5" t="s">
        <v>10</v>
      </c>
      <c r="J35" s="5" t="s">
        <v>11</v>
      </c>
      <c r="K35" s="5" t="s">
        <v>12</v>
      </c>
      <c r="L35" s="6" t="s">
        <v>13</v>
      </c>
      <c r="M35" s="115"/>
      <c r="O35" s="4" t="s">
        <v>2</v>
      </c>
      <c r="P35" s="682" t="s">
        <v>14</v>
      </c>
      <c r="Q35" s="683"/>
      <c r="R35" s="683"/>
      <c r="S35" s="683"/>
      <c r="T35" s="684"/>
    </row>
    <row r="36" spans="1:32">
      <c r="A36" s="8"/>
      <c r="B36" s="9" t="s">
        <v>17</v>
      </c>
      <c r="C36" s="9" t="s">
        <v>18</v>
      </c>
      <c r="D36" s="9" t="s">
        <v>18</v>
      </c>
      <c r="E36" s="9" t="s">
        <v>19</v>
      </c>
      <c r="F36" s="9" t="s">
        <v>18</v>
      </c>
      <c r="G36" s="9" t="s">
        <v>18</v>
      </c>
      <c r="H36" s="9" t="s">
        <v>18</v>
      </c>
      <c r="I36" s="9" t="s">
        <v>17</v>
      </c>
      <c r="J36" s="9" t="s">
        <v>17</v>
      </c>
      <c r="K36" s="9" t="s">
        <v>17</v>
      </c>
      <c r="L36" s="10" t="s">
        <v>17</v>
      </c>
      <c r="M36" s="115"/>
      <c r="O36" s="8"/>
      <c r="P36" s="11">
        <v>0.6</v>
      </c>
      <c r="Q36" s="11">
        <v>0.7</v>
      </c>
      <c r="R36" s="11">
        <v>0.8</v>
      </c>
      <c r="S36" s="11">
        <v>0.9</v>
      </c>
      <c r="T36" s="11">
        <v>1</v>
      </c>
    </row>
    <row r="37" spans="1:32" ht="30.75" customHeight="1">
      <c r="A37" s="424" t="s">
        <v>377</v>
      </c>
      <c r="B37" s="412">
        <v>9</v>
      </c>
      <c r="C37" s="413">
        <v>60</v>
      </c>
      <c r="D37" s="413">
        <f t="shared" si="1"/>
        <v>30</v>
      </c>
      <c r="E37" s="413">
        <f t="shared" ref="E37:E42" si="6">(2*C37)/(C37-D37)</f>
        <v>4</v>
      </c>
      <c r="F37" s="413">
        <f>80-10</f>
        <v>70</v>
      </c>
      <c r="G37" s="413">
        <f>160-10</f>
        <v>150</v>
      </c>
      <c r="H37" s="413">
        <v>8</v>
      </c>
      <c r="I37" s="414">
        <f t="shared" ref="I37:I42" si="7">(0.52*SQRT(H37)*(F37)^0.9*$B$44^0.8)/1000</f>
        <v>7.8796178754106014</v>
      </c>
      <c r="J37" s="415">
        <f t="shared" ref="J37:J42" si="8">($J$43*0.52*SQRT(H37)*G37^0.9*$B$44^0.8)/1000</f>
        <v>4.6937538287484974</v>
      </c>
      <c r="K37" s="412">
        <v>23</v>
      </c>
      <c r="L37" s="425">
        <f t="shared" si="3"/>
        <v>18.77501531499399</v>
      </c>
      <c r="M37" s="115"/>
      <c r="O37" s="424" t="s">
        <v>377</v>
      </c>
      <c r="P37" s="417">
        <f t="shared" si="0"/>
        <v>8.665391683843378</v>
      </c>
      <c r="Q37" s="417">
        <f t="shared" si="0"/>
        <v>10.10962363115061</v>
      </c>
      <c r="R37" s="417">
        <f t="shared" si="0"/>
        <v>11.55385557845784</v>
      </c>
      <c r="S37" s="417">
        <f t="shared" si="0"/>
        <v>12.998087525765071</v>
      </c>
      <c r="T37" s="417">
        <f t="shared" si="0"/>
        <v>14.442319473072299</v>
      </c>
    </row>
    <row r="38" spans="1:32" ht="30.75" customHeight="1">
      <c r="A38" s="342" t="s">
        <v>379</v>
      </c>
      <c r="B38" s="397">
        <v>9</v>
      </c>
      <c r="C38" s="398">
        <v>60</v>
      </c>
      <c r="D38" s="398">
        <f t="shared" si="1"/>
        <v>30</v>
      </c>
      <c r="E38" s="398">
        <f t="shared" si="6"/>
        <v>4</v>
      </c>
      <c r="F38" s="398">
        <f>80-10</f>
        <v>70</v>
      </c>
      <c r="G38" s="398">
        <f>240-10</f>
        <v>230</v>
      </c>
      <c r="H38" s="398">
        <v>8</v>
      </c>
      <c r="I38" s="399">
        <f t="shared" si="7"/>
        <v>7.8796178754106014</v>
      </c>
      <c r="J38" s="138">
        <f t="shared" si="8"/>
        <v>6.8959360897190116</v>
      </c>
      <c r="K38" s="397">
        <v>23</v>
      </c>
      <c r="L38" s="402">
        <f t="shared" si="3"/>
        <v>27.583744358876046</v>
      </c>
      <c r="M38" s="115"/>
      <c r="O38" s="342" t="s">
        <v>379</v>
      </c>
      <c r="P38" s="403">
        <f t="shared" ref="P38:T42" si="9">$E38*MIN($B38/1,$I38*P$6/1.3,$J38*P$6/1.3,$K38/1.25)</f>
        <v>12.730958934865866</v>
      </c>
      <c r="Q38" s="403">
        <f t="shared" si="9"/>
        <v>14.852785424010175</v>
      </c>
      <c r="R38" s="403">
        <f t="shared" si="9"/>
        <v>16.97461191315449</v>
      </c>
      <c r="S38" s="403">
        <f t="shared" si="9"/>
        <v>19.096438402298801</v>
      </c>
      <c r="T38" s="403">
        <f t="shared" si="9"/>
        <v>21.218264891443113</v>
      </c>
    </row>
    <row r="39" spans="1:32" ht="30.75" customHeight="1">
      <c r="A39" s="342" t="s">
        <v>380</v>
      </c>
      <c r="B39" s="397">
        <v>9</v>
      </c>
      <c r="C39" s="398">
        <v>120</v>
      </c>
      <c r="D39" s="398">
        <f t="shared" si="1"/>
        <v>60</v>
      </c>
      <c r="E39" s="398">
        <f t="shared" si="6"/>
        <v>4</v>
      </c>
      <c r="F39" s="398">
        <f>80-10</f>
        <v>70</v>
      </c>
      <c r="G39" s="398">
        <f>160-10</f>
        <v>150</v>
      </c>
      <c r="H39" s="398">
        <v>8</v>
      </c>
      <c r="I39" s="399">
        <f t="shared" si="7"/>
        <v>7.8796178754106014</v>
      </c>
      <c r="J39" s="138">
        <f t="shared" si="8"/>
        <v>4.6937538287484974</v>
      </c>
      <c r="K39" s="397">
        <v>23</v>
      </c>
      <c r="L39" s="402">
        <f t="shared" si="3"/>
        <v>18.77501531499399</v>
      </c>
      <c r="M39" s="115"/>
      <c r="O39" s="342" t="s">
        <v>380</v>
      </c>
      <c r="P39" s="403">
        <f t="shared" si="9"/>
        <v>8.665391683843378</v>
      </c>
      <c r="Q39" s="403">
        <f t="shared" si="9"/>
        <v>10.10962363115061</v>
      </c>
      <c r="R39" s="403">
        <f t="shared" si="9"/>
        <v>11.55385557845784</v>
      </c>
      <c r="S39" s="403">
        <f t="shared" si="9"/>
        <v>12.998087525765071</v>
      </c>
      <c r="T39" s="403">
        <f t="shared" si="9"/>
        <v>14.442319473072299</v>
      </c>
    </row>
    <row r="40" spans="1:32" ht="30.75" customHeight="1">
      <c r="A40" s="342" t="s">
        <v>381</v>
      </c>
      <c r="B40" s="397">
        <v>9</v>
      </c>
      <c r="C40" s="398">
        <v>120</v>
      </c>
      <c r="D40" s="398">
        <f t="shared" si="1"/>
        <v>60</v>
      </c>
      <c r="E40" s="398">
        <f t="shared" si="6"/>
        <v>4</v>
      </c>
      <c r="F40" s="398">
        <f>80-10</f>
        <v>70</v>
      </c>
      <c r="G40" s="398">
        <f>240-10</f>
        <v>230</v>
      </c>
      <c r="H40" s="398">
        <v>8</v>
      </c>
      <c r="I40" s="399">
        <f t="shared" si="7"/>
        <v>7.8796178754106014</v>
      </c>
      <c r="J40" s="138">
        <f t="shared" si="8"/>
        <v>6.8959360897190116</v>
      </c>
      <c r="K40" s="397">
        <v>23</v>
      </c>
      <c r="L40" s="402">
        <f t="shared" si="3"/>
        <v>27.583744358876046</v>
      </c>
      <c r="M40" s="115"/>
      <c r="O40" s="342" t="s">
        <v>381</v>
      </c>
      <c r="P40" s="403">
        <f t="shared" si="9"/>
        <v>12.730958934865866</v>
      </c>
      <c r="Q40" s="403">
        <f t="shared" si="9"/>
        <v>14.852785424010175</v>
      </c>
      <c r="R40" s="403">
        <f t="shared" si="9"/>
        <v>16.97461191315449</v>
      </c>
      <c r="S40" s="403">
        <f t="shared" si="9"/>
        <v>19.096438402298801</v>
      </c>
      <c r="T40" s="403">
        <f t="shared" si="9"/>
        <v>21.218264891443113</v>
      </c>
    </row>
    <row r="41" spans="1:32" ht="30.75" customHeight="1">
      <c r="A41" s="342" t="s">
        <v>383</v>
      </c>
      <c r="B41" s="420">
        <v>9</v>
      </c>
      <c r="C41" s="421">
        <v>120</v>
      </c>
      <c r="D41" s="421">
        <f t="shared" si="1"/>
        <v>60</v>
      </c>
      <c r="E41" s="421">
        <f t="shared" si="6"/>
        <v>4</v>
      </c>
      <c r="F41" s="421">
        <f>100-10</f>
        <v>90</v>
      </c>
      <c r="G41" s="421">
        <f>200-10</f>
        <v>190</v>
      </c>
      <c r="H41" s="421">
        <v>10</v>
      </c>
      <c r="I41" s="422">
        <f t="shared" si="7"/>
        <v>11.045622226154116</v>
      </c>
      <c r="J41" s="422">
        <f t="shared" si="8"/>
        <v>6.4918940417166029</v>
      </c>
      <c r="K41" s="420">
        <v>32</v>
      </c>
      <c r="L41" s="423">
        <f t="shared" si="3"/>
        <v>25.967576166866412</v>
      </c>
      <c r="M41" s="115"/>
      <c r="O41" s="342" t="s">
        <v>383</v>
      </c>
      <c r="P41" s="403">
        <f t="shared" si="9"/>
        <v>11.985035153938343</v>
      </c>
      <c r="Q41" s="403">
        <f t="shared" si="9"/>
        <v>13.982541012928067</v>
      </c>
      <c r="R41" s="403">
        <f t="shared" si="9"/>
        <v>15.980046871917793</v>
      </c>
      <c r="S41" s="403">
        <f t="shared" si="9"/>
        <v>17.977552730907515</v>
      </c>
      <c r="T41" s="403">
        <f t="shared" si="9"/>
        <v>19.975058589897237</v>
      </c>
    </row>
    <row r="42" spans="1:32" ht="30.75" customHeight="1">
      <c r="A42" s="342" t="s">
        <v>382</v>
      </c>
      <c r="B42" s="420">
        <v>9</v>
      </c>
      <c r="C42" s="421">
        <v>210</v>
      </c>
      <c r="D42" s="421">
        <f t="shared" si="1"/>
        <v>105</v>
      </c>
      <c r="E42" s="421">
        <f t="shared" si="6"/>
        <v>4</v>
      </c>
      <c r="F42" s="421">
        <f>100-10</f>
        <v>90</v>
      </c>
      <c r="G42" s="421">
        <f>200-10</f>
        <v>190</v>
      </c>
      <c r="H42" s="421">
        <v>10</v>
      </c>
      <c r="I42" s="422">
        <f t="shared" si="7"/>
        <v>11.045622226154116</v>
      </c>
      <c r="J42" s="422">
        <f t="shared" si="8"/>
        <v>6.4918940417166029</v>
      </c>
      <c r="K42" s="420">
        <v>32</v>
      </c>
      <c r="L42" s="423">
        <f t="shared" si="3"/>
        <v>25.967576166866412</v>
      </c>
      <c r="M42" s="115"/>
      <c r="O42" s="342" t="s">
        <v>382</v>
      </c>
      <c r="P42" s="403">
        <f t="shared" si="9"/>
        <v>11.985035153938343</v>
      </c>
      <c r="Q42" s="403">
        <f t="shared" si="9"/>
        <v>13.982541012928067</v>
      </c>
      <c r="R42" s="403">
        <f t="shared" si="9"/>
        <v>15.980046871917793</v>
      </c>
      <c r="S42" s="403">
        <f t="shared" si="9"/>
        <v>17.977552730907515</v>
      </c>
      <c r="T42" s="403">
        <f t="shared" si="9"/>
        <v>19.975058589897237</v>
      </c>
    </row>
    <row r="43" spans="1:32">
      <c r="A43" s="21" t="s">
        <v>37</v>
      </c>
      <c r="B43" t="str">
        <f>B184</f>
        <v>GL24h</v>
      </c>
      <c r="I43" s="390" t="s">
        <v>308</v>
      </c>
      <c r="J43" s="22">
        <v>0.3</v>
      </c>
      <c r="M43" s="115"/>
      <c r="O43" s="418"/>
      <c r="P43" s="419"/>
      <c r="Q43" s="419"/>
      <c r="R43" s="419"/>
      <c r="S43" s="419"/>
      <c r="T43" s="419"/>
    </row>
    <row r="44" spans="1:32" ht="18">
      <c r="A44" s="23" t="s">
        <v>39</v>
      </c>
      <c r="B44" s="24">
        <f>VLOOKUP(B43,$V$7:$W$16,2,FALSE)</f>
        <v>385</v>
      </c>
      <c r="C44" t="s">
        <v>40</v>
      </c>
      <c r="M44" s="115"/>
      <c r="O44" s="418"/>
      <c r="P44" s="419"/>
      <c r="Q44" s="419"/>
      <c r="R44" s="419"/>
      <c r="S44" s="419"/>
      <c r="T44" s="419"/>
    </row>
    <row r="45" spans="1:32" ht="30.75" customHeight="1">
      <c r="M45" s="115"/>
      <c r="O45" s="418"/>
      <c r="P45" s="419"/>
      <c r="Q45" s="419"/>
      <c r="R45" s="419"/>
      <c r="S45" s="419"/>
      <c r="T45" s="419"/>
    </row>
    <row r="47" spans="1:32" ht="24" thickBot="1">
      <c r="A47" s="1" t="s">
        <v>378</v>
      </c>
      <c r="V47" s="737" t="s">
        <v>38</v>
      </c>
      <c r="W47" s="737"/>
      <c r="X47" s="737"/>
      <c r="Y47" s="2"/>
      <c r="Z47" s="2"/>
    </row>
    <row r="48" spans="1:32">
      <c r="V48" s="733" t="s">
        <v>41</v>
      </c>
      <c r="W48" s="734"/>
      <c r="X48" s="734"/>
      <c r="Y48" s="734"/>
      <c r="Z48" s="734"/>
      <c r="AA48" s="25"/>
      <c r="AB48" s="734" t="s">
        <v>42</v>
      </c>
      <c r="AC48" s="734"/>
      <c r="AD48" s="734"/>
      <c r="AE48" s="734"/>
      <c r="AF48" s="736"/>
    </row>
    <row r="49" spans="1:32">
      <c r="V49" s="26"/>
      <c r="W49" s="54">
        <v>0.6</v>
      </c>
      <c r="X49" s="54">
        <v>0.7</v>
      </c>
      <c r="Y49" s="54">
        <v>0.8</v>
      </c>
      <c r="Z49" s="54">
        <v>0.9</v>
      </c>
      <c r="AA49" s="28"/>
      <c r="AB49" s="28"/>
      <c r="AC49" s="54">
        <v>0.6</v>
      </c>
      <c r="AD49" s="54">
        <v>0.7</v>
      </c>
      <c r="AE49" s="54">
        <v>0.8</v>
      </c>
      <c r="AF49" s="55">
        <v>0.9</v>
      </c>
    </row>
    <row r="50" spans="1:32" ht="18">
      <c r="A50" s="4" t="s">
        <v>2</v>
      </c>
      <c r="B50" s="5" t="s">
        <v>3</v>
      </c>
      <c r="C50" s="5" t="s">
        <v>43</v>
      </c>
      <c r="D50" s="5" t="s">
        <v>9</v>
      </c>
      <c r="E50" s="5" t="s">
        <v>44</v>
      </c>
      <c r="F50" s="5" t="s">
        <v>45</v>
      </c>
      <c r="G50" s="5" t="s">
        <v>12</v>
      </c>
      <c r="H50" s="5" t="s">
        <v>9</v>
      </c>
      <c r="I50" s="5" t="s">
        <v>46</v>
      </c>
      <c r="J50" s="5" t="s">
        <v>47</v>
      </c>
      <c r="K50" s="6" t="s">
        <v>48</v>
      </c>
      <c r="L50" s="738" t="s">
        <v>49</v>
      </c>
      <c r="O50" s="4" t="s">
        <v>2</v>
      </c>
      <c r="P50" s="682" t="s">
        <v>14</v>
      </c>
      <c r="Q50" s="683"/>
      <c r="R50" s="683"/>
      <c r="S50" s="683"/>
      <c r="T50" s="684"/>
      <c r="V50" s="26">
        <v>350</v>
      </c>
      <c r="W50" s="30">
        <v>2.9938688541772382</v>
      </c>
      <c r="X50" s="30">
        <v>3.4928469965401114</v>
      </c>
      <c r="Y50" s="30">
        <v>3.9918251389029846</v>
      </c>
      <c r="Z50" s="30">
        <v>4.4908032812658574</v>
      </c>
      <c r="AA50" s="28"/>
      <c r="AB50" s="28">
        <v>350</v>
      </c>
      <c r="AC50" s="30">
        <v>3.2659363540411106</v>
      </c>
      <c r="AD50" s="30">
        <v>3.8102590797146281</v>
      </c>
      <c r="AE50" s="30">
        <v>4.3545818053881478</v>
      </c>
      <c r="AF50" s="31">
        <v>4.8989045310616657</v>
      </c>
    </row>
    <row r="51" spans="1:32">
      <c r="A51" s="8"/>
      <c r="B51" s="9" t="s">
        <v>17</v>
      </c>
      <c r="C51" s="9" t="s">
        <v>19</v>
      </c>
      <c r="D51" s="9" t="s">
        <v>18</v>
      </c>
      <c r="E51" s="9" t="s">
        <v>18</v>
      </c>
      <c r="F51" s="9" t="s">
        <v>17</v>
      </c>
      <c r="G51" s="9" t="s">
        <v>17</v>
      </c>
      <c r="H51" s="9" t="s">
        <v>18</v>
      </c>
      <c r="I51" s="9" t="s">
        <v>18</v>
      </c>
      <c r="J51" s="9" t="s">
        <v>17</v>
      </c>
      <c r="K51" s="10" t="s">
        <v>17</v>
      </c>
      <c r="L51" s="738"/>
      <c r="M51" s="32"/>
      <c r="O51" s="8"/>
      <c r="P51" s="11">
        <v>0.6</v>
      </c>
      <c r="Q51" s="11">
        <v>0.7</v>
      </c>
      <c r="R51" s="11">
        <v>0.8</v>
      </c>
      <c r="S51" s="11">
        <v>0.9</v>
      </c>
      <c r="T51" s="11">
        <v>1</v>
      </c>
      <c r="V51" s="26">
        <v>380</v>
      </c>
      <c r="W51" s="30">
        <v>3.197460691061587</v>
      </c>
      <c r="X51" s="30">
        <v>3.7303708062385179</v>
      </c>
      <c r="Y51" s="30">
        <v>4.2632809214154497</v>
      </c>
      <c r="Z51" s="30">
        <v>4.796191036592381</v>
      </c>
      <c r="AA51" s="28"/>
      <c r="AB51" s="28">
        <v>380</v>
      </c>
      <c r="AC51" s="30">
        <v>3.4880295765077078</v>
      </c>
      <c r="AD51" s="30">
        <v>4.0693678392589918</v>
      </c>
      <c r="AE51" s="30">
        <v>4.6507061020102771</v>
      </c>
      <c r="AF51" s="31">
        <v>5.2320443647615615</v>
      </c>
    </row>
    <row r="52" spans="1:32">
      <c r="A52" s="33" t="s">
        <v>50</v>
      </c>
      <c r="B52" s="34">
        <v>9</v>
      </c>
      <c r="C52" s="35">
        <v>2</v>
      </c>
      <c r="D52" s="35">
        <v>6</v>
      </c>
      <c r="E52" s="35">
        <v>45</v>
      </c>
      <c r="F52" s="34">
        <f t="shared" ref="F52:F57" si="10">(0.52*SQRT(D52)*E52^0.9*$B$60^0.8)/1200</f>
        <v>3.5403273542111484</v>
      </c>
      <c r="G52" s="35">
        <v>10.5</v>
      </c>
      <c r="H52" s="35">
        <v>12</v>
      </c>
      <c r="I52" s="35">
        <v>49</v>
      </c>
      <c r="J52" s="34">
        <f t="shared" ref="J52:J57" si="11">(0.52*SQRT(H52)*I52^0.9*$B$60^0.8)/1000</f>
        <v>6.4867158507173501</v>
      </c>
      <c r="K52" s="36">
        <f t="shared" ref="K52:K57" si="12">MIN(C52*F52,C52*G52,J52,C52*B52)</f>
        <v>6.4867158507173501</v>
      </c>
      <c r="L52" s="37"/>
      <c r="M52" s="38"/>
      <c r="O52" s="33" t="s">
        <v>50</v>
      </c>
      <c r="P52" s="13">
        <f t="shared" ref="P52:T54" si="13">MIN($C52*$F52*P$51/1.3,$C52*$G52/1.25,$J52*P$51/1.3,$C52*$B52/1)</f>
        <v>2.9938688541772382</v>
      </c>
      <c r="Q52" s="13">
        <f t="shared" si="13"/>
        <v>3.4928469965401114</v>
      </c>
      <c r="R52" s="13">
        <f t="shared" si="13"/>
        <v>3.9918251389029846</v>
      </c>
      <c r="S52" s="13">
        <f t="shared" si="13"/>
        <v>4.4908032812658574</v>
      </c>
      <c r="T52" s="13">
        <f t="shared" si="13"/>
        <v>4.989781423628731</v>
      </c>
      <c r="V52" s="26">
        <v>410</v>
      </c>
      <c r="W52" s="30">
        <v>3.3978595400497134</v>
      </c>
      <c r="X52" s="30">
        <v>3.9641694633913325</v>
      </c>
      <c r="Y52" s="30">
        <v>4.5304793867329511</v>
      </c>
      <c r="Z52" s="30">
        <v>5.0967893100745707</v>
      </c>
      <c r="AA52" s="28"/>
      <c r="AB52" s="28">
        <v>410</v>
      </c>
      <c r="AC52" s="30">
        <v>3.7066396486573718</v>
      </c>
      <c r="AD52" s="30">
        <v>4.3244129234336004</v>
      </c>
      <c r="AE52" s="30">
        <v>4.9421861982098294</v>
      </c>
      <c r="AF52" s="31">
        <v>5.5599594729860575</v>
      </c>
    </row>
    <row r="53" spans="1:32" ht="15.75" thickBot="1">
      <c r="A53" s="39" t="s">
        <v>51</v>
      </c>
      <c r="B53" s="40">
        <v>9</v>
      </c>
      <c r="C53" s="41">
        <v>2</v>
      </c>
      <c r="D53" s="41">
        <v>6</v>
      </c>
      <c r="E53" s="41">
        <v>45</v>
      </c>
      <c r="F53" s="40">
        <f t="shared" si="10"/>
        <v>3.5403273542111484</v>
      </c>
      <c r="G53" s="41">
        <v>10.5</v>
      </c>
      <c r="H53" s="41">
        <v>12</v>
      </c>
      <c r="I53" s="41">
        <v>45</v>
      </c>
      <c r="J53" s="40">
        <f t="shared" si="11"/>
        <v>6.0081347514790338</v>
      </c>
      <c r="K53" s="42">
        <f t="shared" si="12"/>
        <v>6.0081347514790338</v>
      </c>
      <c r="L53" s="43">
        <f>K53/K52</f>
        <v>0.92622135603713995</v>
      </c>
      <c r="M53" s="38"/>
      <c r="O53" s="44"/>
      <c r="P53" s="13"/>
      <c r="Q53" s="13"/>
      <c r="R53" s="13"/>
      <c r="S53" s="13"/>
      <c r="T53" s="13"/>
      <c r="V53" s="26">
        <v>430</v>
      </c>
      <c r="W53" s="30">
        <v>3.5298244030214643</v>
      </c>
      <c r="X53" s="30">
        <v>4.1181284701917082</v>
      </c>
      <c r="Y53" s="30">
        <v>4.7064325373619527</v>
      </c>
      <c r="Z53" s="30">
        <v>5.2947366045321962</v>
      </c>
      <c r="AA53" s="28"/>
      <c r="AB53" s="28">
        <v>430</v>
      </c>
      <c r="AC53" s="30">
        <v>3.8505968039062237</v>
      </c>
      <c r="AD53" s="30">
        <v>4.4923629378905945</v>
      </c>
      <c r="AE53" s="30">
        <v>5.1341290718749653</v>
      </c>
      <c r="AF53" s="31">
        <v>5.7758952058593351</v>
      </c>
    </row>
    <row r="54" spans="1:32">
      <c r="A54" s="45" t="s">
        <v>52</v>
      </c>
      <c r="B54" s="46">
        <v>9</v>
      </c>
      <c r="C54" s="47">
        <v>2</v>
      </c>
      <c r="D54" s="47">
        <v>10</v>
      </c>
      <c r="E54" s="47">
        <v>50</v>
      </c>
      <c r="F54" s="46">
        <f t="shared" si="10"/>
        <v>5.0251558670694791</v>
      </c>
      <c r="G54" s="47">
        <v>28</v>
      </c>
      <c r="H54" s="47">
        <v>16</v>
      </c>
      <c r="I54" s="47">
        <v>46</v>
      </c>
      <c r="J54" s="46">
        <f t="shared" si="11"/>
        <v>7.0761954337557391</v>
      </c>
      <c r="K54" s="48">
        <f t="shared" si="12"/>
        <v>7.0761954337557391</v>
      </c>
      <c r="L54" s="49"/>
      <c r="M54" s="38"/>
      <c r="O54" s="45" t="s">
        <v>52</v>
      </c>
      <c r="P54" s="13">
        <f t="shared" si="13"/>
        <v>3.2659363540411106</v>
      </c>
      <c r="Q54" s="13">
        <f t="shared" si="13"/>
        <v>3.8102590797146281</v>
      </c>
      <c r="R54" s="13">
        <f t="shared" si="13"/>
        <v>4.3545818053881478</v>
      </c>
      <c r="S54" s="13">
        <f t="shared" si="13"/>
        <v>4.8989045310616657</v>
      </c>
      <c r="T54" s="13">
        <f t="shared" si="13"/>
        <v>5.4432272567351836</v>
      </c>
      <c r="V54" s="26">
        <v>450</v>
      </c>
      <c r="W54" s="30">
        <v>3.6605668950708412</v>
      </c>
      <c r="X54" s="30">
        <v>4.2706613775826483</v>
      </c>
      <c r="Y54" s="30">
        <v>4.8807558600944558</v>
      </c>
      <c r="Z54" s="30">
        <v>5.4908503426062625</v>
      </c>
      <c r="AA54" s="28"/>
      <c r="AB54" s="28">
        <v>450</v>
      </c>
      <c r="AC54" s="30">
        <v>3.9932205054107892</v>
      </c>
      <c r="AD54" s="30">
        <v>4.6587572563125876</v>
      </c>
      <c r="AE54" s="30">
        <v>5.3242940072143865</v>
      </c>
      <c r="AF54" s="31">
        <v>5.9898307581161854</v>
      </c>
    </row>
    <row r="55" spans="1:32">
      <c r="A55" s="33" t="s">
        <v>53</v>
      </c>
      <c r="B55" s="34">
        <v>9</v>
      </c>
      <c r="C55" s="35">
        <v>2</v>
      </c>
      <c r="D55" s="35">
        <v>10</v>
      </c>
      <c r="E55" s="35">
        <v>45</v>
      </c>
      <c r="F55" s="34">
        <f t="shared" si="10"/>
        <v>4.5705429609941151</v>
      </c>
      <c r="G55" s="35">
        <v>28</v>
      </c>
      <c r="H55" s="35">
        <v>16</v>
      </c>
      <c r="I55" s="35">
        <v>45</v>
      </c>
      <c r="J55" s="34">
        <f t="shared" si="11"/>
        <v>6.9375964321879318</v>
      </c>
      <c r="K55" s="36">
        <f t="shared" si="12"/>
        <v>6.9375964321879318</v>
      </c>
      <c r="L55" s="50">
        <f>K55/K54</f>
        <v>0.98041334459098661</v>
      </c>
      <c r="M55" s="38"/>
      <c r="P55" s="51"/>
      <c r="Q55" s="51"/>
      <c r="R55" s="51"/>
      <c r="S55" s="51"/>
      <c r="V55" s="26">
        <v>400</v>
      </c>
      <c r="W55" s="30">
        <v>3.3313965360014084</v>
      </c>
      <c r="X55" s="30">
        <v>3.886629292001643</v>
      </c>
      <c r="Y55" s="30">
        <v>4.4418620480018784</v>
      </c>
      <c r="Z55" s="30">
        <v>4.9970948040021135</v>
      </c>
      <c r="AA55" s="28"/>
      <c r="AB55" s="28">
        <v>400</v>
      </c>
      <c r="AC55" s="30">
        <v>3.6341368264922393</v>
      </c>
      <c r="AD55" s="30">
        <v>4.2398262975742789</v>
      </c>
      <c r="AE55" s="30">
        <v>4.8455157686563188</v>
      </c>
      <c r="AF55" s="31">
        <v>5.4512052397383588</v>
      </c>
    </row>
    <row r="56" spans="1:32">
      <c r="A56" s="33" t="s">
        <v>54</v>
      </c>
      <c r="B56" s="34">
        <v>9</v>
      </c>
      <c r="C56" s="35">
        <v>2</v>
      </c>
      <c r="D56" s="35">
        <v>10</v>
      </c>
      <c r="E56" s="35">
        <v>50</v>
      </c>
      <c r="F56" s="34">
        <f t="shared" si="10"/>
        <v>5.0251558670694791</v>
      </c>
      <c r="G56" s="35">
        <v>28</v>
      </c>
      <c r="H56" s="35">
        <v>10</v>
      </c>
      <c r="I56" s="35">
        <v>60</v>
      </c>
      <c r="J56" s="34">
        <f t="shared" si="11"/>
        <v>7.1054879039275578</v>
      </c>
      <c r="K56" s="36">
        <f t="shared" si="12"/>
        <v>7.1054879039275578</v>
      </c>
      <c r="L56" s="50">
        <f>K56/K54</f>
        <v>1.0041395790218122</v>
      </c>
      <c r="M56" s="38"/>
      <c r="P56" s="51"/>
      <c r="Q56" s="51"/>
      <c r="R56" s="51"/>
      <c r="S56" s="51"/>
      <c r="V56" s="26"/>
      <c r="W56" s="27"/>
      <c r="X56" s="27"/>
      <c r="Y56" s="27"/>
      <c r="Z56" s="27"/>
      <c r="AA56" s="28"/>
      <c r="AB56" s="28"/>
      <c r="AC56" s="28"/>
      <c r="AD56" s="28"/>
      <c r="AE56" s="28"/>
      <c r="AF56" s="52"/>
    </row>
    <row r="57" spans="1:32">
      <c r="A57" s="45" t="s">
        <v>52</v>
      </c>
      <c r="B57" s="46">
        <v>9</v>
      </c>
      <c r="C57" s="47">
        <v>2</v>
      </c>
      <c r="D57" s="47">
        <v>6</v>
      </c>
      <c r="E57" s="47">
        <v>45</v>
      </c>
      <c r="F57" s="46">
        <f t="shared" si="10"/>
        <v>3.5403273542111484</v>
      </c>
      <c r="G57" s="47">
        <v>28</v>
      </c>
      <c r="H57" s="47">
        <v>16</v>
      </c>
      <c r="I57" s="47">
        <v>46</v>
      </c>
      <c r="J57" s="46">
        <f t="shared" si="11"/>
        <v>7.0761954337557391</v>
      </c>
      <c r="K57" s="48">
        <f t="shared" si="12"/>
        <v>7.0761954337557391</v>
      </c>
      <c r="L57" s="53"/>
      <c r="V57" s="709" t="s">
        <v>55</v>
      </c>
      <c r="W57" s="710"/>
      <c r="X57" s="710"/>
      <c r="Y57" s="710"/>
      <c r="Z57" s="710"/>
      <c r="AA57" s="28"/>
      <c r="AB57" s="710" t="s">
        <v>56</v>
      </c>
      <c r="AC57" s="710"/>
      <c r="AD57" s="710"/>
      <c r="AE57" s="710"/>
      <c r="AF57" s="711"/>
    </row>
    <row r="58" spans="1:32">
      <c r="V58" s="26"/>
      <c r="W58" s="27">
        <v>0.6</v>
      </c>
      <c r="X58" s="27">
        <v>0.7</v>
      </c>
      <c r="Y58" s="27">
        <v>0.8</v>
      </c>
      <c r="Z58" s="27">
        <v>0.9</v>
      </c>
      <c r="AA58" s="28"/>
      <c r="AB58" s="28"/>
      <c r="AC58" s="27">
        <v>0.6</v>
      </c>
      <c r="AD58" s="27">
        <v>0.7</v>
      </c>
      <c r="AE58" s="27">
        <v>0.8</v>
      </c>
      <c r="AF58" s="29">
        <v>0.9</v>
      </c>
    </row>
    <row r="59" spans="1:32">
      <c r="A59" s="21" t="s">
        <v>37</v>
      </c>
      <c r="B59" s="22" t="s">
        <v>22</v>
      </c>
      <c r="V59" s="26">
        <v>350</v>
      </c>
      <c r="W59" s="30">
        <v>2.9938688541772382</v>
      </c>
      <c r="X59" s="30">
        <v>3.4928469965401114</v>
      </c>
      <c r="Y59" s="30">
        <v>3.9918251389029846</v>
      </c>
      <c r="Z59" s="30">
        <v>4.4908032812658574</v>
      </c>
      <c r="AA59" s="28"/>
      <c r="AB59" s="28">
        <v>350</v>
      </c>
      <c r="AC59" s="30">
        <v>3.2659363540411106</v>
      </c>
      <c r="AD59" s="30">
        <v>3.8102590797146281</v>
      </c>
      <c r="AE59" s="30">
        <v>4.3545818053881478</v>
      </c>
      <c r="AF59" s="31">
        <v>4.8989045310616657</v>
      </c>
    </row>
    <row r="60" spans="1:32" ht="18">
      <c r="A60" s="23" t="s">
        <v>39</v>
      </c>
      <c r="B60" s="24">
        <f>VLOOKUP(B59,$V$7:$W$16,2,FALSE)</f>
        <v>350</v>
      </c>
      <c r="C60" t="s">
        <v>40</v>
      </c>
      <c r="V60" s="26">
        <v>380</v>
      </c>
      <c r="W60" s="30">
        <v>3.197460691061587</v>
      </c>
      <c r="X60" s="30">
        <v>3.7303708062385179</v>
      </c>
      <c r="Y60" s="30">
        <v>4.2632809214154497</v>
      </c>
      <c r="Z60" s="30">
        <v>4.796191036592381</v>
      </c>
      <c r="AA60" s="28"/>
      <c r="AB60" s="28">
        <v>380</v>
      </c>
      <c r="AC60" s="30">
        <v>3.4880295765077078</v>
      </c>
      <c r="AD60" s="30">
        <v>4.0693678392589918</v>
      </c>
      <c r="AE60" s="30">
        <v>4.6507061020102771</v>
      </c>
      <c r="AF60" s="31">
        <v>5.2320443647615615</v>
      </c>
    </row>
    <row r="61" spans="1:32">
      <c r="V61" s="26">
        <v>410</v>
      </c>
      <c r="W61" s="30">
        <v>3.3978595400497134</v>
      </c>
      <c r="X61" s="30">
        <v>3.9641694633913325</v>
      </c>
      <c r="Y61" s="30">
        <v>4.5304793867329511</v>
      </c>
      <c r="Z61" s="30">
        <v>5.0967893100745707</v>
      </c>
      <c r="AA61" s="28"/>
      <c r="AB61" s="28">
        <v>410</v>
      </c>
      <c r="AC61" s="30">
        <v>3.7066396486573718</v>
      </c>
      <c r="AD61" s="30">
        <v>4.3244129234336004</v>
      </c>
      <c r="AE61" s="30">
        <v>4.9421861982098294</v>
      </c>
      <c r="AF61" s="31">
        <v>5.5599594729860575</v>
      </c>
    </row>
    <row r="62" spans="1:32" ht="26.25">
      <c r="A62" s="1" t="s">
        <v>57</v>
      </c>
      <c r="V62" s="26">
        <v>430</v>
      </c>
      <c r="W62" s="30">
        <v>3.5298244030214643</v>
      </c>
      <c r="X62" s="30">
        <v>4.1181284701917082</v>
      </c>
      <c r="Y62" s="30">
        <v>4.7064325373619527</v>
      </c>
      <c r="Z62" s="30">
        <v>5.2947366045321962</v>
      </c>
      <c r="AA62" s="28"/>
      <c r="AB62" s="28">
        <v>430</v>
      </c>
      <c r="AC62" s="30">
        <v>3.8505968039062237</v>
      </c>
      <c r="AD62" s="30">
        <v>4.4923629378905945</v>
      </c>
      <c r="AE62" s="30">
        <v>5.1341290718749653</v>
      </c>
      <c r="AF62" s="31">
        <v>5.7758952058593351</v>
      </c>
    </row>
    <row r="63" spans="1:32" ht="23.25">
      <c r="A63" s="1"/>
      <c r="V63" s="26">
        <v>450</v>
      </c>
      <c r="W63" s="30">
        <v>3.6605668950708412</v>
      </c>
      <c r="X63" s="30">
        <v>4.2706613775826483</v>
      </c>
      <c r="Y63" s="30">
        <v>4.8807558600944558</v>
      </c>
      <c r="Z63" s="30">
        <v>5.4908503426062625</v>
      </c>
      <c r="AA63" s="28"/>
      <c r="AB63" s="28">
        <v>450</v>
      </c>
      <c r="AC63" s="30">
        <v>3.9932205054107892</v>
      </c>
      <c r="AD63" s="30">
        <v>4.6587572563125876</v>
      </c>
      <c r="AE63" s="30">
        <v>5.3242940072143865</v>
      </c>
      <c r="AF63" s="31">
        <v>5.9898307581161854</v>
      </c>
    </row>
    <row r="64" spans="1:32" ht="19.5" thickBot="1">
      <c r="A64" s="56" t="s">
        <v>58</v>
      </c>
      <c r="V64" s="57">
        <v>400</v>
      </c>
      <c r="W64" s="58">
        <v>3.3313965360014084</v>
      </c>
      <c r="X64" s="58">
        <v>3.886629292001643</v>
      </c>
      <c r="Y64" s="58">
        <v>4.4418620480018784</v>
      </c>
      <c r="Z64" s="58">
        <v>4.9970948040021135</v>
      </c>
      <c r="AA64" s="59"/>
      <c r="AB64" s="59">
        <v>400</v>
      </c>
      <c r="AC64" s="58">
        <v>3.6341368264922393</v>
      </c>
      <c r="AD64" s="58">
        <v>4.2398262975742789</v>
      </c>
      <c r="AE64" s="58">
        <v>4.8455157686563188</v>
      </c>
      <c r="AF64" s="60">
        <v>5.4512052397383588</v>
      </c>
    </row>
    <row r="65" spans="1:30">
      <c r="AA65" s="61"/>
      <c r="AB65" s="61"/>
      <c r="AC65" s="61"/>
      <c r="AD65" s="61"/>
    </row>
    <row r="66" spans="1:30">
      <c r="A66" s="21" t="s">
        <v>37</v>
      </c>
      <c r="B66" t="str">
        <f>'Load bearing values_GIGANT_EN'!E5</f>
        <v>GL24h</v>
      </c>
      <c r="AA66" s="61"/>
      <c r="AB66" s="61"/>
      <c r="AC66" s="61"/>
      <c r="AD66" s="61"/>
    </row>
    <row r="67" spans="1:30" ht="18">
      <c r="A67" s="23" t="s">
        <v>39</v>
      </c>
      <c r="B67" s="24">
        <f>VLOOKUP(B66,$V$7:$W$16,2,FALSE)</f>
        <v>385</v>
      </c>
      <c r="C67" t="s">
        <v>40</v>
      </c>
      <c r="AA67" s="61"/>
      <c r="AB67" s="61"/>
      <c r="AC67" s="61"/>
      <c r="AD67" s="61"/>
    </row>
    <row r="68" spans="1:30" ht="18">
      <c r="A68" s="23" t="s">
        <v>62</v>
      </c>
      <c r="B68" s="24">
        <v>23900</v>
      </c>
      <c r="C68" t="s">
        <v>63</v>
      </c>
      <c r="AA68" s="61"/>
      <c r="AB68" s="61"/>
      <c r="AC68" s="61"/>
      <c r="AD68" s="61"/>
    </row>
    <row r="69" spans="1:30">
      <c r="A69" s="23" t="s">
        <v>64</v>
      </c>
      <c r="B69" s="24">
        <v>10</v>
      </c>
      <c r="C69" t="s">
        <v>65</v>
      </c>
      <c r="AA69" s="61"/>
      <c r="AB69" s="61"/>
      <c r="AC69" s="61"/>
      <c r="AD69" s="61"/>
    </row>
    <row r="70" spans="1:30" ht="18">
      <c r="A70" s="23" t="s">
        <v>66</v>
      </c>
      <c r="B70" s="75">
        <f>0.033*B67*B69^-0.3</f>
        <v>6.3675838032344938</v>
      </c>
      <c r="C70" t="s">
        <v>67</v>
      </c>
      <c r="AA70" s="61"/>
      <c r="AB70" s="61"/>
      <c r="AC70" s="61"/>
      <c r="AD70" s="61"/>
    </row>
    <row r="71" spans="1:30" ht="18">
      <c r="A71" s="23" t="s">
        <v>68</v>
      </c>
      <c r="B71" s="76">
        <f>0.082*B69^-0.3*B67</f>
        <v>15.822480965612984</v>
      </c>
      <c r="C71" t="s">
        <v>67</v>
      </c>
      <c r="AA71" s="61"/>
      <c r="AB71" s="61"/>
      <c r="AC71" s="61"/>
      <c r="AD71" s="61"/>
    </row>
    <row r="72" spans="1:30">
      <c r="AA72" s="61"/>
      <c r="AB72" s="61"/>
      <c r="AC72" s="61"/>
      <c r="AD72" s="61"/>
    </row>
    <row r="73" spans="1:30" ht="18">
      <c r="A73" s="4" t="s">
        <v>2</v>
      </c>
      <c r="B73" s="5" t="s">
        <v>43</v>
      </c>
      <c r="C73" s="5" t="s">
        <v>44</v>
      </c>
      <c r="D73" s="5" t="s">
        <v>59</v>
      </c>
      <c r="E73" s="5" t="s">
        <v>60</v>
      </c>
      <c r="F73" s="5" t="s">
        <v>43</v>
      </c>
      <c r="G73" s="5" t="s">
        <v>44</v>
      </c>
      <c r="H73" s="5" t="s">
        <v>59</v>
      </c>
      <c r="I73" s="5" t="s">
        <v>60</v>
      </c>
      <c r="J73" s="5" t="s">
        <v>61</v>
      </c>
      <c r="P73"/>
      <c r="Q73"/>
      <c r="AA73" s="61"/>
      <c r="AB73" s="61"/>
      <c r="AC73" s="61"/>
      <c r="AD73" s="61"/>
    </row>
    <row r="74" spans="1:30">
      <c r="A74" s="8"/>
      <c r="B74" s="9" t="s">
        <v>19</v>
      </c>
      <c r="C74" s="9" t="s">
        <v>18</v>
      </c>
      <c r="D74" s="9" t="s">
        <v>17</v>
      </c>
      <c r="E74" s="9" t="s">
        <v>17</v>
      </c>
      <c r="F74" s="9" t="s">
        <v>19</v>
      </c>
      <c r="G74" s="9" t="s">
        <v>18</v>
      </c>
      <c r="H74" s="9" t="s">
        <v>17</v>
      </c>
      <c r="I74" s="9" t="s">
        <v>17</v>
      </c>
      <c r="J74" s="62" t="s">
        <v>17</v>
      </c>
      <c r="P74"/>
      <c r="Q74"/>
      <c r="AA74" s="61"/>
      <c r="AB74" s="61"/>
      <c r="AC74" s="61"/>
      <c r="AD74" s="61"/>
    </row>
    <row r="75" spans="1:30" ht="45">
      <c r="A75" s="68" t="s">
        <v>372</v>
      </c>
      <c r="B75" s="69">
        <v>1</v>
      </c>
      <c r="C75" s="63">
        <v>84</v>
      </c>
      <c r="D75" s="64">
        <f t="shared" ref="D75:D82" si="14">($H$83*0.52*SQRT($B$69)*C75^0.9*$B$67^0.8)/1000</f>
        <v>6.2283718772573966</v>
      </c>
      <c r="E75" s="64">
        <f t="shared" ref="E75:E82" si="15">MIN((2.3*SQRT($B$68*$B$70*$B$69))/1000+D75/4,C75*$B$70*$B$69/1000,C75*$B$70*$B$69/1000*(SQRT(2+4*$B$68/$B$70/$B$69/C75^2)-1)+D75/4)</f>
        <v>4.1648356039773766</v>
      </c>
      <c r="F75" s="69">
        <v>2</v>
      </c>
      <c r="G75" s="63">
        <v>84</v>
      </c>
      <c r="H75" s="64">
        <f t="shared" ref="H75:H82" si="16">($H$83*0.52*SQRT($B$69)*G75^0.9*$B$67^0.8)/1000</f>
        <v>6.2283718772573966</v>
      </c>
      <c r="I75" s="64">
        <f t="shared" ref="I75:I82" si="17">MIN((2.3*SQRT($B$68*$B$70*$B$69))/1000+H75/4,G75*$B$70*$B$69/1000,G75*$B$70*$B$69/1000*(SQRT(2+4*$B$68/$B$70/$B$69/G75^2)-1)+H75/4)</f>
        <v>4.1648356039773766</v>
      </c>
      <c r="J75" s="64">
        <f t="shared" ref="J75:J82" si="18">E75*B75+F75*I75</f>
        <v>12.49450681193213</v>
      </c>
      <c r="P75"/>
      <c r="Q75"/>
      <c r="AA75" s="61"/>
      <c r="AB75" s="61"/>
      <c r="AC75" s="61"/>
      <c r="AD75" s="61"/>
    </row>
    <row r="76" spans="1:30" ht="45">
      <c r="A76" s="68" t="s">
        <v>800</v>
      </c>
      <c r="B76" s="69">
        <v>1</v>
      </c>
      <c r="C76" s="63">
        <v>164</v>
      </c>
      <c r="D76" s="64">
        <f t="shared" si="14"/>
        <v>11.373199070320702</v>
      </c>
      <c r="E76" s="64">
        <f t="shared" si="15"/>
        <v>5.6806576720870083</v>
      </c>
      <c r="F76" s="69">
        <v>2</v>
      </c>
      <c r="G76" s="63">
        <v>164</v>
      </c>
      <c r="H76" s="64">
        <f t="shared" si="16"/>
        <v>11.373199070320702</v>
      </c>
      <c r="I76" s="64">
        <f t="shared" si="17"/>
        <v>5.6806576720870083</v>
      </c>
      <c r="J76" s="64">
        <f t="shared" si="18"/>
        <v>17.041973016261025</v>
      </c>
      <c r="P76"/>
      <c r="Q76"/>
      <c r="AA76" s="61"/>
      <c r="AB76" s="61"/>
      <c r="AC76" s="61"/>
      <c r="AD76" s="61"/>
    </row>
    <row r="77" spans="1:30" ht="60" customHeight="1">
      <c r="A77" s="67" t="s">
        <v>373</v>
      </c>
      <c r="B77" s="69">
        <v>1</v>
      </c>
      <c r="C77" s="63">
        <v>84</v>
      </c>
      <c r="D77" s="64">
        <f t="shared" si="14"/>
        <v>6.2283718772573966</v>
      </c>
      <c r="E77" s="64">
        <f t="shared" si="15"/>
        <v>4.1648356039773766</v>
      </c>
      <c r="F77" s="69">
        <v>3</v>
      </c>
      <c r="G77" s="63">
        <v>84</v>
      </c>
      <c r="H77" s="64">
        <f t="shared" si="16"/>
        <v>6.2283718772573966</v>
      </c>
      <c r="I77" s="64">
        <f t="shared" si="17"/>
        <v>4.1648356039773766</v>
      </c>
      <c r="J77" s="64">
        <f t="shared" si="18"/>
        <v>16.659342415909506</v>
      </c>
      <c r="P77"/>
      <c r="Q77"/>
      <c r="AA77" s="61"/>
      <c r="AB77" s="61"/>
      <c r="AC77" s="61"/>
      <c r="AD77" s="61"/>
    </row>
    <row r="78" spans="1:30" ht="60" customHeight="1">
      <c r="A78" s="67" t="s">
        <v>801</v>
      </c>
      <c r="B78" s="69">
        <v>1</v>
      </c>
      <c r="C78" s="63">
        <v>164</v>
      </c>
      <c r="D78" s="64">
        <f t="shared" si="14"/>
        <v>11.373199070320702</v>
      </c>
      <c r="E78" s="64">
        <f t="shared" si="15"/>
        <v>5.6806576720870083</v>
      </c>
      <c r="F78" s="69">
        <v>3</v>
      </c>
      <c r="G78" s="63">
        <v>164</v>
      </c>
      <c r="H78" s="64">
        <f t="shared" si="16"/>
        <v>11.373199070320702</v>
      </c>
      <c r="I78" s="64">
        <f t="shared" si="17"/>
        <v>5.6806576720870083</v>
      </c>
      <c r="J78" s="64">
        <f t="shared" si="18"/>
        <v>22.722630688348033</v>
      </c>
      <c r="P78"/>
      <c r="Q78"/>
      <c r="AA78" s="61"/>
      <c r="AB78" s="61"/>
      <c r="AC78" s="61"/>
      <c r="AD78" s="61"/>
    </row>
    <row r="79" spans="1:30" ht="63" customHeight="1">
      <c r="A79" s="67" t="s">
        <v>374</v>
      </c>
      <c r="B79" s="69">
        <v>1</v>
      </c>
      <c r="C79" s="63">
        <v>84</v>
      </c>
      <c r="D79" s="64">
        <f t="shared" si="14"/>
        <v>6.2283718772573966</v>
      </c>
      <c r="E79" s="64">
        <f t="shared" si="15"/>
        <v>4.1648356039773766</v>
      </c>
      <c r="F79" s="69">
        <v>3</v>
      </c>
      <c r="G79" s="63">
        <v>84</v>
      </c>
      <c r="H79" s="64">
        <f t="shared" si="16"/>
        <v>6.2283718772573966</v>
      </c>
      <c r="I79" s="64">
        <f t="shared" si="17"/>
        <v>4.1648356039773766</v>
      </c>
      <c r="J79" s="64">
        <f t="shared" si="18"/>
        <v>16.659342415909506</v>
      </c>
      <c r="P79"/>
      <c r="Q79"/>
      <c r="AA79" s="61"/>
      <c r="AB79" s="61"/>
      <c r="AC79" s="61"/>
      <c r="AD79" s="61"/>
    </row>
    <row r="80" spans="1:30" ht="60">
      <c r="A80" s="67" t="s">
        <v>375</v>
      </c>
      <c r="B80" s="69">
        <v>1</v>
      </c>
      <c r="C80" s="63">
        <v>84</v>
      </c>
      <c r="D80" s="64">
        <f t="shared" si="14"/>
        <v>6.2283718772573966</v>
      </c>
      <c r="E80" s="64">
        <f t="shared" si="15"/>
        <v>4.1648356039773766</v>
      </c>
      <c r="F80" s="69">
        <v>5</v>
      </c>
      <c r="G80" s="63">
        <v>84</v>
      </c>
      <c r="H80" s="64">
        <f t="shared" si="16"/>
        <v>6.2283718772573966</v>
      </c>
      <c r="I80" s="64">
        <f t="shared" si="17"/>
        <v>4.1648356039773766</v>
      </c>
      <c r="J80" s="64">
        <f t="shared" si="18"/>
        <v>24.98901362386426</v>
      </c>
      <c r="P80"/>
      <c r="Q80"/>
      <c r="AA80" s="61"/>
      <c r="AB80" s="61"/>
      <c r="AC80" s="61"/>
      <c r="AD80" s="61"/>
    </row>
    <row r="81" spans="1:30" ht="60">
      <c r="A81" s="67" t="s">
        <v>802</v>
      </c>
      <c r="B81" s="69">
        <v>1</v>
      </c>
      <c r="C81" s="63">
        <v>164</v>
      </c>
      <c r="D81" s="64">
        <f t="shared" si="14"/>
        <v>11.373199070320702</v>
      </c>
      <c r="E81" s="64">
        <f t="shared" si="15"/>
        <v>5.6806576720870083</v>
      </c>
      <c r="F81" s="69">
        <v>5</v>
      </c>
      <c r="G81" s="63">
        <v>164</v>
      </c>
      <c r="H81" s="64">
        <f t="shared" si="16"/>
        <v>11.373199070320702</v>
      </c>
      <c r="I81" s="64">
        <f t="shared" si="17"/>
        <v>5.6806576720870083</v>
      </c>
      <c r="J81" s="64">
        <f t="shared" si="18"/>
        <v>34.08394603252205</v>
      </c>
      <c r="P81"/>
      <c r="Q81"/>
      <c r="AA81" s="61"/>
      <c r="AB81" s="61"/>
      <c r="AC81" s="61"/>
      <c r="AD81" s="61"/>
    </row>
    <row r="82" spans="1:30" ht="60">
      <c r="A82" s="67" t="s">
        <v>376</v>
      </c>
      <c r="B82" s="69">
        <v>1</v>
      </c>
      <c r="C82" s="63">
        <v>84</v>
      </c>
      <c r="D82" s="64">
        <f t="shared" si="14"/>
        <v>6.2283718772573966</v>
      </c>
      <c r="E82" s="64">
        <f t="shared" si="15"/>
        <v>4.1648356039773766</v>
      </c>
      <c r="F82" s="69">
        <v>4</v>
      </c>
      <c r="G82" s="63">
        <v>84</v>
      </c>
      <c r="H82" s="64">
        <f t="shared" si="16"/>
        <v>6.2283718772573966</v>
      </c>
      <c r="I82" s="64">
        <f t="shared" si="17"/>
        <v>4.1648356039773766</v>
      </c>
      <c r="J82" s="64">
        <f t="shared" si="18"/>
        <v>20.824178019886883</v>
      </c>
      <c r="P82"/>
      <c r="Q82"/>
      <c r="R82"/>
      <c r="S82"/>
      <c r="AA82" s="61"/>
      <c r="AB82" s="61"/>
      <c r="AC82" s="61"/>
      <c r="AD82" s="61"/>
    </row>
    <row r="83" spans="1:30">
      <c r="A83" s="70"/>
      <c r="B83" s="71"/>
      <c r="C83" s="72"/>
      <c r="D83" s="73"/>
      <c r="E83" s="73"/>
      <c r="F83" s="71"/>
      <c r="G83" s="72" t="s">
        <v>308</v>
      </c>
      <c r="H83" s="391">
        <v>0.6</v>
      </c>
      <c r="I83" s="73"/>
      <c r="J83" s="73"/>
      <c r="P83"/>
      <c r="Q83"/>
      <c r="R83"/>
      <c r="S83"/>
      <c r="AA83" s="61"/>
      <c r="AB83" s="61"/>
      <c r="AC83" s="61"/>
      <c r="AD83" s="61"/>
    </row>
    <row r="84" spans="1:30">
      <c r="A84" s="74"/>
      <c r="B84" s="71"/>
      <c r="C84" s="72"/>
      <c r="D84" s="73"/>
      <c r="E84" s="73"/>
      <c r="F84" s="71"/>
      <c r="G84" s="72"/>
      <c r="H84" s="73"/>
      <c r="I84" s="73"/>
      <c r="J84" s="73"/>
      <c r="P84"/>
      <c r="Q84"/>
      <c r="R84"/>
      <c r="S84"/>
      <c r="AA84" s="61"/>
      <c r="AB84" s="61"/>
      <c r="AC84" s="61"/>
      <c r="AD84" s="61"/>
    </row>
    <row r="85" spans="1:30">
      <c r="P85"/>
      <c r="Q85"/>
      <c r="R85"/>
      <c r="S85"/>
      <c r="AA85" s="61"/>
      <c r="AB85" s="61"/>
      <c r="AC85" s="61"/>
      <c r="AD85" s="61"/>
    </row>
    <row r="86" spans="1:30">
      <c r="F86" s="24"/>
      <c r="G86" s="24"/>
      <c r="H86" s="24"/>
      <c r="I86" s="24"/>
      <c r="J86" s="24"/>
      <c r="K86" s="24"/>
      <c r="P86"/>
      <c r="Q86"/>
      <c r="R86"/>
      <c r="S86"/>
      <c r="AA86" s="61"/>
      <c r="AB86" s="61"/>
      <c r="AC86" s="61"/>
      <c r="AD86" s="61"/>
    </row>
    <row r="87" spans="1:30" ht="18">
      <c r="A87" s="4" t="s">
        <v>2</v>
      </c>
      <c r="B87" s="5" t="s">
        <v>43</v>
      </c>
      <c r="C87" s="5" t="s">
        <v>44</v>
      </c>
      <c r="D87" s="5" t="s">
        <v>69</v>
      </c>
      <c r="E87" s="5" t="s">
        <v>70</v>
      </c>
      <c r="F87" s="5" t="s">
        <v>43</v>
      </c>
      <c r="G87" s="5" t="s">
        <v>44</v>
      </c>
      <c r="H87" s="5" t="s">
        <v>69</v>
      </c>
      <c r="I87" s="5" t="s">
        <v>70</v>
      </c>
      <c r="J87" s="5" t="s">
        <v>71</v>
      </c>
    </row>
    <row r="88" spans="1:30">
      <c r="A88" s="8"/>
      <c r="B88" s="9" t="s">
        <v>19</v>
      </c>
      <c r="C88" s="9" t="s">
        <v>18</v>
      </c>
      <c r="D88" s="9" t="s">
        <v>17</v>
      </c>
      <c r="E88" s="9" t="s">
        <v>17</v>
      </c>
      <c r="F88" s="9" t="s">
        <v>19</v>
      </c>
      <c r="G88" s="9" t="s">
        <v>18</v>
      </c>
      <c r="H88" s="9" t="s">
        <v>17</v>
      </c>
      <c r="I88" s="9" t="s">
        <v>17</v>
      </c>
      <c r="J88" s="62" t="s">
        <v>17</v>
      </c>
    </row>
    <row r="89" spans="1:30" ht="45">
      <c r="A89" s="68" t="s">
        <v>372</v>
      </c>
      <c r="B89" s="69">
        <v>1</v>
      </c>
      <c r="C89" s="63">
        <v>54</v>
      </c>
      <c r="D89" s="64">
        <f t="shared" ref="D89:D96" si="19">(0.52*SQRT($B$69)*C89^0.9*$B$67^0.8)/1000</f>
        <v>6.974712508553587</v>
      </c>
      <c r="E89" s="64">
        <f t="shared" ref="E89:E96" si="20">MIN((2.3*SQRT($B$68*$B$71*$B$69))/1000+D89/4,$B$71*C89*$B$69/1000,$B$71*C89*$B$69/1000*(SQRT(2+4*$B$68/$B$71/$B$69/C89^2)-1)+D89/4)</f>
        <v>5.8932746154210731</v>
      </c>
      <c r="F89" s="69">
        <v>2</v>
      </c>
      <c r="G89" s="63">
        <v>54</v>
      </c>
      <c r="H89" s="64">
        <f t="shared" ref="H89:H96" si="21">(0.52*SQRT($B$69)*G89^0.9*$B$67^0.8)/1000</f>
        <v>6.974712508553587</v>
      </c>
      <c r="I89" s="64">
        <f t="shared" ref="I89:I96" si="22">MIN((2.3*SQRT($B$68*$B$71*$B$69))/1000+H89/4,$B$71*G89*$B$69/1000,$B$71*G89*$B$69/1000*(SQRT(2+4*$B$68/$B$71/$B$69/G89^2)-1)+H89/4)</f>
        <v>5.8932746154210731</v>
      </c>
      <c r="J89" s="64">
        <f t="shared" ref="J89:J96" si="23">E89*B89+F89*I89</f>
        <v>17.679823846263218</v>
      </c>
    </row>
    <row r="90" spans="1:30" ht="45">
      <c r="A90" s="68" t="s">
        <v>800</v>
      </c>
      <c r="B90" s="69">
        <v>1</v>
      </c>
      <c r="C90" s="63">
        <v>54</v>
      </c>
      <c r="D90" s="64">
        <f t="shared" si="19"/>
        <v>6.974712508553587</v>
      </c>
      <c r="E90" s="64">
        <f t="shared" si="20"/>
        <v>5.8932746154210731</v>
      </c>
      <c r="F90" s="69">
        <v>2</v>
      </c>
      <c r="G90" s="63">
        <v>54</v>
      </c>
      <c r="H90" s="64">
        <f t="shared" si="21"/>
        <v>6.974712508553587</v>
      </c>
      <c r="I90" s="64">
        <f t="shared" si="22"/>
        <v>5.8932746154210731</v>
      </c>
      <c r="J90" s="64">
        <f t="shared" si="23"/>
        <v>17.679823846263218</v>
      </c>
    </row>
    <row r="91" spans="1:30" ht="58.9" customHeight="1">
      <c r="A91" s="67" t="s">
        <v>373</v>
      </c>
      <c r="B91" s="69">
        <v>1</v>
      </c>
      <c r="C91" s="63">
        <v>54</v>
      </c>
      <c r="D91" s="64">
        <f t="shared" si="19"/>
        <v>6.974712508553587</v>
      </c>
      <c r="E91" s="64">
        <f t="shared" si="20"/>
        <v>5.8932746154210731</v>
      </c>
      <c r="F91" s="69">
        <v>3</v>
      </c>
      <c r="G91" s="63">
        <v>54</v>
      </c>
      <c r="H91" s="64">
        <f t="shared" si="21"/>
        <v>6.974712508553587</v>
      </c>
      <c r="I91" s="64">
        <f t="shared" si="22"/>
        <v>5.8932746154210731</v>
      </c>
      <c r="J91" s="64">
        <f t="shared" si="23"/>
        <v>23.573098461684292</v>
      </c>
    </row>
    <row r="92" spans="1:30" ht="58.9" customHeight="1">
      <c r="A92" s="67" t="s">
        <v>801</v>
      </c>
      <c r="B92" s="69">
        <v>1</v>
      </c>
      <c r="C92" s="63">
        <v>54</v>
      </c>
      <c r="D92" s="64">
        <f t="shared" si="19"/>
        <v>6.974712508553587</v>
      </c>
      <c r="E92" s="64">
        <f t="shared" si="20"/>
        <v>5.8932746154210731</v>
      </c>
      <c r="F92" s="69">
        <v>3</v>
      </c>
      <c r="G92" s="63">
        <v>54</v>
      </c>
      <c r="H92" s="64">
        <f t="shared" si="21"/>
        <v>6.974712508553587</v>
      </c>
      <c r="I92" s="64">
        <f t="shared" si="22"/>
        <v>5.8932746154210731</v>
      </c>
      <c r="J92" s="64">
        <f t="shared" si="23"/>
        <v>23.573098461684292</v>
      </c>
    </row>
    <row r="93" spans="1:30" ht="55.9" customHeight="1">
      <c r="A93" s="67" t="s">
        <v>374</v>
      </c>
      <c r="B93" s="69">
        <v>1</v>
      </c>
      <c r="C93" s="63">
        <v>54</v>
      </c>
      <c r="D93" s="64">
        <f t="shared" si="19"/>
        <v>6.974712508553587</v>
      </c>
      <c r="E93" s="64">
        <f t="shared" si="20"/>
        <v>5.8932746154210731</v>
      </c>
      <c r="F93" s="69">
        <v>3</v>
      </c>
      <c r="G93" s="63">
        <v>54</v>
      </c>
      <c r="H93" s="64">
        <f t="shared" si="21"/>
        <v>6.974712508553587</v>
      </c>
      <c r="I93" s="64">
        <f t="shared" si="22"/>
        <v>5.8932746154210731</v>
      </c>
      <c r="J93" s="64">
        <f t="shared" si="23"/>
        <v>23.573098461684292</v>
      </c>
    </row>
    <row r="94" spans="1:30" ht="60">
      <c r="A94" s="67" t="s">
        <v>375</v>
      </c>
      <c r="B94" s="69">
        <v>1</v>
      </c>
      <c r="C94" s="63">
        <v>54</v>
      </c>
      <c r="D94" s="64">
        <f t="shared" si="19"/>
        <v>6.974712508553587</v>
      </c>
      <c r="E94" s="64">
        <f t="shared" si="20"/>
        <v>5.8932746154210731</v>
      </c>
      <c r="F94" s="69">
        <v>5</v>
      </c>
      <c r="G94" s="63">
        <v>54</v>
      </c>
      <c r="H94" s="64">
        <f t="shared" si="21"/>
        <v>6.974712508553587</v>
      </c>
      <c r="I94" s="64">
        <f t="shared" si="22"/>
        <v>5.8932746154210731</v>
      </c>
      <c r="J94" s="64">
        <f t="shared" si="23"/>
        <v>35.359647692526437</v>
      </c>
    </row>
    <row r="95" spans="1:30" ht="60">
      <c r="A95" s="67" t="s">
        <v>802</v>
      </c>
      <c r="B95" s="69">
        <v>1</v>
      </c>
      <c r="C95" s="63">
        <v>54</v>
      </c>
      <c r="D95" s="64">
        <f t="shared" si="19"/>
        <v>6.974712508553587</v>
      </c>
      <c r="E95" s="64">
        <f t="shared" si="20"/>
        <v>5.8932746154210731</v>
      </c>
      <c r="F95" s="69">
        <v>5</v>
      </c>
      <c r="G95" s="63">
        <v>54</v>
      </c>
      <c r="H95" s="64">
        <f t="shared" si="21"/>
        <v>6.974712508553587</v>
      </c>
      <c r="I95" s="64">
        <f t="shared" si="22"/>
        <v>5.8932746154210731</v>
      </c>
      <c r="J95" s="64">
        <f t="shared" si="23"/>
        <v>35.359647692526437</v>
      </c>
    </row>
    <row r="96" spans="1:30" ht="60">
      <c r="A96" s="67" t="s">
        <v>376</v>
      </c>
      <c r="B96" s="69">
        <v>1</v>
      </c>
      <c r="C96" s="63">
        <v>54</v>
      </c>
      <c r="D96" s="64">
        <f t="shared" si="19"/>
        <v>6.974712508553587</v>
      </c>
      <c r="E96" s="64">
        <f t="shared" si="20"/>
        <v>5.8932746154210731</v>
      </c>
      <c r="F96" s="69">
        <v>5</v>
      </c>
      <c r="G96" s="63">
        <v>54</v>
      </c>
      <c r="H96" s="64">
        <f t="shared" si="21"/>
        <v>6.974712508553587</v>
      </c>
      <c r="I96" s="64">
        <f t="shared" si="22"/>
        <v>5.8932746154210731</v>
      </c>
      <c r="J96" s="64">
        <f t="shared" si="23"/>
        <v>35.359647692526437</v>
      </c>
    </row>
    <row r="97" spans="1:20">
      <c r="A97" s="23"/>
      <c r="B97" s="77"/>
    </row>
    <row r="98" spans="1:20">
      <c r="A98" s="23"/>
      <c r="B98" s="77"/>
      <c r="F98" t="s">
        <v>72</v>
      </c>
      <c r="G98" s="3"/>
    </row>
    <row r="99" spans="1:20" ht="18">
      <c r="A99" s="4" t="s">
        <v>2</v>
      </c>
      <c r="B99" s="78" t="s">
        <v>61</v>
      </c>
      <c r="C99" s="78" t="s">
        <v>73</v>
      </c>
      <c r="D99" s="5" t="s">
        <v>74</v>
      </c>
      <c r="E99" s="78" t="s">
        <v>75</v>
      </c>
      <c r="F99" s="79" t="s">
        <v>76</v>
      </c>
      <c r="G99" s="80"/>
      <c r="O99" s="4" t="s">
        <v>2</v>
      </c>
      <c r="P99" s="682" t="s">
        <v>77</v>
      </c>
      <c r="Q99" s="683"/>
      <c r="R99" s="683"/>
      <c r="S99" s="683"/>
      <c r="T99" s="684"/>
    </row>
    <row r="100" spans="1:20">
      <c r="A100" s="8"/>
      <c r="B100" s="81" t="s">
        <v>17</v>
      </c>
      <c r="C100" s="82" t="s">
        <v>17</v>
      </c>
      <c r="D100" s="9" t="s">
        <v>78</v>
      </c>
      <c r="E100" s="82" t="s">
        <v>17</v>
      </c>
      <c r="F100" s="83" t="s">
        <v>17</v>
      </c>
      <c r="G100" s="84"/>
      <c r="O100" s="8"/>
      <c r="P100" s="11">
        <v>0.6</v>
      </c>
      <c r="Q100" s="11">
        <v>0.7</v>
      </c>
      <c r="R100" s="11">
        <v>0.8</v>
      </c>
      <c r="S100" s="11">
        <v>0.9</v>
      </c>
      <c r="T100" s="11">
        <v>1</v>
      </c>
    </row>
    <row r="101" spans="1:20" ht="45">
      <c r="A101" s="68" t="s">
        <v>372</v>
      </c>
      <c r="B101" s="64">
        <f t="shared" ref="B101:B108" si="24">J75</f>
        <v>12.49450681193213</v>
      </c>
      <c r="C101" s="64">
        <v>17</v>
      </c>
      <c r="D101" s="85">
        <v>2.5499999999999998</v>
      </c>
      <c r="E101" s="64">
        <f t="shared" ref="E101:E108" si="25">1/(SQRT((1/J89)^2+(1/(D101*D89))^2))</f>
        <v>12.538724423543149</v>
      </c>
      <c r="F101" s="141">
        <f t="shared" ref="F101:F108" si="26">MIN(B101,E101)</f>
        <v>12.49450681193213</v>
      </c>
      <c r="G101" s="87"/>
      <c r="O101" s="68" t="s">
        <v>372</v>
      </c>
      <c r="P101" s="88">
        <f t="shared" ref="P101:T108" si="27">MIN(P$100*$B101/1.3,$C101/1,P$100*$E101/1.3)</f>
        <v>5.7666954516609827</v>
      </c>
      <c r="Q101" s="88">
        <f t="shared" si="27"/>
        <v>6.7278113602711462</v>
      </c>
      <c r="R101" s="88">
        <f t="shared" si="27"/>
        <v>7.6889272688813115</v>
      </c>
      <c r="S101" s="88">
        <f t="shared" si="27"/>
        <v>8.6500431774914741</v>
      </c>
      <c r="T101" s="88">
        <f t="shared" si="27"/>
        <v>9.6111590861016385</v>
      </c>
    </row>
    <row r="102" spans="1:20" ht="45">
      <c r="A102" s="68" t="s">
        <v>800</v>
      </c>
      <c r="B102" s="64">
        <f t="shared" si="24"/>
        <v>17.041973016261025</v>
      </c>
      <c r="C102" s="64">
        <v>17</v>
      </c>
      <c r="D102" s="85">
        <v>2.5499999999999998</v>
      </c>
      <c r="E102" s="64">
        <f t="shared" si="25"/>
        <v>12.538724423543149</v>
      </c>
      <c r="F102" s="141">
        <f t="shared" si="26"/>
        <v>12.538724423543149</v>
      </c>
      <c r="G102" s="87"/>
      <c r="O102" s="68" t="s">
        <v>800</v>
      </c>
      <c r="P102" s="88">
        <f t="shared" si="27"/>
        <v>5.7871035800968373</v>
      </c>
      <c r="Q102" s="88">
        <f t="shared" si="27"/>
        <v>6.751620843446311</v>
      </c>
      <c r="R102" s="88">
        <f t="shared" si="27"/>
        <v>7.7161381067957846</v>
      </c>
      <c r="S102" s="88">
        <f t="shared" si="27"/>
        <v>8.6806553701452565</v>
      </c>
      <c r="T102" s="88">
        <f t="shared" si="27"/>
        <v>9.6451726334947292</v>
      </c>
    </row>
    <row r="103" spans="1:20" ht="58.15" customHeight="1">
      <c r="A103" s="67" t="s">
        <v>373</v>
      </c>
      <c r="B103" s="64">
        <f t="shared" si="24"/>
        <v>16.659342415909506</v>
      </c>
      <c r="C103" s="64">
        <v>24</v>
      </c>
      <c r="D103" s="85">
        <v>4.74</v>
      </c>
      <c r="E103" s="64">
        <f t="shared" si="25"/>
        <v>19.193549266365359</v>
      </c>
      <c r="F103" s="141">
        <f t="shared" si="26"/>
        <v>16.659342415909506</v>
      </c>
      <c r="G103" s="87"/>
      <c r="O103" s="67" t="s">
        <v>373</v>
      </c>
      <c r="P103" s="88">
        <f t="shared" si="27"/>
        <v>7.6889272688813097</v>
      </c>
      <c r="Q103" s="88">
        <f t="shared" si="27"/>
        <v>8.970415147028195</v>
      </c>
      <c r="R103" s="88">
        <f t="shared" si="27"/>
        <v>10.251903025175082</v>
      </c>
      <c r="S103" s="88">
        <f t="shared" si="27"/>
        <v>11.533390903321965</v>
      </c>
      <c r="T103" s="88">
        <f t="shared" si="27"/>
        <v>12.814878781468851</v>
      </c>
    </row>
    <row r="104" spans="1:20" ht="58.15" customHeight="1">
      <c r="A104" s="67" t="s">
        <v>801</v>
      </c>
      <c r="B104" s="64">
        <f t="shared" si="24"/>
        <v>22.722630688348033</v>
      </c>
      <c r="C104" s="64">
        <v>24</v>
      </c>
      <c r="D104" s="85">
        <v>4.74</v>
      </c>
      <c r="E104" s="64">
        <f t="shared" si="25"/>
        <v>19.193549266365359</v>
      </c>
      <c r="F104" s="141">
        <f t="shared" si="26"/>
        <v>19.193549266365359</v>
      </c>
      <c r="G104" s="87"/>
      <c r="O104" s="67" t="s">
        <v>801</v>
      </c>
      <c r="P104" s="88">
        <f t="shared" si="27"/>
        <v>8.858561199860933</v>
      </c>
      <c r="Q104" s="88">
        <f t="shared" si="27"/>
        <v>10.334988066504424</v>
      </c>
      <c r="R104" s="88">
        <f t="shared" si="27"/>
        <v>11.811414933147914</v>
      </c>
      <c r="S104" s="88">
        <f t="shared" si="27"/>
        <v>13.287841799791401</v>
      </c>
      <c r="T104" s="88">
        <f t="shared" si="27"/>
        <v>14.764268666434891</v>
      </c>
    </row>
    <row r="105" spans="1:20" ht="58.15" customHeight="1">
      <c r="A105" s="67" t="s">
        <v>374</v>
      </c>
      <c r="B105" s="64">
        <f t="shared" si="24"/>
        <v>16.659342415909506</v>
      </c>
      <c r="C105" s="64">
        <v>24</v>
      </c>
      <c r="D105" s="85">
        <v>4.95</v>
      </c>
      <c r="E105" s="64">
        <f t="shared" si="25"/>
        <v>19.467956736265833</v>
      </c>
      <c r="F105" s="141">
        <f t="shared" si="26"/>
        <v>16.659342415909506</v>
      </c>
      <c r="G105" s="87"/>
      <c r="O105" s="67" t="s">
        <v>374</v>
      </c>
      <c r="P105" s="88">
        <f t="shared" si="27"/>
        <v>7.6889272688813097</v>
      </c>
      <c r="Q105" s="88">
        <f t="shared" si="27"/>
        <v>8.970415147028195</v>
      </c>
      <c r="R105" s="88">
        <f t="shared" si="27"/>
        <v>10.251903025175082</v>
      </c>
      <c r="S105" s="88">
        <f t="shared" si="27"/>
        <v>11.533390903321965</v>
      </c>
      <c r="T105" s="88">
        <f t="shared" si="27"/>
        <v>12.814878781468851</v>
      </c>
    </row>
    <row r="106" spans="1:20" ht="60">
      <c r="A106" s="67" t="s">
        <v>375</v>
      </c>
      <c r="B106" s="64">
        <f t="shared" si="24"/>
        <v>24.98901362386426</v>
      </c>
      <c r="C106" s="64">
        <v>33</v>
      </c>
      <c r="D106" s="85">
        <v>8.84</v>
      </c>
      <c r="E106" s="64">
        <f t="shared" si="25"/>
        <v>30.673435303237074</v>
      </c>
      <c r="F106" s="141">
        <f t="shared" si="26"/>
        <v>24.98901362386426</v>
      </c>
      <c r="G106" s="89"/>
      <c r="O106" s="67" t="s">
        <v>375</v>
      </c>
      <c r="P106" s="88">
        <f t="shared" si="27"/>
        <v>11.533390903321965</v>
      </c>
      <c r="Q106" s="88">
        <f t="shared" si="27"/>
        <v>13.455622720542292</v>
      </c>
      <c r="R106" s="88">
        <f t="shared" si="27"/>
        <v>15.377854537762623</v>
      </c>
      <c r="S106" s="88">
        <f t="shared" si="27"/>
        <v>17.300086354982948</v>
      </c>
      <c r="T106" s="88">
        <f t="shared" si="27"/>
        <v>19.222318172203277</v>
      </c>
    </row>
    <row r="107" spans="1:20" ht="60">
      <c r="A107" s="67" t="s">
        <v>802</v>
      </c>
      <c r="B107" s="64">
        <f t="shared" si="24"/>
        <v>34.08394603252205</v>
      </c>
      <c r="C107" s="64">
        <v>33</v>
      </c>
      <c r="D107" s="85">
        <v>8.84</v>
      </c>
      <c r="E107" s="64">
        <f t="shared" si="25"/>
        <v>30.673435303237074</v>
      </c>
      <c r="F107" s="141">
        <f t="shared" si="26"/>
        <v>30.673435303237074</v>
      </c>
      <c r="G107" s="89"/>
      <c r="O107" s="67" t="s">
        <v>802</v>
      </c>
      <c r="P107" s="88">
        <f t="shared" si="27"/>
        <v>14.156970139955572</v>
      </c>
      <c r="Q107" s="88">
        <f t="shared" si="27"/>
        <v>16.516465163281499</v>
      </c>
      <c r="R107" s="88">
        <f t="shared" si="27"/>
        <v>18.875960186607433</v>
      </c>
      <c r="S107" s="88">
        <f t="shared" si="27"/>
        <v>21.23545520993336</v>
      </c>
      <c r="T107" s="88">
        <f t="shared" si="27"/>
        <v>23.594950233259286</v>
      </c>
    </row>
    <row r="108" spans="1:20" ht="60">
      <c r="A108" s="67" t="s">
        <v>376</v>
      </c>
      <c r="B108" s="64">
        <f t="shared" si="24"/>
        <v>20.824178019886883</v>
      </c>
      <c r="C108" s="64">
        <v>33</v>
      </c>
      <c r="D108" s="85">
        <v>8.15</v>
      </c>
      <c r="E108" s="64">
        <f t="shared" si="25"/>
        <v>30.024686389656786</v>
      </c>
      <c r="F108" s="141">
        <f t="shared" si="26"/>
        <v>20.824178019886883</v>
      </c>
      <c r="G108" s="89"/>
      <c r="O108" s="67" t="s">
        <v>376</v>
      </c>
      <c r="P108" s="88">
        <f t="shared" si="27"/>
        <v>9.6111590861016385</v>
      </c>
      <c r="Q108" s="88">
        <f t="shared" si="27"/>
        <v>11.213018933785243</v>
      </c>
      <c r="R108" s="88">
        <f t="shared" si="27"/>
        <v>12.814878781468851</v>
      </c>
      <c r="S108" s="88">
        <f t="shared" si="27"/>
        <v>14.416738629152459</v>
      </c>
      <c r="T108" s="88">
        <f t="shared" si="27"/>
        <v>16.018598476836065</v>
      </c>
    </row>
    <row r="109" spans="1:20">
      <c r="A109" s="23"/>
      <c r="B109" s="77"/>
    </row>
    <row r="110" spans="1:20">
      <c r="A110" s="23"/>
      <c r="B110" s="77"/>
    </row>
    <row r="111" spans="1:20">
      <c r="A111" s="23"/>
      <c r="B111" s="77"/>
    </row>
    <row r="112" spans="1:20">
      <c r="A112" s="23"/>
      <c r="B112" s="77"/>
    </row>
    <row r="113" spans="1:12" ht="18.75">
      <c r="A113" s="56" t="s">
        <v>79</v>
      </c>
      <c r="B113" s="77"/>
    </row>
    <row r="115" spans="1:12">
      <c r="A115" s="21" t="s">
        <v>37</v>
      </c>
      <c r="B115" t="str">
        <f>'Load bearing values_RICON_EN'!F5</f>
        <v>GL24h</v>
      </c>
    </row>
    <row r="116" spans="1:12" ht="18">
      <c r="A116" s="23" t="s">
        <v>39</v>
      </c>
      <c r="B116" s="24">
        <f>VLOOKUP(B115,$V$7:$W$18,2,FALSE)</f>
        <v>385</v>
      </c>
      <c r="C116" t="s">
        <v>40</v>
      </c>
    </row>
    <row r="117" spans="1:12" ht="18">
      <c r="A117" s="23" t="s">
        <v>62</v>
      </c>
      <c r="B117" s="90">
        <v>13000</v>
      </c>
      <c r="C117" s="90">
        <v>3900</v>
      </c>
      <c r="D117" t="s">
        <v>63</v>
      </c>
    </row>
    <row r="118" spans="1:12">
      <c r="A118" s="23" t="s">
        <v>64</v>
      </c>
      <c r="B118" s="90">
        <v>8</v>
      </c>
      <c r="C118" s="90">
        <v>5</v>
      </c>
      <c r="D118" t="s">
        <v>65</v>
      </c>
    </row>
    <row r="119" spans="1:12" ht="18">
      <c r="A119" s="23" t="s">
        <v>66</v>
      </c>
      <c r="B119" s="541">
        <f>0.082*$B$116*B118^-0.3/2.5</f>
        <v>6.767177642454155</v>
      </c>
      <c r="C119" s="541">
        <f>0.082*$B$116*C118^-0.3/2.5</f>
        <v>7.7919036184282815</v>
      </c>
      <c r="D119" t="s">
        <v>67</v>
      </c>
    </row>
    <row r="120" spans="1:12" ht="18">
      <c r="A120" s="23" t="s">
        <v>68</v>
      </c>
      <c r="B120" s="76">
        <f>0.082*B118^-0.3*$B$116</f>
        <v>16.917944106135387</v>
      </c>
      <c r="C120" s="76">
        <f>0.082*C118^-0.3*$B$116</f>
        <v>19.479759046070704</v>
      </c>
      <c r="D120" t="s">
        <v>67</v>
      </c>
    </row>
    <row r="121" spans="1:12">
      <c r="A121" s="23"/>
      <c r="B121" s="77"/>
    </row>
    <row r="122" spans="1:12">
      <c r="A122" s="23"/>
      <c r="B122" s="77"/>
    </row>
    <row r="123" spans="1:12" ht="18">
      <c r="A123" s="4" t="s">
        <v>2</v>
      </c>
      <c r="B123" s="5" t="s">
        <v>43</v>
      </c>
      <c r="C123" s="5" t="s">
        <v>9</v>
      </c>
      <c r="D123" s="5" t="s">
        <v>44</v>
      </c>
      <c r="E123" s="5" t="s">
        <v>59</v>
      </c>
      <c r="F123" s="5" t="s">
        <v>60</v>
      </c>
      <c r="G123" s="5" t="s">
        <v>43</v>
      </c>
      <c r="H123" s="5" t="s">
        <v>9</v>
      </c>
      <c r="I123" s="5" t="s">
        <v>44</v>
      </c>
      <c r="J123" s="5" t="s">
        <v>59</v>
      </c>
      <c r="K123" s="5" t="s">
        <v>60</v>
      </c>
      <c r="L123" s="5" t="s">
        <v>61</v>
      </c>
    </row>
    <row r="124" spans="1:12">
      <c r="A124" s="8"/>
      <c r="B124" s="9" t="s">
        <v>19</v>
      </c>
      <c r="C124" s="9" t="s">
        <v>18</v>
      </c>
      <c r="D124" s="9" t="s">
        <v>18</v>
      </c>
      <c r="E124" s="9" t="s">
        <v>17</v>
      </c>
      <c r="F124" s="9" t="s">
        <v>17</v>
      </c>
      <c r="G124" s="9" t="s">
        <v>19</v>
      </c>
      <c r="H124" s="9" t="s">
        <v>18</v>
      </c>
      <c r="I124" s="9" t="s">
        <v>18</v>
      </c>
      <c r="J124" s="9" t="s">
        <v>17</v>
      </c>
      <c r="K124" s="9" t="s">
        <v>17</v>
      </c>
      <c r="L124" s="62" t="s">
        <v>17</v>
      </c>
    </row>
    <row r="125" spans="1:12" ht="45">
      <c r="A125" s="396" t="s">
        <v>356</v>
      </c>
      <c r="B125" s="304">
        <v>1</v>
      </c>
      <c r="C125" s="304">
        <v>8</v>
      </c>
      <c r="D125" s="407">
        <v>65</v>
      </c>
      <c r="E125" s="447">
        <f t="shared" ref="E125:E130" si="28">($E$140*0.52*SQRT($C125)*D125^0.9*$B$116^0.8)/1000</f>
        <v>2.2113638026311735</v>
      </c>
      <c r="F125" s="447">
        <f t="shared" ref="F125:F139" si="29">MIN($B$119*$D125*$B$118/1000,(2.3*SQRT($B$117*$B$119*$B$118))/1000+(E125/4),$B$119*$D125*$B$118*(SQRT(2+4*$B$117/($B$119*$D125^2*$B$118))-1)/1000+E125/4)</f>
        <v>2.2856621890337152</v>
      </c>
      <c r="G125" s="304">
        <v>2</v>
      </c>
      <c r="H125" s="304">
        <v>5</v>
      </c>
      <c r="I125" s="407">
        <v>70</v>
      </c>
      <c r="J125" s="447">
        <f t="shared" ref="J125:J139" si="30">($E$140*0.52*SQRT($H125)*I125^0.9*$B$116^0.8)/1000</f>
        <v>1.8688154683555778</v>
      </c>
      <c r="K125" s="447">
        <f t="shared" ref="K125:K139" si="31">MIN($C$119*$I125*$C$118/1000,(2.3*SQRT($C$117*$C$119*$C$118))/1000+(J125/4),$C$119*$I125*$C$119*(SQRT(2+4*$C$117/($C$119*$I125^2*$C$118))-1)/1000+J125/4)</f>
        <v>1.3637382042779223</v>
      </c>
      <c r="L125" s="447">
        <f>B125*F125+G125*K125</f>
        <v>5.0131385975895597</v>
      </c>
    </row>
    <row r="126" spans="1:12" ht="45">
      <c r="A126" s="396" t="s">
        <v>360</v>
      </c>
      <c r="B126" s="304">
        <v>2</v>
      </c>
      <c r="C126" s="304">
        <v>8</v>
      </c>
      <c r="D126" s="407">
        <v>65</v>
      </c>
      <c r="E126" s="447">
        <f t="shared" si="28"/>
        <v>2.2113638026311735</v>
      </c>
      <c r="F126" s="447">
        <f t="shared" si="29"/>
        <v>2.2856621890337152</v>
      </c>
      <c r="G126" s="304">
        <v>2</v>
      </c>
      <c r="H126" s="304">
        <v>5</v>
      </c>
      <c r="I126" s="407">
        <v>70</v>
      </c>
      <c r="J126" s="447">
        <f t="shared" si="30"/>
        <v>1.8688154683555778</v>
      </c>
      <c r="K126" s="447">
        <f t="shared" si="31"/>
        <v>1.3637382042779223</v>
      </c>
      <c r="L126" s="447">
        <f t="shared" ref="L126:L139" si="32">B126*F126+G126*K126</f>
        <v>7.2988007866232749</v>
      </c>
    </row>
    <row r="127" spans="1:12" ht="45">
      <c r="A127" s="396" t="s">
        <v>357</v>
      </c>
      <c r="B127" s="304">
        <v>2</v>
      </c>
      <c r="C127" s="304">
        <v>8</v>
      </c>
      <c r="D127" s="407">
        <v>65</v>
      </c>
      <c r="E127" s="447">
        <f t="shared" si="28"/>
        <v>2.2113638026311735</v>
      </c>
      <c r="F127" s="447">
        <f t="shared" si="29"/>
        <v>2.2856621890337152</v>
      </c>
      <c r="G127" s="304">
        <v>4</v>
      </c>
      <c r="H127" s="304">
        <v>5</v>
      </c>
      <c r="I127" s="407">
        <v>70</v>
      </c>
      <c r="J127" s="447">
        <f t="shared" si="30"/>
        <v>1.8688154683555778</v>
      </c>
      <c r="K127" s="447">
        <f t="shared" si="31"/>
        <v>1.3637382042779223</v>
      </c>
      <c r="L127" s="447">
        <f t="shared" si="32"/>
        <v>10.026277195179119</v>
      </c>
    </row>
    <row r="128" spans="1:12" ht="45">
      <c r="A128" s="396" t="s">
        <v>359</v>
      </c>
      <c r="B128" s="304">
        <v>2</v>
      </c>
      <c r="C128" s="304">
        <v>8</v>
      </c>
      <c r="D128" s="407">
        <v>65</v>
      </c>
      <c r="E128" s="447">
        <f t="shared" si="28"/>
        <v>2.2113638026311735</v>
      </c>
      <c r="F128" s="447">
        <f t="shared" si="29"/>
        <v>2.2856621890337152</v>
      </c>
      <c r="G128" s="304">
        <v>6</v>
      </c>
      <c r="H128" s="304">
        <v>5</v>
      </c>
      <c r="I128" s="407">
        <v>70</v>
      </c>
      <c r="J128" s="447">
        <f t="shared" si="30"/>
        <v>1.8688154683555778</v>
      </c>
      <c r="K128" s="447">
        <f t="shared" si="31"/>
        <v>1.3637382042779223</v>
      </c>
      <c r="L128" s="447">
        <f t="shared" si="32"/>
        <v>12.753753603734964</v>
      </c>
    </row>
    <row r="129" spans="1:12" ht="45">
      <c r="A129" s="396" t="s">
        <v>358</v>
      </c>
      <c r="B129" s="304">
        <v>2</v>
      </c>
      <c r="C129" s="304">
        <v>8</v>
      </c>
      <c r="D129" s="407">
        <v>65</v>
      </c>
      <c r="E129" s="447">
        <f t="shared" si="28"/>
        <v>2.2113638026311735</v>
      </c>
      <c r="F129" s="447">
        <f t="shared" si="29"/>
        <v>2.2856621890337152</v>
      </c>
      <c r="G129" s="304">
        <v>8</v>
      </c>
      <c r="H129" s="304">
        <v>5</v>
      </c>
      <c r="I129" s="407">
        <v>70</v>
      </c>
      <c r="J129" s="447">
        <f t="shared" si="30"/>
        <v>1.8688154683555778</v>
      </c>
      <c r="K129" s="447">
        <f t="shared" si="31"/>
        <v>1.3637382042779223</v>
      </c>
      <c r="L129" s="447">
        <f t="shared" si="32"/>
        <v>15.481230012290808</v>
      </c>
    </row>
    <row r="130" spans="1:12" ht="45">
      <c r="A130" s="396" t="s">
        <v>361</v>
      </c>
      <c r="B130" s="304">
        <v>2</v>
      </c>
      <c r="C130" s="304">
        <v>8</v>
      </c>
      <c r="D130" s="407">
        <v>65</v>
      </c>
      <c r="E130" s="447">
        <f t="shared" si="28"/>
        <v>2.2113638026311735</v>
      </c>
      <c r="F130" s="447">
        <f t="shared" si="29"/>
        <v>2.2856621890337152</v>
      </c>
      <c r="G130" s="304">
        <v>10</v>
      </c>
      <c r="H130" s="304">
        <v>5</v>
      </c>
      <c r="I130" s="407">
        <v>70</v>
      </c>
      <c r="J130" s="447">
        <f t="shared" si="30"/>
        <v>1.8688154683555778</v>
      </c>
      <c r="K130" s="447">
        <f t="shared" si="31"/>
        <v>1.3637382042779223</v>
      </c>
      <c r="L130" s="447">
        <f t="shared" si="32"/>
        <v>18.208706420846653</v>
      </c>
    </row>
    <row r="131" spans="1:12" ht="45">
      <c r="A131" s="408" t="s">
        <v>858</v>
      </c>
      <c r="B131" s="304">
        <v>2</v>
      </c>
      <c r="C131" s="304">
        <v>8</v>
      </c>
      <c r="D131" s="410">
        <f>160-15</f>
        <v>145</v>
      </c>
      <c r="E131" s="447">
        <f>($E$141*0.52*SQRT($C131)*D131^0.9*$B$116^0.8)/1000</f>
        <v>9.1054072130615449</v>
      </c>
      <c r="F131" s="447">
        <f t="shared" si="29"/>
        <v>4.2058674035580026</v>
      </c>
      <c r="G131" s="304">
        <v>4</v>
      </c>
      <c r="H131" s="304">
        <v>5</v>
      </c>
      <c r="I131" s="407">
        <v>70</v>
      </c>
      <c r="J131" s="447">
        <f t="shared" si="30"/>
        <v>1.8688154683555778</v>
      </c>
      <c r="K131" s="447">
        <f t="shared" si="31"/>
        <v>1.3637382042779223</v>
      </c>
      <c r="L131" s="447">
        <f t="shared" si="32"/>
        <v>13.866687624227694</v>
      </c>
    </row>
    <row r="132" spans="1:12" ht="45">
      <c r="A132" s="408" t="s">
        <v>803</v>
      </c>
      <c r="B132" s="304">
        <v>2</v>
      </c>
      <c r="C132" s="304">
        <v>8</v>
      </c>
      <c r="D132" s="410">
        <f>160-15</f>
        <v>145</v>
      </c>
      <c r="E132" s="447">
        <f>($E$141*0.52*SQRT($C132)*D132^0.9*$B$116^0.8)/1000</f>
        <v>9.1054072130615449</v>
      </c>
      <c r="F132" s="447">
        <f t="shared" ref="F132" si="33">MIN($B$119*$D132*$B$118/1000,(2.3*SQRT($B$117*$B$119*$B$118))/1000+(E132/4),$B$119*$D132*$B$118*(SQRT(2+4*$B$117/($B$119*$D132^2*$B$118))-1)/1000+E132/4)</f>
        <v>4.2058674035580026</v>
      </c>
      <c r="G132" s="304">
        <v>6</v>
      </c>
      <c r="H132" s="304">
        <v>5</v>
      </c>
      <c r="I132" s="407">
        <v>70</v>
      </c>
      <c r="J132" s="447">
        <f t="shared" si="30"/>
        <v>1.8688154683555778</v>
      </c>
      <c r="K132" s="447">
        <f t="shared" ref="K132" si="34">MIN($C$119*$I132*$C$118/1000,(2.3*SQRT($C$117*$C$119*$C$118))/1000+(J132/4),$C$119*$I132*$C$119*(SQRT(2+4*$C$117/($C$119*$I132^2*$C$118))-1)/1000+J132/4)</f>
        <v>1.3637382042779223</v>
      </c>
      <c r="L132" s="447">
        <f t="shared" ref="L132" si="35">B132*F132+G132*K132</f>
        <v>16.594164032783539</v>
      </c>
    </row>
    <row r="133" spans="1:12" ht="45">
      <c r="A133" s="408" t="s">
        <v>362</v>
      </c>
      <c r="B133" s="304">
        <v>2</v>
      </c>
      <c r="C133" s="304">
        <v>8</v>
      </c>
      <c r="D133" s="410">
        <f>160-15</f>
        <v>145</v>
      </c>
      <c r="E133" s="447">
        <f>($E$141*0.52*SQRT($C133)*D133^0.9*$B$116^0.8)/1000</f>
        <v>9.1054072130615449</v>
      </c>
      <c r="F133" s="447">
        <f t="shared" si="29"/>
        <v>4.2058674035580026</v>
      </c>
      <c r="G133" s="304">
        <v>8</v>
      </c>
      <c r="H133" s="304">
        <v>5</v>
      </c>
      <c r="I133" s="407">
        <v>70</v>
      </c>
      <c r="J133" s="447">
        <f t="shared" si="30"/>
        <v>1.8688154683555778</v>
      </c>
      <c r="K133" s="447">
        <f t="shared" si="31"/>
        <v>1.3637382042779223</v>
      </c>
      <c r="L133" s="447">
        <f t="shared" si="32"/>
        <v>19.321640441339383</v>
      </c>
    </row>
    <row r="134" spans="1:12" ht="45">
      <c r="A134" s="408" t="s">
        <v>363</v>
      </c>
      <c r="B134" s="304">
        <v>2</v>
      </c>
      <c r="C134" s="304">
        <v>8</v>
      </c>
      <c r="D134" s="410">
        <f>160-15</f>
        <v>145</v>
      </c>
      <c r="E134" s="447">
        <f>($E$141*0.52*SQRT($C134)*D134^0.9*$B$116^0.8)/1000</f>
        <v>9.1054072130615449</v>
      </c>
      <c r="F134" s="447">
        <f t="shared" si="29"/>
        <v>4.2058674035580026</v>
      </c>
      <c r="G134" s="304">
        <v>10</v>
      </c>
      <c r="H134" s="304">
        <v>5</v>
      </c>
      <c r="I134" s="407">
        <v>70</v>
      </c>
      <c r="J134" s="447">
        <f t="shared" si="30"/>
        <v>1.8688154683555778</v>
      </c>
      <c r="K134" s="447">
        <f t="shared" si="31"/>
        <v>1.3637382042779223</v>
      </c>
      <c r="L134" s="447">
        <f t="shared" si="32"/>
        <v>22.049116849895228</v>
      </c>
    </row>
    <row r="135" spans="1:12" ht="45">
      <c r="A135" s="396" t="s">
        <v>364</v>
      </c>
      <c r="B135" s="304">
        <v>3</v>
      </c>
      <c r="C135" s="304">
        <v>8</v>
      </c>
      <c r="D135" s="407">
        <v>65</v>
      </c>
      <c r="E135" s="447">
        <f>($E$140*0.52*SQRT($C135)*D135^0.9*$B$116^0.8)/1000</f>
        <v>2.2113638026311735</v>
      </c>
      <c r="F135" s="447">
        <f t="shared" si="29"/>
        <v>2.2856621890337152</v>
      </c>
      <c r="G135" s="304">
        <v>4</v>
      </c>
      <c r="H135" s="304">
        <v>5</v>
      </c>
      <c r="I135" s="407">
        <v>70</v>
      </c>
      <c r="J135" s="447">
        <f t="shared" si="30"/>
        <v>1.8688154683555778</v>
      </c>
      <c r="K135" s="447">
        <f t="shared" si="31"/>
        <v>1.3637382042779223</v>
      </c>
      <c r="L135" s="447">
        <f t="shared" si="32"/>
        <v>12.311939384212835</v>
      </c>
    </row>
    <row r="136" spans="1:12" ht="43.5" customHeight="1">
      <c r="A136" s="396" t="s">
        <v>365</v>
      </c>
      <c r="B136" s="304">
        <v>3</v>
      </c>
      <c r="C136" s="304">
        <v>8</v>
      </c>
      <c r="D136" s="407">
        <v>65</v>
      </c>
      <c r="E136" s="447">
        <f>($E$140*0.52*SQRT($C136)*D136^0.9*$B$116^0.8)/1000</f>
        <v>2.2113638026311735</v>
      </c>
      <c r="F136" s="447">
        <f t="shared" si="29"/>
        <v>2.2856621890337152</v>
      </c>
      <c r="G136" s="304">
        <v>8</v>
      </c>
      <c r="H136" s="304">
        <v>5</v>
      </c>
      <c r="I136" s="407">
        <v>70</v>
      </c>
      <c r="J136" s="447">
        <f t="shared" si="30"/>
        <v>1.8688154683555778</v>
      </c>
      <c r="K136" s="447">
        <f t="shared" si="31"/>
        <v>1.3637382042779223</v>
      </c>
      <c r="L136" s="447">
        <f t="shared" si="32"/>
        <v>17.766892201324524</v>
      </c>
    </row>
    <row r="137" spans="1:12" ht="43.5" customHeight="1">
      <c r="A137" s="396" t="s">
        <v>366</v>
      </c>
      <c r="B137" s="304">
        <v>3</v>
      </c>
      <c r="C137" s="304">
        <v>8</v>
      </c>
      <c r="D137" s="407">
        <v>65</v>
      </c>
      <c r="E137" s="447">
        <f>($E$140*0.52*SQRT($C137)*D137^0.9*$B$116^0.8)/1000</f>
        <v>2.2113638026311735</v>
      </c>
      <c r="F137" s="447">
        <f t="shared" si="29"/>
        <v>2.2856621890337152</v>
      </c>
      <c r="G137" s="304">
        <v>12</v>
      </c>
      <c r="H137" s="304">
        <v>5</v>
      </c>
      <c r="I137" s="407">
        <v>70</v>
      </c>
      <c r="J137" s="447">
        <f t="shared" si="30"/>
        <v>1.8688154683555778</v>
      </c>
      <c r="K137" s="447">
        <f t="shared" si="31"/>
        <v>1.3637382042779223</v>
      </c>
      <c r="L137" s="447">
        <f t="shared" si="32"/>
        <v>23.221845018436213</v>
      </c>
    </row>
    <row r="138" spans="1:12" ht="43.5" customHeight="1">
      <c r="A138" s="396" t="s">
        <v>367</v>
      </c>
      <c r="B138" s="304">
        <v>3</v>
      </c>
      <c r="C138" s="304">
        <v>8</v>
      </c>
      <c r="D138" s="407">
        <v>65</v>
      </c>
      <c r="E138" s="447">
        <f>($E$140*0.52*SQRT($C138)*D138^0.9*$B$116^0.8)/1000</f>
        <v>2.2113638026311735</v>
      </c>
      <c r="F138" s="447">
        <f t="shared" si="29"/>
        <v>2.2856621890337152</v>
      </c>
      <c r="G138" s="304">
        <v>16</v>
      </c>
      <c r="H138" s="304">
        <v>5</v>
      </c>
      <c r="I138" s="407">
        <v>70</v>
      </c>
      <c r="J138" s="447">
        <f t="shared" si="30"/>
        <v>1.8688154683555778</v>
      </c>
      <c r="K138" s="447">
        <f t="shared" si="31"/>
        <v>1.3637382042779223</v>
      </c>
      <c r="L138" s="447">
        <f t="shared" si="32"/>
        <v>28.676797835547902</v>
      </c>
    </row>
    <row r="139" spans="1:12" ht="43.5" customHeight="1">
      <c r="A139" s="396" t="s">
        <v>368</v>
      </c>
      <c r="B139" s="304">
        <v>3</v>
      </c>
      <c r="C139" s="304">
        <v>8</v>
      </c>
      <c r="D139" s="407">
        <v>65</v>
      </c>
      <c r="E139" s="447">
        <f>($E$140*0.52*SQRT($C139)*D139^0.9*$B$116^0.8)/1000</f>
        <v>2.2113638026311735</v>
      </c>
      <c r="F139" s="447">
        <f t="shared" si="29"/>
        <v>2.2856621890337152</v>
      </c>
      <c r="G139" s="304">
        <v>20</v>
      </c>
      <c r="H139" s="304">
        <v>5</v>
      </c>
      <c r="I139" s="407">
        <v>70</v>
      </c>
      <c r="J139" s="447">
        <f t="shared" si="30"/>
        <v>1.8688154683555778</v>
      </c>
      <c r="K139" s="447">
        <f t="shared" si="31"/>
        <v>1.3637382042779223</v>
      </c>
      <c r="L139" s="447">
        <f t="shared" si="32"/>
        <v>34.131750652659591</v>
      </c>
    </row>
    <row r="140" spans="1:12">
      <c r="A140" s="111"/>
      <c r="B140" s="376"/>
      <c r="C140" s="376"/>
      <c r="D140" s="377" t="s">
        <v>355</v>
      </c>
      <c r="E140" s="395">
        <v>0.3</v>
      </c>
      <c r="G140" s="376"/>
      <c r="H140" s="376"/>
      <c r="I140" s="392"/>
      <c r="J140" s="377"/>
      <c r="K140" s="377"/>
      <c r="L140" s="377"/>
    </row>
    <row r="141" spans="1:12">
      <c r="A141" s="132"/>
      <c r="B141" s="122"/>
      <c r="C141" s="122"/>
      <c r="D141" s="123" t="s">
        <v>355</v>
      </c>
      <c r="E141" s="405">
        <v>0.6</v>
      </c>
      <c r="F141" s="123"/>
      <c r="G141" s="122"/>
      <c r="H141" s="122"/>
      <c r="I141" s="314"/>
      <c r="J141" s="123"/>
      <c r="K141" s="123"/>
      <c r="L141" s="123"/>
    </row>
    <row r="142" spans="1:12">
      <c r="A142" s="247"/>
      <c r="B142" s="132"/>
      <c r="C142" s="132"/>
      <c r="D142" s="132"/>
      <c r="E142" s="132"/>
      <c r="F142" s="132"/>
      <c r="G142" s="132"/>
      <c r="H142" s="132"/>
      <c r="I142" s="132"/>
      <c r="J142" s="132"/>
      <c r="K142" s="132"/>
      <c r="L142" s="132"/>
    </row>
    <row r="143" spans="1:12">
      <c r="A143" s="393"/>
      <c r="B143" s="394"/>
      <c r="C143" s="394"/>
      <c r="D143" s="394"/>
      <c r="E143" s="394"/>
      <c r="F143" s="394"/>
      <c r="G143" s="394"/>
      <c r="H143" s="394"/>
      <c r="I143" s="394"/>
      <c r="J143" s="394"/>
      <c r="K143" s="394"/>
      <c r="L143" s="394"/>
    </row>
    <row r="144" spans="1:12" ht="18">
      <c r="A144" s="4" t="s">
        <v>2</v>
      </c>
      <c r="B144" s="92" t="s">
        <v>43</v>
      </c>
      <c r="C144" s="92" t="s">
        <v>9</v>
      </c>
      <c r="D144" s="92" t="s">
        <v>80</v>
      </c>
      <c r="E144" s="92" t="s">
        <v>81</v>
      </c>
      <c r="F144" s="92" t="s">
        <v>82</v>
      </c>
      <c r="G144" s="92" t="s">
        <v>43</v>
      </c>
      <c r="H144" s="92" t="s">
        <v>9</v>
      </c>
      <c r="I144" s="92" t="s">
        <v>80</v>
      </c>
      <c r="J144" s="92" t="s">
        <v>81</v>
      </c>
      <c r="K144" s="92" t="s">
        <v>82</v>
      </c>
      <c r="L144" s="92" t="s">
        <v>83</v>
      </c>
    </row>
    <row r="145" spans="1:12">
      <c r="A145" s="8"/>
      <c r="B145" s="93" t="s">
        <v>19</v>
      </c>
      <c r="C145" s="93" t="s">
        <v>18</v>
      </c>
      <c r="D145" s="93" t="s">
        <v>18</v>
      </c>
      <c r="E145" s="93" t="s">
        <v>17</v>
      </c>
      <c r="F145" s="93" t="s">
        <v>17</v>
      </c>
      <c r="G145" s="93" t="s">
        <v>19</v>
      </c>
      <c r="H145" s="93" t="s">
        <v>18</v>
      </c>
      <c r="I145" s="93" t="s">
        <v>18</v>
      </c>
      <c r="J145" s="93" t="s">
        <v>17</v>
      </c>
      <c r="K145" s="93" t="s">
        <v>17</v>
      </c>
      <c r="L145" s="94" t="s">
        <v>17</v>
      </c>
    </row>
    <row r="146" spans="1:12" ht="45">
      <c r="A146" s="396" t="s">
        <v>356</v>
      </c>
      <c r="B146" s="304">
        <v>1</v>
      </c>
      <c r="C146" s="304">
        <v>8</v>
      </c>
      <c r="D146" s="407">
        <v>35</v>
      </c>
      <c r="E146" s="447">
        <f>(0.52*SQRT($C146)*D146^0.9*$B$116^0.8)/1000</f>
        <v>4.2225826668958426</v>
      </c>
      <c r="F146" s="447">
        <f t="shared" ref="F146:F160" si="36">MIN($B$120*$B$118*D146/1000,2.3*SQRT($B$117*$B$120*$B$118)/1000+(E146/4),$B$120*$B$118*D146/1000*(SQRT(2+4*$B$117/($B$120*$B$118*D146^2))-1)+E146/4)</f>
        <v>3.5239432478980408</v>
      </c>
      <c r="G146" s="304">
        <v>2</v>
      </c>
      <c r="H146" s="304">
        <v>5</v>
      </c>
      <c r="I146" s="407">
        <v>40</v>
      </c>
      <c r="J146" s="447">
        <f>(0.52*SQRT($C$118)*I146^0.9*$B$116^0.8)/1000</f>
        <v>3.7645313796964266</v>
      </c>
      <c r="K146" s="447">
        <f t="shared" ref="K146:K160" si="37">MIN($C$120*$C$118*I146/1000,2.3*SQRT($C$117*$C$120*$C$118)/1000+(J146/4),$C$120*$C$118*I146/1000*(SQRT(2+4*$C$117/($C$120*$C$118*I146^2))-1)+J146/4)</f>
        <v>2.3586780979574704</v>
      </c>
      <c r="L146" s="447">
        <f>B146*F146+G146*K146</f>
        <v>8.2412994438129807</v>
      </c>
    </row>
    <row r="147" spans="1:12" ht="45">
      <c r="A147" s="396" t="s">
        <v>360</v>
      </c>
      <c r="B147" s="304">
        <v>2</v>
      </c>
      <c r="C147" s="304">
        <v>8</v>
      </c>
      <c r="D147" s="407">
        <v>35</v>
      </c>
      <c r="E147" s="447">
        <f t="shared" ref="E147:E160" si="38">(0.52*SQRT($C147)*D147^0.9*$B$116^0.8)/1000</f>
        <v>4.2225826668958426</v>
      </c>
      <c r="F147" s="447">
        <f t="shared" si="36"/>
        <v>3.5239432478980408</v>
      </c>
      <c r="G147" s="304">
        <v>2</v>
      </c>
      <c r="H147" s="304">
        <v>5</v>
      </c>
      <c r="I147" s="407">
        <v>40</v>
      </c>
      <c r="J147" s="447">
        <f t="shared" ref="J147:J160" si="39">(0.52*SQRT($C$118)*I147^0.9*$B$116^0.8)/1000</f>
        <v>3.7645313796964266</v>
      </c>
      <c r="K147" s="447">
        <f t="shared" si="37"/>
        <v>2.3586780979574704</v>
      </c>
      <c r="L147" s="447">
        <f t="shared" ref="L147:L160" si="40">B147*F147+G147*K147</f>
        <v>11.765242691711023</v>
      </c>
    </row>
    <row r="148" spans="1:12" ht="45">
      <c r="A148" s="396" t="s">
        <v>357</v>
      </c>
      <c r="B148" s="304">
        <v>2</v>
      </c>
      <c r="C148" s="304">
        <v>8</v>
      </c>
      <c r="D148" s="407">
        <v>35</v>
      </c>
      <c r="E148" s="447">
        <f t="shared" si="38"/>
        <v>4.2225826668958426</v>
      </c>
      <c r="F148" s="447">
        <f t="shared" si="36"/>
        <v>3.5239432478980408</v>
      </c>
      <c r="G148" s="304">
        <v>4</v>
      </c>
      <c r="H148" s="304">
        <v>5</v>
      </c>
      <c r="I148" s="407">
        <v>40</v>
      </c>
      <c r="J148" s="447">
        <f t="shared" si="39"/>
        <v>3.7645313796964266</v>
      </c>
      <c r="K148" s="447">
        <f t="shared" si="37"/>
        <v>2.3586780979574704</v>
      </c>
      <c r="L148" s="447">
        <f t="shared" si="40"/>
        <v>16.482598887625961</v>
      </c>
    </row>
    <row r="149" spans="1:12" ht="45">
      <c r="A149" s="396" t="s">
        <v>359</v>
      </c>
      <c r="B149" s="304">
        <v>2</v>
      </c>
      <c r="C149" s="304">
        <v>8</v>
      </c>
      <c r="D149" s="407">
        <v>35</v>
      </c>
      <c r="E149" s="447">
        <f t="shared" si="38"/>
        <v>4.2225826668958426</v>
      </c>
      <c r="F149" s="447">
        <f t="shared" si="36"/>
        <v>3.5239432478980408</v>
      </c>
      <c r="G149" s="304">
        <v>6</v>
      </c>
      <c r="H149" s="304">
        <v>5</v>
      </c>
      <c r="I149" s="407">
        <v>40</v>
      </c>
      <c r="J149" s="447">
        <f t="shared" si="39"/>
        <v>3.7645313796964266</v>
      </c>
      <c r="K149" s="447">
        <f t="shared" si="37"/>
        <v>2.3586780979574704</v>
      </c>
      <c r="L149" s="447">
        <f t="shared" si="40"/>
        <v>21.199955083540903</v>
      </c>
    </row>
    <row r="150" spans="1:12" ht="45">
      <c r="A150" s="396" t="s">
        <v>358</v>
      </c>
      <c r="B150" s="304">
        <v>2</v>
      </c>
      <c r="C150" s="304">
        <v>8</v>
      </c>
      <c r="D150" s="407">
        <v>35</v>
      </c>
      <c r="E150" s="447">
        <f t="shared" si="38"/>
        <v>4.2225826668958426</v>
      </c>
      <c r="F150" s="447">
        <f t="shared" si="36"/>
        <v>3.5239432478980408</v>
      </c>
      <c r="G150" s="304">
        <v>8</v>
      </c>
      <c r="H150" s="304">
        <v>5</v>
      </c>
      <c r="I150" s="407">
        <v>40</v>
      </c>
      <c r="J150" s="447">
        <f t="shared" si="39"/>
        <v>3.7645313796964266</v>
      </c>
      <c r="K150" s="447">
        <f t="shared" si="37"/>
        <v>2.3586780979574704</v>
      </c>
      <c r="L150" s="447">
        <f t="shared" si="40"/>
        <v>25.917311279455845</v>
      </c>
    </row>
    <row r="151" spans="1:12" ht="45">
      <c r="A151" s="396" t="s">
        <v>361</v>
      </c>
      <c r="B151" s="304">
        <v>2</v>
      </c>
      <c r="C151" s="304">
        <v>8</v>
      </c>
      <c r="D151" s="407">
        <v>35</v>
      </c>
      <c r="E151" s="447">
        <f t="shared" si="38"/>
        <v>4.2225826668958426</v>
      </c>
      <c r="F151" s="447">
        <f t="shared" si="36"/>
        <v>3.5239432478980408</v>
      </c>
      <c r="G151" s="304">
        <v>10</v>
      </c>
      <c r="H151" s="304">
        <v>5</v>
      </c>
      <c r="I151" s="407">
        <v>40</v>
      </c>
      <c r="J151" s="447">
        <f t="shared" si="39"/>
        <v>3.7645313796964266</v>
      </c>
      <c r="K151" s="447">
        <f t="shared" si="37"/>
        <v>2.3586780979574704</v>
      </c>
      <c r="L151" s="447">
        <f t="shared" si="40"/>
        <v>30.634667475370787</v>
      </c>
    </row>
    <row r="152" spans="1:12" ht="45">
      <c r="A152" s="408" t="s">
        <v>858</v>
      </c>
      <c r="B152" s="304">
        <v>2</v>
      </c>
      <c r="C152" s="304">
        <v>8</v>
      </c>
      <c r="D152" s="407">
        <v>35</v>
      </c>
      <c r="E152" s="447">
        <f t="shared" si="38"/>
        <v>4.2225826668958426</v>
      </c>
      <c r="F152" s="447">
        <f t="shared" si="36"/>
        <v>3.5239432478980408</v>
      </c>
      <c r="G152" s="304">
        <v>4</v>
      </c>
      <c r="H152" s="304">
        <v>5</v>
      </c>
      <c r="I152" s="407">
        <v>70</v>
      </c>
      <c r="J152" s="447">
        <f t="shared" si="39"/>
        <v>6.229384894518593</v>
      </c>
      <c r="K152" s="447">
        <f t="shared" si="37"/>
        <v>2.9748914766630117</v>
      </c>
      <c r="L152" s="447">
        <f t="shared" si="40"/>
        <v>18.947452402448128</v>
      </c>
    </row>
    <row r="153" spans="1:12" ht="45">
      <c r="A153" s="408" t="s">
        <v>803</v>
      </c>
      <c r="B153" s="304">
        <v>2</v>
      </c>
      <c r="C153" s="304">
        <v>8</v>
      </c>
      <c r="D153" s="407">
        <v>35</v>
      </c>
      <c r="E153" s="447">
        <f t="shared" ref="E153" si="41">(0.52*SQRT($C153)*D153^0.9*$B$116^0.8)/1000</f>
        <v>4.2225826668958426</v>
      </c>
      <c r="F153" s="447">
        <f t="shared" ref="F153" si="42">MIN($B$120*$B$118*D153/1000,2.3*SQRT($B$117*$B$120*$B$118)/1000+(E153/4),$B$120*$B$118*D153/1000*(SQRT(2+4*$B$117/($B$120*$B$118*D153^2))-1)+E153/4)</f>
        <v>3.5239432478980408</v>
      </c>
      <c r="G153" s="304">
        <v>6</v>
      </c>
      <c r="H153" s="304">
        <v>5</v>
      </c>
      <c r="I153" s="407">
        <v>70</v>
      </c>
      <c r="J153" s="447">
        <f t="shared" ref="J153" si="43">(0.52*SQRT($C$118)*I153^0.9*$B$116^0.8)/1000</f>
        <v>6.229384894518593</v>
      </c>
      <c r="K153" s="447">
        <f t="shared" ref="K153" si="44">MIN($C$120*$C$118*I153/1000,2.3*SQRT($C$117*$C$120*$C$118)/1000+(J153/4),$C$120*$C$118*I153/1000*(SQRT(2+4*$C$117/($C$120*$C$118*I153^2))-1)+J153/4)</f>
        <v>2.9748914766630117</v>
      </c>
      <c r="L153" s="447">
        <f t="shared" ref="L153" si="45">B153*F153+G153*K153</f>
        <v>24.897235355774153</v>
      </c>
    </row>
    <row r="154" spans="1:12" ht="45">
      <c r="A154" s="408" t="s">
        <v>362</v>
      </c>
      <c r="B154" s="304">
        <v>2</v>
      </c>
      <c r="C154" s="304">
        <v>8</v>
      </c>
      <c r="D154" s="407">
        <v>35</v>
      </c>
      <c r="E154" s="447">
        <f t="shared" si="38"/>
        <v>4.2225826668958426</v>
      </c>
      <c r="F154" s="447">
        <f t="shared" si="36"/>
        <v>3.5239432478980408</v>
      </c>
      <c r="G154" s="304">
        <v>8</v>
      </c>
      <c r="H154" s="304">
        <v>5</v>
      </c>
      <c r="I154" s="407">
        <v>70</v>
      </c>
      <c r="J154" s="447">
        <f t="shared" si="39"/>
        <v>6.229384894518593</v>
      </c>
      <c r="K154" s="447">
        <f t="shared" si="37"/>
        <v>2.9748914766630117</v>
      </c>
      <c r="L154" s="447">
        <f t="shared" si="40"/>
        <v>30.847018309100175</v>
      </c>
    </row>
    <row r="155" spans="1:12" ht="45">
      <c r="A155" s="408" t="s">
        <v>363</v>
      </c>
      <c r="B155" s="304">
        <v>2</v>
      </c>
      <c r="C155" s="304">
        <v>8</v>
      </c>
      <c r="D155" s="407">
        <v>35</v>
      </c>
      <c r="E155" s="447">
        <f t="shared" si="38"/>
        <v>4.2225826668958426</v>
      </c>
      <c r="F155" s="447">
        <f t="shared" si="36"/>
        <v>3.5239432478980408</v>
      </c>
      <c r="G155" s="304">
        <v>10</v>
      </c>
      <c r="H155" s="304">
        <v>5</v>
      </c>
      <c r="I155" s="407">
        <v>70</v>
      </c>
      <c r="J155" s="447">
        <f t="shared" si="39"/>
        <v>6.229384894518593</v>
      </c>
      <c r="K155" s="447">
        <f t="shared" si="37"/>
        <v>2.9748914766630117</v>
      </c>
      <c r="L155" s="447">
        <f t="shared" si="40"/>
        <v>36.7968012624262</v>
      </c>
    </row>
    <row r="156" spans="1:12" ht="45">
      <c r="A156" s="396" t="s">
        <v>364</v>
      </c>
      <c r="B156" s="304">
        <v>3</v>
      </c>
      <c r="C156" s="304">
        <v>8</v>
      </c>
      <c r="D156" s="407">
        <v>35</v>
      </c>
      <c r="E156" s="447">
        <f t="shared" si="38"/>
        <v>4.2225826668958426</v>
      </c>
      <c r="F156" s="447">
        <f t="shared" si="36"/>
        <v>3.5239432478980408</v>
      </c>
      <c r="G156" s="304">
        <v>4</v>
      </c>
      <c r="H156" s="304">
        <v>5</v>
      </c>
      <c r="I156" s="407">
        <v>40</v>
      </c>
      <c r="J156" s="447">
        <f t="shared" si="39"/>
        <v>3.7645313796964266</v>
      </c>
      <c r="K156" s="447">
        <f t="shared" si="37"/>
        <v>2.3586780979574704</v>
      </c>
      <c r="L156" s="447">
        <f t="shared" si="40"/>
        <v>20.006542135524004</v>
      </c>
    </row>
    <row r="157" spans="1:12" ht="45.75" customHeight="1">
      <c r="A157" s="396" t="s">
        <v>365</v>
      </c>
      <c r="B157" s="304">
        <v>3</v>
      </c>
      <c r="C157" s="304">
        <v>8</v>
      </c>
      <c r="D157" s="407">
        <v>35</v>
      </c>
      <c r="E157" s="447">
        <f t="shared" si="38"/>
        <v>4.2225826668958426</v>
      </c>
      <c r="F157" s="447">
        <f t="shared" si="36"/>
        <v>3.5239432478980408</v>
      </c>
      <c r="G157" s="304">
        <v>8</v>
      </c>
      <c r="H157" s="304">
        <v>5</v>
      </c>
      <c r="I157" s="407">
        <v>40</v>
      </c>
      <c r="J157" s="447">
        <f t="shared" si="39"/>
        <v>3.7645313796964266</v>
      </c>
      <c r="K157" s="447">
        <f t="shared" si="37"/>
        <v>2.3586780979574704</v>
      </c>
      <c r="L157" s="447">
        <f t="shared" si="40"/>
        <v>29.441254527353884</v>
      </c>
    </row>
    <row r="158" spans="1:12" ht="45.75" customHeight="1">
      <c r="A158" s="396" t="s">
        <v>366</v>
      </c>
      <c r="B158" s="304">
        <v>3</v>
      </c>
      <c r="C158" s="304">
        <v>8</v>
      </c>
      <c r="D158" s="407">
        <v>35</v>
      </c>
      <c r="E158" s="447">
        <f t="shared" si="38"/>
        <v>4.2225826668958426</v>
      </c>
      <c r="F158" s="447">
        <f t="shared" si="36"/>
        <v>3.5239432478980408</v>
      </c>
      <c r="G158" s="304">
        <v>12</v>
      </c>
      <c r="H158" s="304">
        <v>5</v>
      </c>
      <c r="I158" s="407">
        <v>40</v>
      </c>
      <c r="J158" s="447">
        <f t="shared" si="39"/>
        <v>3.7645313796964266</v>
      </c>
      <c r="K158" s="447">
        <f t="shared" si="37"/>
        <v>2.3586780979574704</v>
      </c>
      <c r="L158" s="447">
        <f t="shared" si="40"/>
        <v>38.875966919183767</v>
      </c>
    </row>
    <row r="159" spans="1:12" ht="45.75" customHeight="1">
      <c r="A159" s="396" t="s">
        <v>367</v>
      </c>
      <c r="B159" s="304">
        <v>3</v>
      </c>
      <c r="C159" s="304">
        <v>8</v>
      </c>
      <c r="D159" s="407">
        <v>35</v>
      </c>
      <c r="E159" s="447">
        <f t="shared" si="38"/>
        <v>4.2225826668958426</v>
      </c>
      <c r="F159" s="447">
        <f t="shared" si="36"/>
        <v>3.5239432478980408</v>
      </c>
      <c r="G159" s="304">
        <v>16</v>
      </c>
      <c r="H159" s="304">
        <v>5</v>
      </c>
      <c r="I159" s="407">
        <v>40</v>
      </c>
      <c r="J159" s="447">
        <f t="shared" si="39"/>
        <v>3.7645313796964266</v>
      </c>
      <c r="K159" s="447">
        <f t="shared" si="37"/>
        <v>2.3586780979574704</v>
      </c>
      <c r="L159" s="447">
        <f t="shared" si="40"/>
        <v>48.310679311013651</v>
      </c>
    </row>
    <row r="160" spans="1:12" ht="45.75" customHeight="1">
      <c r="A160" s="396" t="s">
        <v>368</v>
      </c>
      <c r="B160" s="304">
        <v>3</v>
      </c>
      <c r="C160" s="304">
        <v>8</v>
      </c>
      <c r="D160" s="407">
        <v>35</v>
      </c>
      <c r="E160" s="447">
        <f t="shared" si="38"/>
        <v>4.2225826668958426</v>
      </c>
      <c r="F160" s="447">
        <f t="shared" si="36"/>
        <v>3.5239432478980408</v>
      </c>
      <c r="G160" s="304">
        <v>20</v>
      </c>
      <c r="H160" s="304">
        <v>5</v>
      </c>
      <c r="I160" s="407">
        <v>40</v>
      </c>
      <c r="J160" s="447">
        <f t="shared" si="39"/>
        <v>3.7645313796964266</v>
      </c>
      <c r="K160" s="447">
        <f t="shared" si="37"/>
        <v>2.3586780979574704</v>
      </c>
      <c r="L160" s="447">
        <f t="shared" si="40"/>
        <v>57.745391702843534</v>
      </c>
    </row>
    <row r="161" spans="1:20">
      <c r="A161" s="3"/>
    </row>
    <row r="162" spans="1:20">
      <c r="A162" s="3"/>
      <c r="B162" s="77"/>
      <c r="F162" t="s">
        <v>72</v>
      </c>
    </row>
    <row r="163" spans="1:20" ht="18">
      <c r="A163" s="4" t="s">
        <v>2</v>
      </c>
      <c r="B163" s="78" t="s">
        <v>61</v>
      </c>
      <c r="C163" s="78" t="s">
        <v>73</v>
      </c>
      <c r="D163" s="5" t="s">
        <v>74</v>
      </c>
      <c r="E163" s="78" t="s">
        <v>75</v>
      </c>
      <c r="F163" s="79" t="s">
        <v>76</v>
      </c>
      <c r="G163" s="80"/>
      <c r="O163" s="4" t="s">
        <v>2</v>
      </c>
      <c r="P163" s="682" t="s">
        <v>77</v>
      </c>
      <c r="Q163" s="683"/>
      <c r="R163" s="683"/>
      <c r="S163" s="683"/>
      <c r="T163" s="684"/>
    </row>
    <row r="164" spans="1:20">
      <c r="A164" s="8"/>
      <c r="B164" s="81" t="s">
        <v>17</v>
      </c>
      <c r="C164" s="82" t="s">
        <v>17</v>
      </c>
      <c r="D164" s="9" t="s">
        <v>78</v>
      </c>
      <c r="E164" s="82" t="s">
        <v>17</v>
      </c>
      <c r="F164" s="83" t="s">
        <v>17</v>
      </c>
      <c r="G164" s="84"/>
      <c r="O164" s="8"/>
      <c r="P164" s="95">
        <v>0.6</v>
      </c>
      <c r="Q164" s="95">
        <v>0.7</v>
      </c>
      <c r="R164" s="95">
        <v>0.8</v>
      </c>
      <c r="S164" s="95">
        <v>0.9</v>
      </c>
      <c r="T164" s="95">
        <v>1</v>
      </c>
    </row>
    <row r="165" spans="1:20" ht="45">
      <c r="A165" s="396" t="s">
        <v>356</v>
      </c>
      <c r="B165" s="138">
        <f t="shared" ref="B165:B179" si="46">L125</f>
        <v>5.0131385975895597</v>
      </c>
      <c r="C165" s="138">
        <v>6</v>
      </c>
      <c r="D165" s="400">
        <v>2.2999999999999998</v>
      </c>
      <c r="E165" s="404">
        <f t="shared" ref="E165:E179" si="47">1/(SQRT((1/L146)^2+(1/(D165*E146)^2)))</f>
        <v>6.2837898803493735</v>
      </c>
      <c r="F165" s="460">
        <f>MIN(B165,E165)</f>
        <v>5.0131385975895597</v>
      </c>
      <c r="G165" s="97"/>
      <c r="O165" s="396" t="s">
        <v>356</v>
      </c>
      <c r="P165" s="88">
        <f>MIN(P$164*$B165/1.3,$C165/1,P$164*$E165/1.3)</f>
        <v>2.3137562758105656</v>
      </c>
      <c r="Q165" s="88">
        <f>MIN(Q$164*$B165/1.3,$C165/1,Q$164*$E165/1.3)</f>
        <v>2.6993823217789936</v>
      </c>
      <c r="R165" s="88">
        <f>MIN(R$164*$B165/1.3,$C165/1,R$164*$E165/1.3)</f>
        <v>3.0850083677474216</v>
      </c>
      <c r="S165" s="88">
        <f>MIN(S$164*$B165/1.3,$C165/1,S$164*$E165/1.3)</f>
        <v>3.4706344137158487</v>
      </c>
      <c r="T165" s="88">
        <f>MIN(T$164*$B165/1.3,$C165/1,T$164*$E165/1.3)</f>
        <v>3.8562604596842767</v>
      </c>
    </row>
    <row r="166" spans="1:20" ht="45">
      <c r="A166" s="396" t="s">
        <v>360</v>
      </c>
      <c r="B166" s="138">
        <f t="shared" si="46"/>
        <v>7.2988007866232749</v>
      </c>
      <c r="C166" s="138">
        <v>11</v>
      </c>
      <c r="D166" s="400">
        <v>5.09</v>
      </c>
      <c r="E166" s="404">
        <f t="shared" si="47"/>
        <v>10.320201821419344</v>
      </c>
      <c r="F166" s="460">
        <f t="shared" ref="F166:F179" si="48">MIN(B166,E166)</f>
        <v>7.2988007866232749</v>
      </c>
      <c r="G166" s="97"/>
      <c r="O166" s="396" t="s">
        <v>360</v>
      </c>
      <c r="P166" s="88">
        <f t="shared" ref="P166:T179" si="49">MIN(P$164*$B166/1.3,$C166/1,P$164*$E166/1.3)</f>
        <v>3.3686772861338188</v>
      </c>
      <c r="Q166" s="88">
        <f t="shared" si="49"/>
        <v>3.9301235004894552</v>
      </c>
      <c r="R166" s="88">
        <f t="shared" si="49"/>
        <v>4.4915697148450926</v>
      </c>
      <c r="S166" s="88">
        <f t="shared" si="49"/>
        <v>5.0530159292007291</v>
      </c>
      <c r="T166" s="88">
        <f t="shared" si="49"/>
        <v>5.6144621435563655</v>
      </c>
    </row>
    <row r="167" spans="1:20" ht="45">
      <c r="A167" s="396" t="s">
        <v>357</v>
      </c>
      <c r="B167" s="138">
        <f t="shared" si="46"/>
        <v>10.026277195179119</v>
      </c>
      <c r="C167" s="138">
        <v>14</v>
      </c>
      <c r="D167" s="400">
        <v>10.9</v>
      </c>
      <c r="E167" s="404">
        <f t="shared" si="47"/>
        <v>15.517576285479718</v>
      </c>
      <c r="F167" s="460">
        <f t="shared" si="48"/>
        <v>10.026277195179119</v>
      </c>
      <c r="G167" s="97"/>
      <c r="O167" s="396" t="s">
        <v>357</v>
      </c>
      <c r="P167" s="88">
        <f t="shared" si="49"/>
        <v>4.6275125516211313</v>
      </c>
      <c r="Q167" s="88">
        <f t="shared" si="49"/>
        <v>5.3987646435579872</v>
      </c>
      <c r="R167" s="88">
        <f t="shared" si="49"/>
        <v>6.1700167354948432</v>
      </c>
      <c r="S167" s="88">
        <f t="shared" si="49"/>
        <v>6.9412688274316974</v>
      </c>
      <c r="T167" s="88">
        <f t="shared" si="49"/>
        <v>7.7125209193685533</v>
      </c>
    </row>
    <row r="168" spans="1:20" ht="45">
      <c r="A168" s="396" t="s">
        <v>359</v>
      </c>
      <c r="B168" s="138">
        <f t="shared" si="46"/>
        <v>12.753753603734964</v>
      </c>
      <c r="C168" s="138">
        <v>18</v>
      </c>
      <c r="D168" s="400">
        <v>19.100000000000001</v>
      </c>
      <c r="E168" s="404">
        <f t="shared" si="47"/>
        <v>20.503442515936641</v>
      </c>
      <c r="F168" s="460">
        <f t="shared" si="48"/>
        <v>12.753753603734964</v>
      </c>
      <c r="G168" s="97"/>
      <c r="O168" s="396" t="s">
        <v>359</v>
      </c>
      <c r="P168" s="88">
        <f t="shared" si="49"/>
        <v>5.8863478171084447</v>
      </c>
      <c r="Q168" s="88">
        <f t="shared" si="49"/>
        <v>6.8674057866265183</v>
      </c>
      <c r="R168" s="88">
        <f t="shared" si="49"/>
        <v>7.8484637561445938</v>
      </c>
      <c r="S168" s="88">
        <f t="shared" si="49"/>
        <v>8.8295217256626675</v>
      </c>
      <c r="T168" s="88">
        <f t="shared" si="49"/>
        <v>9.810579695180742</v>
      </c>
    </row>
    <row r="169" spans="1:20" ht="45">
      <c r="A169" s="396" t="s">
        <v>358</v>
      </c>
      <c r="B169" s="138">
        <f t="shared" si="46"/>
        <v>15.481230012290808</v>
      </c>
      <c r="C169" s="138">
        <v>18</v>
      </c>
      <c r="D169" s="400">
        <v>29.6</v>
      </c>
      <c r="E169" s="404">
        <f t="shared" si="47"/>
        <v>25.37747298728587</v>
      </c>
      <c r="F169" s="460">
        <f t="shared" si="48"/>
        <v>15.481230012290808</v>
      </c>
      <c r="G169" s="97"/>
      <c r="O169" s="396" t="s">
        <v>358</v>
      </c>
      <c r="P169" s="88">
        <f t="shared" si="49"/>
        <v>7.1451830825957581</v>
      </c>
      <c r="Q169" s="88">
        <f t="shared" si="49"/>
        <v>8.3360469296950495</v>
      </c>
      <c r="R169" s="88">
        <f t="shared" si="49"/>
        <v>9.5269107767943435</v>
      </c>
      <c r="S169" s="88">
        <f t="shared" si="49"/>
        <v>10.717774623893636</v>
      </c>
      <c r="T169" s="88">
        <f t="shared" si="49"/>
        <v>11.90863847099293</v>
      </c>
    </row>
    <row r="170" spans="1:20" ht="45">
      <c r="A170" s="396" t="s">
        <v>361</v>
      </c>
      <c r="B170" s="138">
        <f t="shared" si="46"/>
        <v>18.208706420846653</v>
      </c>
      <c r="C170" s="138">
        <v>18</v>
      </c>
      <c r="D170" s="400">
        <v>42.6</v>
      </c>
      <c r="E170" s="404">
        <f t="shared" si="47"/>
        <v>30.199846731059701</v>
      </c>
      <c r="F170" s="460">
        <f t="shared" si="48"/>
        <v>18.208706420846653</v>
      </c>
      <c r="G170" s="97"/>
      <c r="O170" s="396" t="s">
        <v>361</v>
      </c>
      <c r="P170" s="88">
        <f t="shared" si="49"/>
        <v>8.4040183480830706</v>
      </c>
      <c r="Q170" s="88">
        <f t="shared" si="49"/>
        <v>9.8046880727635806</v>
      </c>
      <c r="R170" s="88">
        <f t="shared" si="49"/>
        <v>11.205357797444094</v>
      </c>
      <c r="S170" s="88">
        <f t="shared" si="49"/>
        <v>12.606027522124606</v>
      </c>
      <c r="T170" s="88">
        <f t="shared" si="49"/>
        <v>14.006697246805118</v>
      </c>
    </row>
    <row r="171" spans="1:20" ht="45">
      <c r="A171" s="408" t="s">
        <v>858</v>
      </c>
      <c r="B171" s="138">
        <f t="shared" si="46"/>
        <v>13.866687624227694</v>
      </c>
      <c r="C171" s="138">
        <v>14</v>
      </c>
      <c r="D171" s="400">
        <v>10.9</v>
      </c>
      <c r="E171" s="404">
        <f t="shared" si="47"/>
        <v>17.520896253158739</v>
      </c>
      <c r="F171" s="460">
        <f t="shared" ref="F171" si="50">MIN(B171,E171)</f>
        <v>13.866687624227694</v>
      </c>
      <c r="G171" s="97"/>
      <c r="O171" s="408" t="s">
        <v>858</v>
      </c>
      <c r="P171" s="88">
        <f t="shared" si="49"/>
        <v>6.4000096727204738</v>
      </c>
      <c r="Q171" s="88">
        <f t="shared" si="49"/>
        <v>7.4666779515072186</v>
      </c>
      <c r="R171" s="88">
        <f t="shared" si="49"/>
        <v>8.5333462302939669</v>
      </c>
      <c r="S171" s="88">
        <f t="shared" si="49"/>
        <v>9.6000145090807116</v>
      </c>
      <c r="T171" s="88">
        <f t="shared" si="49"/>
        <v>10.666682787867456</v>
      </c>
    </row>
    <row r="172" spans="1:20" ht="45">
      <c r="A172" s="408" t="s">
        <v>803</v>
      </c>
      <c r="B172" s="138">
        <f t="shared" si="46"/>
        <v>16.594164032783539</v>
      </c>
      <c r="C172" s="138">
        <v>18</v>
      </c>
      <c r="D172" s="400">
        <v>19.100000000000001</v>
      </c>
      <c r="E172" s="404">
        <f t="shared" si="47"/>
        <v>23.78949249234692</v>
      </c>
      <c r="F172" s="460">
        <f t="shared" si="48"/>
        <v>16.594164032783539</v>
      </c>
      <c r="G172" s="97"/>
      <c r="O172" s="408" t="s">
        <v>803</v>
      </c>
      <c r="P172" s="88">
        <f t="shared" si="49"/>
        <v>7.6588449382077863</v>
      </c>
      <c r="Q172" s="88">
        <f t="shared" si="49"/>
        <v>8.9353190945757497</v>
      </c>
      <c r="R172" s="88">
        <f t="shared" si="49"/>
        <v>10.211793250943717</v>
      </c>
      <c r="S172" s="88">
        <f t="shared" si="49"/>
        <v>11.48826740731168</v>
      </c>
      <c r="T172" s="88">
        <f t="shared" si="49"/>
        <v>12.764741563679644</v>
      </c>
    </row>
    <row r="173" spans="1:20" ht="45">
      <c r="A173" s="408" t="s">
        <v>362</v>
      </c>
      <c r="B173" s="138">
        <f t="shared" si="46"/>
        <v>19.321640441339383</v>
      </c>
      <c r="C173" s="138">
        <v>18</v>
      </c>
      <c r="D173" s="400">
        <v>29.6</v>
      </c>
      <c r="E173" s="404">
        <f t="shared" si="47"/>
        <v>29.948424200011651</v>
      </c>
      <c r="F173" s="460">
        <f t="shared" si="48"/>
        <v>19.321640441339383</v>
      </c>
      <c r="G173" s="97"/>
      <c r="O173" s="408" t="s">
        <v>362</v>
      </c>
      <c r="P173" s="88">
        <f t="shared" si="49"/>
        <v>8.9176802036950988</v>
      </c>
      <c r="Q173" s="88">
        <f t="shared" si="49"/>
        <v>10.403960237644283</v>
      </c>
      <c r="R173" s="88">
        <f t="shared" si="49"/>
        <v>11.890240271593468</v>
      </c>
      <c r="S173" s="88">
        <f t="shared" si="49"/>
        <v>13.37652030554265</v>
      </c>
      <c r="T173" s="88">
        <f t="shared" si="49"/>
        <v>14.862800339491832</v>
      </c>
    </row>
    <row r="174" spans="1:20" ht="45">
      <c r="A174" s="408" t="s">
        <v>363</v>
      </c>
      <c r="B174" s="138">
        <f t="shared" si="46"/>
        <v>22.049116849895228</v>
      </c>
      <c r="C174" s="138">
        <v>18</v>
      </c>
      <c r="D174" s="400">
        <v>42.6</v>
      </c>
      <c r="E174" s="404">
        <f t="shared" si="47"/>
        <v>36.050267394696462</v>
      </c>
      <c r="F174" s="460">
        <f t="shared" si="48"/>
        <v>22.049116849895228</v>
      </c>
      <c r="G174" s="97"/>
      <c r="O174" s="408" t="s">
        <v>363</v>
      </c>
      <c r="P174" s="88">
        <f t="shared" si="49"/>
        <v>10.176515469182412</v>
      </c>
      <c r="Q174" s="88">
        <f t="shared" si="49"/>
        <v>11.872601380712814</v>
      </c>
      <c r="R174" s="88">
        <f t="shared" si="49"/>
        <v>13.568687292243217</v>
      </c>
      <c r="S174" s="88">
        <f t="shared" si="49"/>
        <v>15.264773203773618</v>
      </c>
      <c r="T174" s="88">
        <f t="shared" si="49"/>
        <v>16.960859115304022</v>
      </c>
    </row>
    <row r="175" spans="1:20" ht="45">
      <c r="A175" s="396" t="s">
        <v>364</v>
      </c>
      <c r="B175" s="138">
        <f t="shared" si="46"/>
        <v>12.311939384212835</v>
      </c>
      <c r="C175" s="138">
        <v>11</v>
      </c>
      <c r="D175" s="400">
        <v>27.6</v>
      </c>
      <c r="E175" s="404">
        <f t="shared" si="47"/>
        <v>19.718112337749027</v>
      </c>
      <c r="F175" s="460">
        <f t="shared" si="48"/>
        <v>12.311939384212835</v>
      </c>
      <c r="G175" s="97"/>
      <c r="O175" s="396" t="s">
        <v>364</v>
      </c>
      <c r="P175" s="88">
        <f t="shared" si="49"/>
        <v>5.6824335619443849</v>
      </c>
      <c r="Q175" s="88">
        <f t="shared" si="49"/>
        <v>6.6295058222684489</v>
      </c>
      <c r="R175" s="88">
        <f t="shared" si="49"/>
        <v>7.5765780825925138</v>
      </c>
      <c r="S175" s="88">
        <f t="shared" si="49"/>
        <v>8.5236503429165786</v>
      </c>
      <c r="T175" s="88">
        <f t="shared" si="49"/>
        <v>9.4707226032406417</v>
      </c>
    </row>
    <row r="176" spans="1:20" ht="46.5" customHeight="1">
      <c r="A176" s="396" t="s">
        <v>365</v>
      </c>
      <c r="B176" s="138">
        <f t="shared" si="46"/>
        <v>17.766892201324524</v>
      </c>
      <c r="C176" s="138">
        <v>14</v>
      </c>
      <c r="D176" s="400">
        <v>56.5</v>
      </c>
      <c r="E176" s="404">
        <f t="shared" si="47"/>
        <v>29.21960860471922</v>
      </c>
      <c r="F176" s="460">
        <f t="shared" si="48"/>
        <v>17.766892201324524</v>
      </c>
      <c r="G176" s="97"/>
      <c r="O176" s="396" t="s">
        <v>365</v>
      </c>
      <c r="P176" s="88">
        <f t="shared" si="49"/>
        <v>8.2001040929190108</v>
      </c>
      <c r="Q176" s="88">
        <f t="shared" si="49"/>
        <v>9.5667881084055111</v>
      </c>
      <c r="R176" s="88">
        <f t="shared" si="49"/>
        <v>10.933472123892015</v>
      </c>
      <c r="S176" s="88">
        <f t="shared" si="49"/>
        <v>12.300156139378517</v>
      </c>
      <c r="T176" s="88">
        <f t="shared" si="49"/>
        <v>13.666840154865017</v>
      </c>
    </row>
    <row r="177" spans="1:20" ht="46.5" customHeight="1">
      <c r="A177" s="396" t="s">
        <v>366</v>
      </c>
      <c r="B177" s="138">
        <f t="shared" si="46"/>
        <v>23.221845018436213</v>
      </c>
      <c r="C177" s="138">
        <v>18</v>
      </c>
      <c r="D177" s="400">
        <v>94.8</v>
      </c>
      <c r="E177" s="404">
        <f t="shared" si="47"/>
        <v>38.693920674875599</v>
      </c>
      <c r="F177" s="460">
        <f t="shared" si="48"/>
        <v>23.221845018436213</v>
      </c>
      <c r="G177" s="97"/>
      <c r="O177" s="396" t="s">
        <v>366</v>
      </c>
      <c r="P177" s="88">
        <f t="shared" si="49"/>
        <v>10.717774623893636</v>
      </c>
      <c r="Q177" s="88">
        <f t="shared" si="49"/>
        <v>12.504070394542575</v>
      </c>
      <c r="R177" s="88">
        <f t="shared" si="49"/>
        <v>14.290366165191516</v>
      </c>
      <c r="S177" s="88">
        <f t="shared" si="49"/>
        <v>16.076661935840455</v>
      </c>
      <c r="T177" s="88">
        <f t="shared" si="49"/>
        <v>17.862957706489393</v>
      </c>
    </row>
    <row r="178" spans="1:20" ht="46.5" customHeight="1">
      <c r="A178" s="396" t="s">
        <v>367</v>
      </c>
      <c r="B178" s="138">
        <f t="shared" si="46"/>
        <v>28.676797835547902</v>
      </c>
      <c r="C178" s="138">
        <v>18</v>
      </c>
      <c r="D178" s="400">
        <v>94.8</v>
      </c>
      <c r="E178" s="404">
        <f t="shared" si="47"/>
        <v>47.962651727427655</v>
      </c>
      <c r="F178" s="460">
        <f t="shared" si="48"/>
        <v>28.676797835547902</v>
      </c>
      <c r="G178" s="98"/>
      <c r="O178" s="396" t="s">
        <v>367</v>
      </c>
      <c r="P178" s="88">
        <f t="shared" si="49"/>
        <v>13.235445154868261</v>
      </c>
      <c r="Q178" s="88">
        <f t="shared" si="49"/>
        <v>15.441352680679639</v>
      </c>
      <c r="R178" s="88">
        <f t="shared" si="49"/>
        <v>17.647260206491016</v>
      </c>
      <c r="S178" s="88">
        <f t="shared" si="49"/>
        <v>18</v>
      </c>
      <c r="T178" s="88">
        <f t="shared" si="49"/>
        <v>18</v>
      </c>
    </row>
    <row r="179" spans="1:20" ht="46.5" customHeight="1">
      <c r="A179" s="396" t="s">
        <v>368</v>
      </c>
      <c r="B179" s="138">
        <f t="shared" si="46"/>
        <v>34.131750652659591</v>
      </c>
      <c r="C179" s="138">
        <v>18</v>
      </c>
      <c r="D179" s="400">
        <v>94.8</v>
      </c>
      <c r="E179" s="404">
        <f t="shared" si="47"/>
        <v>57.153782775838984</v>
      </c>
      <c r="F179" s="460">
        <f t="shared" si="48"/>
        <v>34.131750652659591</v>
      </c>
      <c r="G179" s="98"/>
      <c r="O179" s="396" t="s">
        <v>368</v>
      </c>
      <c r="P179" s="88">
        <f t="shared" si="49"/>
        <v>15.753115685842886</v>
      </c>
      <c r="Q179" s="88">
        <f t="shared" si="49"/>
        <v>18</v>
      </c>
      <c r="R179" s="88">
        <f t="shared" si="49"/>
        <v>18</v>
      </c>
      <c r="S179" s="88">
        <f t="shared" si="49"/>
        <v>18</v>
      </c>
      <c r="T179" s="88">
        <f t="shared" si="49"/>
        <v>18</v>
      </c>
    </row>
    <row r="180" spans="1:20">
      <c r="A180" s="91"/>
      <c r="D180" s="99"/>
    </row>
    <row r="181" spans="1:20">
      <c r="A181" s="3"/>
      <c r="D181" s="100"/>
    </row>
    <row r="182" spans="1:20" ht="18.75">
      <c r="A182" s="56" t="s">
        <v>839</v>
      </c>
      <c r="D182" s="100"/>
    </row>
    <row r="183" spans="1:20" ht="18.75">
      <c r="A183" s="56"/>
      <c r="D183" s="100"/>
    </row>
    <row r="184" spans="1:20">
      <c r="A184" s="21" t="s">
        <v>37</v>
      </c>
      <c r="B184" t="str">
        <f>'Load bearing values_RICON-S_EN'!E5</f>
        <v>GL24h</v>
      </c>
      <c r="D184" s="100"/>
    </row>
    <row r="185" spans="1:20" ht="18">
      <c r="A185" s="23" t="s">
        <v>39</v>
      </c>
      <c r="B185" s="24">
        <f>VLOOKUP(B184,$V$7:$W$17,2,FALSE)</f>
        <v>385</v>
      </c>
      <c r="C185" t="s">
        <v>40</v>
      </c>
    </row>
    <row r="186" spans="1:20" ht="18">
      <c r="A186" s="23" t="s">
        <v>62</v>
      </c>
      <c r="B186" s="90">
        <v>35000</v>
      </c>
      <c r="C186" s="90">
        <v>20000</v>
      </c>
      <c r="D186" t="s">
        <v>63</v>
      </c>
    </row>
    <row r="187" spans="1:20">
      <c r="A187" s="23" t="s">
        <v>64</v>
      </c>
      <c r="B187" s="90">
        <v>10</v>
      </c>
      <c r="C187" s="90">
        <v>8</v>
      </c>
      <c r="D187" t="s">
        <v>65</v>
      </c>
    </row>
    <row r="188" spans="1:20" ht="18">
      <c r="A188" s="23" t="s">
        <v>66</v>
      </c>
      <c r="B188" s="101">
        <f>0.033*$B$185*B187^-0.3</f>
        <v>6.3675838032344938</v>
      </c>
      <c r="C188" s="101">
        <f>0.033*$B$185*C187^-0.3</f>
        <v>6.808440920761802</v>
      </c>
      <c r="D188" t="s">
        <v>67</v>
      </c>
    </row>
    <row r="189" spans="1:20" ht="18">
      <c r="A189" s="23" t="s">
        <v>68</v>
      </c>
      <c r="B189" s="102">
        <f>0.082*B187^-0.3*$B$185</f>
        <v>15.822480965612984</v>
      </c>
      <c r="C189" s="102">
        <f>0.082*C187^-0.3*$B$185</f>
        <v>16.917944106135387</v>
      </c>
      <c r="D189" t="s">
        <v>67</v>
      </c>
    </row>
    <row r="191" spans="1:20">
      <c r="A191" s="3"/>
      <c r="D191" s="100"/>
    </row>
    <row r="192" spans="1:20">
      <c r="A192" s="3"/>
    </row>
    <row r="193" spans="1:19" ht="18">
      <c r="A193" s="4" t="s">
        <v>2</v>
      </c>
      <c r="B193" s="5" t="s">
        <v>43</v>
      </c>
      <c r="C193" s="5" t="s">
        <v>9</v>
      </c>
      <c r="D193" s="5" t="s">
        <v>44</v>
      </c>
      <c r="E193" s="5" t="s">
        <v>59</v>
      </c>
      <c r="F193" s="5" t="s">
        <v>60</v>
      </c>
      <c r="G193" s="5" t="s">
        <v>61</v>
      </c>
      <c r="H193" s="181"/>
      <c r="I193" s="165"/>
      <c r="J193" s="165"/>
      <c r="K193" s="165"/>
    </row>
    <row r="194" spans="1:19">
      <c r="A194" s="8"/>
      <c r="B194" s="9" t="s">
        <v>19</v>
      </c>
      <c r="C194" s="9" t="s">
        <v>18</v>
      </c>
      <c r="D194" s="9" t="s">
        <v>18</v>
      </c>
      <c r="E194" s="9" t="s">
        <v>17</v>
      </c>
      <c r="F194" s="9" t="s">
        <v>17</v>
      </c>
      <c r="G194" s="62" t="s">
        <v>17</v>
      </c>
      <c r="H194" s="181"/>
      <c r="I194" s="165"/>
      <c r="J194" s="165"/>
      <c r="K194" s="165"/>
    </row>
    <row r="195" spans="1:19" hidden="1">
      <c r="A195" s="14" t="s">
        <v>29</v>
      </c>
      <c r="B195" s="66">
        <v>1</v>
      </c>
      <c r="C195" s="66">
        <v>8</v>
      </c>
      <c r="D195" s="34">
        <v>137</v>
      </c>
      <c r="E195" s="65">
        <f>(0.3*0.52*SQRT(C195)*D195^0.9*$B$185^0.8)/1000</f>
        <v>4.3260017012857244</v>
      </c>
      <c r="F195" s="65">
        <f>MIN($C$187*$C$188*D195/1000,(2.3*SQRT($C$186*$C$187*$C$188))/1000+(E195/4),$C$187*$C$188*D195/1000*(SQRT(2+4*$C$186/($C$187*$C$188*D195^2))-1)+E195/4)</f>
        <v>3.482055443506348</v>
      </c>
      <c r="G195" s="65" t="e">
        <f>B195*F195+#REF!*K195</f>
        <v>#REF!</v>
      </c>
      <c r="H195" s="386"/>
      <c r="I195" s="314"/>
      <c r="J195" s="123"/>
      <c r="K195" s="123"/>
    </row>
    <row r="196" spans="1:19" hidden="1">
      <c r="A196" s="44" t="s">
        <v>30</v>
      </c>
      <c r="B196" s="66">
        <v>1</v>
      </c>
      <c r="C196" s="66">
        <v>8</v>
      </c>
      <c r="D196" s="34">
        <v>137</v>
      </c>
      <c r="E196" s="65">
        <f t="shared" ref="E196:E202" si="51">(0.3*0.52*SQRT(C196)*D196^0.9*$B$185^0.8)/1000</f>
        <v>4.3260017012857244</v>
      </c>
      <c r="F196" s="65">
        <f>MIN($C$187*$C$188*D196/1000,(2.3*SQRT($C$186*$C$187*$C$188))/1000+(E196/4),$C$187*$C$188*D196/1000*(SQRT(2+4*$C$186/($C$187*$C$188*D196^2))-1)+E196/4)</f>
        <v>3.482055443506348</v>
      </c>
      <c r="G196" s="65" t="e">
        <f>B196*F196+#REF!*K196</f>
        <v>#REF!</v>
      </c>
      <c r="H196" s="386"/>
      <c r="I196" s="314"/>
      <c r="J196" s="123"/>
      <c r="K196" s="123"/>
    </row>
    <row r="197" spans="1:19" hidden="1">
      <c r="A197" s="14" t="s">
        <v>31</v>
      </c>
      <c r="B197" s="66">
        <v>1</v>
      </c>
      <c r="C197" s="66">
        <v>8</v>
      </c>
      <c r="D197" s="34">
        <v>137</v>
      </c>
      <c r="E197" s="65">
        <f t="shared" si="51"/>
        <v>4.3260017012857244</v>
      </c>
      <c r="F197" s="65">
        <f>MIN($C$187*$C$188*D197/1000,(2.3*SQRT($C$186*$C$187*$C$188))/1000+(E197/4),$C$187*$C$188*D197/1000*(SQRT(2+4*$C$186/($C$187*$C$188*D197^2))-1)+E197/4)</f>
        <v>3.482055443506348</v>
      </c>
      <c r="G197" s="65" t="e">
        <f>B197*F197+#REF!*K197</f>
        <v>#REF!</v>
      </c>
      <c r="H197" s="386"/>
      <c r="I197" s="314"/>
      <c r="J197" s="123"/>
      <c r="K197" s="123"/>
      <c r="P197"/>
      <c r="Q197"/>
      <c r="R197"/>
      <c r="S197"/>
    </row>
    <row r="198" spans="1:19" hidden="1">
      <c r="A198" s="44" t="s">
        <v>32</v>
      </c>
      <c r="B198" s="66">
        <v>1</v>
      </c>
      <c r="C198" s="66">
        <v>8</v>
      </c>
      <c r="D198" s="34">
        <v>137</v>
      </c>
      <c r="E198" s="65">
        <f t="shared" si="51"/>
        <v>4.3260017012857244</v>
      </c>
      <c r="F198" s="65">
        <f>MIN($C$187*$C$188*D198/1000,(2.3*SQRT($C$186*$C$187*$C$188))/1000+(E198/4),$C$187*$C$188*D198/1000*(SQRT(2+4*$C$186/($C$187*$C$188*D198^2))-1)+E198/4)</f>
        <v>3.482055443506348</v>
      </c>
      <c r="G198" s="65" t="e">
        <f>B198*F198+#REF!*K198</f>
        <v>#REF!</v>
      </c>
      <c r="H198" s="386"/>
      <c r="I198" s="314"/>
      <c r="J198" s="123"/>
      <c r="K198" s="123"/>
      <c r="P198"/>
      <c r="Q198"/>
      <c r="R198"/>
      <c r="S198"/>
    </row>
    <row r="199" spans="1:19" hidden="1">
      <c r="A199" s="14" t="s">
        <v>33</v>
      </c>
      <c r="B199" s="66">
        <v>1</v>
      </c>
      <c r="C199" s="66">
        <v>10</v>
      </c>
      <c r="D199" s="34">
        <v>175</v>
      </c>
      <c r="E199" s="65">
        <f t="shared" si="51"/>
        <v>6.0287520940422592</v>
      </c>
      <c r="F199" s="65">
        <f>MIN($B$187*$B$188*D199/1000,(2.3*SQRT($B$186*$B$187*$B$188))/1000+(E199/4),$B$187*$B$188*D199/1000*(SQRT(2+4*$B$186/($B$187*$B$188*D199^2))-1)+E199/4)</f>
        <v>4.9407840119298001</v>
      </c>
      <c r="G199" s="65" t="e">
        <f>B199*F199+#REF!*K199</f>
        <v>#REF!</v>
      </c>
      <c r="H199" s="386"/>
      <c r="I199" s="314"/>
      <c r="J199" s="123"/>
      <c r="K199" s="123"/>
      <c r="P199"/>
      <c r="Q199"/>
      <c r="R199"/>
      <c r="S199"/>
    </row>
    <row r="200" spans="1:19" hidden="1">
      <c r="A200" s="44" t="s">
        <v>34</v>
      </c>
      <c r="B200" s="66">
        <v>1</v>
      </c>
      <c r="C200" s="66">
        <v>10</v>
      </c>
      <c r="D200" s="34">
        <v>175</v>
      </c>
      <c r="E200" s="65">
        <f t="shared" si="51"/>
        <v>6.0287520940422592</v>
      </c>
      <c r="F200" s="65">
        <f>MIN($B$187*$B$188*D200/1000,(2.3*SQRT($B$186*$B$187*$B$188))/1000+(E200/4),$B$187*$B$188*D200/1000*(SQRT(2+4*$B$186/($B$187*$B$188*D200^2))-1)+E200/4)</f>
        <v>4.9407840119298001</v>
      </c>
      <c r="G200" s="65" t="e">
        <f>B200*F200+#REF!*K200</f>
        <v>#REF!</v>
      </c>
      <c r="H200" s="386"/>
      <c r="I200" s="314"/>
      <c r="J200" s="123"/>
      <c r="K200" s="123"/>
      <c r="P200"/>
      <c r="Q200"/>
      <c r="R200"/>
      <c r="S200"/>
    </row>
    <row r="201" spans="1:19" hidden="1">
      <c r="A201" s="44" t="s">
        <v>35</v>
      </c>
      <c r="B201" s="66">
        <v>1</v>
      </c>
      <c r="C201" s="66">
        <v>10</v>
      </c>
      <c r="D201" s="34">
        <v>175</v>
      </c>
      <c r="E201" s="65">
        <f t="shared" si="51"/>
        <v>6.0287520940422592</v>
      </c>
      <c r="F201" s="65">
        <f>MIN($B$187*$B$188*D201/1000,(2.3*SQRT($B$186*$B$187*$B$188))/1000+(E201/4),$B$187*$B$188*D201/1000*(SQRT(2+4*$B$186/($B$187*$B$188*D201^2))-1)+E201/4)</f>
        <v>4.9407840119298001</v>
      </c>
      <c r="G201" s="65" t="e">
        <f>B201*F201+#REF!*K201</f>
        <v>#REF!</v>
      </c>
      <c r="H201" s="386"/>
      <c r="I201" s="314"/>
      <c r="J201" s="123"/>
      <c r="K201" s="123"/>
      <c r="P201"/>
      <c r="Q201"/>
      <c r="R201"/>
      <c r="S201"/>
    </row>
    <row r="202" spans="1:19" hidden="1">
      <c r="A202" s="14" t="s">
        <v>36</v>
      </c>
      <c r="B202" s="66">
        <v>1</v>
      </c>
      <c r="C202" s="66">
        <v>10</v>
      </c>
      <c r="D202" s="34">
        <v>175</v>
      </c>
      <c r="E202" s="65">
        <f t="shared" si="51"/>
        <v>6.0287520940422592</v>
      </c>
      <c r="F202" s="65">
        <f>MIN($B$187*$B$188*D202/1000,(2.3*SQRT($B$186*$B$187*$B$188))/1000+(E202/4),$B$187*$B$188*D202/1000*(SQRT(2+4*$B$186/($B$187*$B$188*D202^2))-1)+E202/4)</f>
        <v>4.9407840119298001</v>
      </c>
      <c r="G202" s="65" t="e">
        <f>B202*F202+#REF!*K202</f>
        <v>#REF!</v>
      </c>
      <c r="H202" s="386"/>
      <c r="I202" s="314"/>
      <c r="J202" s="123"/>
      <c r="K202" s="123"/>
      <c r="P202"/>
      <c r="Q202"/>
      <c r="R202"/>
      <c r="S202"/>
    </row>
    <row r="203" spans="1:19" ht="30">
      <c r="A203" s="424" t="s">
        <v>377</v>
      </c>
      <c r="B203" s="63">
        <v>10</v>
      </c>
      <c r="C203" s="63">
        <v>8</v>
      </c>
      <c r="D203" s="303">
        <v>145</v>
      </c>
      <c r="E203" s="64">
        <f t="shared" ref="E203:E208" si="52">($E$209*0.52*SQRT(C203)*D203^0.9*$B$185^0.8)/1000</f>
        <v>9.1054072130615449</v>
      </c>
      <c r="F203" s="64">
        <f>MIN($C$187*$C$188*D203/1000,(2.3*SQRT($C$186*$C$187*$C$188))/1000+(E203/4),$C$187*$C$188*D203/1000*(SQRT(2+4*$C$186/($C$187*$C$188*D203^2))-1)+E203/4)</f>
        <v>4.6769068214503031</v>
      </c>
      <c r="G203" s="64">
        <f t="shared" ref="G203:G208" si="53">B203^0.9*F203</f>
        <v>37.149991394525706</v>
      </c>
      <c r="H203" s="238" t="s">
        <v>310</v>
      </c>
      <c r="I203" s="314"/>
      <c r="K203" s="123"/>
      <c r="P203"/>
      <c r="Q203"/>
      <c r="R203"/>
      <c r="S203"/>
    </row>
    <row r="204" spans="1:19" ht="30">
      <c r="A204" s="342" t="s">
        <v>379</v>
      </c>
      <c r="B204" s="63">
        <v>10</v>
      </c>
      <c r="C204" s="63">
        <v>8</v>
      </c>
      <c r="D204" s="303">
        <v>225</v>
      </c>
      <c r="E204" s="64">
        <f t="shared" si="52"/>
        <v>13.521735531614226</v>
      </c>
      <c r="F204" s="64">
        <f>MIN($C$187*$C$188*D204/1000,(2.3*SQRT($C$186*$C$187*$C$188))/1000+(E204/4),$C$187*$C$188*D204/1000*(SQRT(2+4*$C$186/($C$187*$C$188*D204^2))-1)+E204/4)</f>
        <v>5.7809889010884739</v>
      </c>
      <c r="G204" s="64">
        <f t="shared" si="53"/>
        <v>45.920027087622728</v>
      </c>
      <c r="H204" s="238" t="s">
        <v>310</v>
      </c>
      <c r="I204" s="314"/>
      <c r="J204" s="123"/>
      <c r="K204" s="123"/>
      <c r="P204"/>
      <c r="Q204"/>
      <c r="R204"/>
      <c r="S204"/>
    </row>
    <row r="205" spans="1:19" ht="30">
      <c r="A205" s="342" t="s">
        <v>380</v>
      </c>
      <c r="B205" s="63">
        <v>16</v>
      </c>
      <c r="C205" s="63">
        <v>8</v>
      </c>
      <c r="D205" s="303">
        <v>145</v>
      </c>
      <c r="E205" s="64">
        <f t="shared" si="52"/>
        <v>9.1054072130615449</v>
      </c>
      <c r="F205" s="64">
        <f>MIN($C$187*$C$188*D205/1000,(2.3*SQRT($C$186*$C$187*$C$188))/1000+(E205/4),$C$187*$C$188*D205/1000*(SQRT(2+4*$C$186/($C$187*$C$188*D205^2))-1)+E205/4)</f>
        <v>4.6769068214503031</v>
      </c>
      <c r="G205" s="64">
        <f t="shared" si="53"/>
        <v>56.710921194381697</v>
      </c>
      <c r="H205" s="238" t="s">
        <v>310</v>
      </c>
      <c r="I205" s="314"/>
      <c r="J205" s="123"/>
      <c r="K205" s="123"/>
      <c r="P205"/>
      <c r="Q205"/>
      <c r="R205"/>
      <c r="S205"/>
    </row>
    <row r="206" spans="1:19" ht="30">
      <c r="A206" s="342" t="s">
        <v>381</v>
      </c>
      <c r="B206" s="63">
        <v>16</v>
      </c>
      <c r="C206" s="63">
        <v>8</v>
      </c>
      <c r="D206" s="303">
        <v>225</v>
      </c>
      <c r="E206" s="64">
        <f t="shared" si="52"/>
        <v>13.521735531614226</v>
      </c>
      <c r="F206" s="64">
        <f>MIN($C$187*$C$188*D206/1000,(2.3*SQRT($C$186*$C$187*$C$188))/1000+(E206/4),$C$187*$C$188*D206/1000*(SQRT(2+4*$C$186/($C$187*$C$188*D206^2))-1)+E206/4)</f>
        <v>5.7809889010884739</v>
      </c>
      <c r="G206" s="64">
        <f t="shared" si="53"/>
        <v>70.098725185540317</v>
      </c>
      <c r="H206" s="238" t="s">
        <v>310</v>
      </c>
      <c r="I206" s="314"/>
      <c r="J206" s="123"/>
      <c r="K206" s="123"/>
      <c r="P206"/>
      <c r="Q206"/>
      <c r="R206"/>
      <c r="S206"/>
    </row>
    <row r="207" spans="1:19" ht="30">
      <c r="A207" s="342" t="s">
        <v>383</v>
      </c>
      <c r="B207" s="63">
        <v>16</v>
      </c>
      <c r="C207" s="63">
        <v>10</v>
      </c>
      <c r="D207" s="303">
        <v>180</v>
      </c>
      <c r="E207" s="64">
        <f t="shared" si="52"/>
        <v>12.367115938864831</v>
      </c>
      <c r="F207" s="64">
        <f>MIN($B$187*$B$188*D207/1000,(2.3*SQRT($B$186*$B$187*$B$188))/1000+(E207/4),$B$187*$B$188*D207/1000*(SQRT(2+4*$B$186/($B$187*$B$188*D207^2))-1)+E207/4)</f>
        <v>6.5253749731354436</v>
      </c>
      <c r="G207" s="64">
        <f t="shared" si="53"/>
        <v>79.124951595789881</v>
      </c>
      <c r="H207" s="238" t="s">
        <v>310</v>
      </c>
      <c r="I207" s="314"/>
      <c r="J207" s="123"/>
      <c r="K207" s="123"/>
      <c r="P207"/>
      <c r="Q207"/>
      <c r="R207"/>
      <c r="S207"/>
    </row>
    <row r="208" spans="1:19" ht="30">
      <c r="A208" s="342" t="s">
        <v>422</v>
      </c>
      <c r="B208" s="63">
        <v>20</v>
      </c>
      <c r="C208" s="63">
        <v>10</v>
      </c>
      <c r="D208" s="303">
        <v>180</v>
      </c>
      <c r="E208" s="64">
        <f t="shared" si="52"/>
        <v>12.367115938864831</v>
      </c>
      <c r="F208" s="64">
        <f>MIN($B$187*$B$188*D208/1000,(2.3*SQRT($B$186*$B$187*$B$188))/1000+(E208/4),$B$187*$B$188*D208/1000*(SQRT(2+4*$B$186/($B$187*$B$188*D208^2))-1)+E208/4)</f>
        <v>6.5253749731354436</v>
      </c>
      <c r="G208" s="64">
        <f t="shared" si="53"/>
        <v>96.723603718619998</v>
      </c>
      <c r="H208" s="238" t="s">
        <v>310</v>
      </c>
      <c r="I208" s="314"/>
      <c r="J208" s="123"/>
      <c r="K208" s="123"/>
      <c r="P208"/>
      <c r="Q208"/>
      <c r="R208"/>
      <c r="S208"/>
    </row>
    <row r="209" spans="1:21">
      <c r="D209" s="23" t="s">
        <v>308</v>
      </c>
      <c r="E209" s="22">
        <v>0.6</v>
      </c>
    </row>
    <row r="211" spans="1:21" ht="18">
      <c r="A211" s="4" t="s">
        <v>2</v>
      </c>
      <c r="B211" s="5" t="s">
        <v>43</v>
      </c>
      <c r="C211" s="5" t="s">
        <v>9</v>
      </c>
      <c r="D211" s="5" t="s">
        <v>44</v>
      </c>
      <c r="E211" s="5" t="s">
        <v>69</v>
      </c>
      <c r="F211" s="5" t="s">
        <v>70</v>
      </c>
      <c r="G211" s="5" t="s">
        <v>71</v>
      </c>
      <c r="H211" s="181"/>
      <c r="I211" s="165"/>
      <c r="J211" s="165"/>
      <c r="K211" s="165"/>
    </row>
    <row r="212" spans="1:21">
      <c r="A212" s="8"/>
      <c r="B212" s="9" t="s">
        <v>19</v>
      </c>
      <c r="C212" s="9" t="s">
        <v>18</v>
      </c>
      <c r="D212" s="9" t="s">
        <v>18</v>
      </c>
      <c r="E212" s="9" t="s">
        <v>17</v>
      </c>
      <c r="F212" s="9" t="s">
        <v>17</v>
      </c>
      <c r="G212" s="62" t="s">
        <v>17</v>
      </c>
      <c r="H212" s="181"/>
      <c r="I212" s="165"/>
      <c r="J212" s="165"/>
      <c r="K212" s="165"/>
    </row>
    <row r="213" spans="1:21" hidden="1">
      <c r="A213" s="14" t="s">
        <v>29</v>
      </c>
      <c r="B213" s="66">
        <v>1</v>
      </c>
      <c r="C213" s="66">
        <v>8</v>
      </c>
      <c r="D213" s="34">
        <f>80-23</f>
        <v>57</v>
      </c>
      <c r="E213" s="65">
        <f>(0.52*SQRT(C213)*D213^0.9*$B$185^0.8)/1000</f>
        <v>6.5494418543005892</v>
      </c>
      <c r="F213" s="65">
        <f>MIN($C$187*$C$189*D213/1000,(2.3*SQRT($C$186*$C$187*$C$189))/1000+(E213/4),$C$187*$C$189*D213/1000*(SQRT(2+4*$C$186/($C$187*$C$189*D213^2))-1)+E213/4)</f>
        <v>5.3182617456072272</v>
      </c>
      <c r="G213" s="65" t="e">
        <f>B213*F213+#REF!*K213</f>
        <v>#REF!</v>
      </c>
      <c r="H213" s="386"/>
      <c r="I213" s="314"/>
      <c r="J213" s="123"/>
      <c r="K213" s="123"/>
    </row>
    <row r="214" spans="1:21" hidden="1">
      <c r="A214" s="44" t="s">
        <v>30</v>
      </c>
      <c r="B214" s="66">
        <v>1</v>
      </c>
      <c r="C214" s="66">
        <v>8</v>
      </c>
      <c r="D214" s="34">
        <f>80-23</f>
        <v>57</v>
      </c>
      <c r="E214" s="65">
        <f t="shared" ref="E214:E226" si="54">(0.52*SQRT(C214)*D214^0.9*$B$185^0.8)/1000</f>
        <v>6.5494418543005892</v>
      </c>
      <c r="F214" s="65">
        <f>MIN($C$187*$C$189*D214/1000,(2.3*SQRT($C$186*$C$187*$C$189))/1000+(E214/4),$C$187*$C$189*D214/1000*(SQRT(2+4*$C$186/($C$187*$C$189*D214^2))-1)+E214/4)</f>
        <v>5.3182617456072272</v>
      </c>
      <c r="G214" s="65" t="e">
        <f>B214*F214+#REF!*K214</f>
        <v>#REF!</v>
      </c>
      <c r="H214" s="386"/>
      <c r="I214" s="314"/>
      <c r="J214" s="123"/>
      <c r="K214" s="123"/>
    </row>
    <row r="215" spans="1:21" hidden="1">
      <c r="A215" s="14" t="s">
        <v>31</v>
      </c>
      <c r="B215" s="66">
        <v>1</v>
      </c>
      <c r="C215" s="66">
        <v>8</v>
      </c>
      <c r="D215" s="34">
        <f>80-23</f>
        <v>57</v>
      </c>
      <c r="E215" s="65">
        <f t="shared" si="54"/>
        <v>6.5494418543005892</v>
      </c>
      <c r="F215" s="65">
        <f>MIN($C$187*$C$189*D215/1000,(2.3*SQRT($C$186*$C$187*$C$189))/1000+(E215/4),$C$187*$C$189*D215/1000*(SQRT(2+4*$C$186/($C$187*$C$189*D215^2))-1)+E215/4)</f>
        <v>5.3182617456072272</v>
      </c>
      <c r="G215" s="65" t="e">
        <f>B215*F215+#REF!*K215</f>
        <v>#REF!</v>
      </c>
      <c r="H215" s="386"/>
      <c r="I215" s="314"/>
      <c r="J215" s="123"/>
      <c r="K215" s="123"/>
    </row>
    <row r="216" spans="1:21" hidden="1">
      <c r="A216" s="44" t="s">
        <v>32</v>
      </c>
      <c r="B216" s="66">
        <v>1</v>
      </c>
      <c r="C216" s="66">
        <v>8</v>
      </c>
      <c r="D216" s="34">
        <f>80-23</f>
        <v>57</v>
      </c>
      <c r="E216" s="65">
        <f t="shared" si="54"/>
        <v>6.5494418543005892</v>
      </c>
      <c r="F216" s="65">
        <f>MIN($C$187*$C$189*D216/1000,(2.3*SQRT($C$186*$C$187*$C$189))/1000+(E216/4),$C$187*$C$189*D216/1000*(SQRT(2+4*$C$186/($C$187*$C$189*D216^2))-1)+E216/4)</f>
        <v>5.3182617456072272</v>
      </c>
      <c r="G216" s="65" t="e">
        <f>B216*F216+#REF!*K216</f>
        <v>#REF!</v>
      </c>
      <c r="H216" s="386"/>
      <c r="I216" s="314"/>
      <c r="J216" s="123"/>
      <c r="K216" s="123"/>
    </row>
    <row r="217" spans="1:21" hidden="1">
      <c r="A217" s="14" t="s">
        <v>33</v>
      </c>
      <c r="B217" s="66">
        <v>1</v>
      </c>
      <c r="C217" s="66">
        <v>10</v>
      </c>
      <c r="D217" s="34">
        <f>100-25</f>
        <v>75</v>
      </c>
      <c r="E217" s="65">
        <f>(0.52*SQRT(C217)*D217^0.9*$B$185^0.8)/1000</f>
        <v>9.3740456535592109</v>
      </c>
      <c r="F217" s="65">
        <f>MIN($B$187*$B$189*D217/1000,(2.3*SQRT($B$186*$B$187*$B$189))/1000+(E217/4),$B$187*$B$189*D217/1000*(SQRT(2+4*$B$186/($B$187*$B$189*D217^2))-1)+E217/4)</f>
        <v>7.7560268644377199</v>
      </c>
      <c r="G217" s="65" t="e">
        <f>B217*F217+#REF!*K217</f>
        <v>#REF!</v>
      </c>
      <c r="H217" s="386"/>
      <c r="I217" s="314"/>
      <c r="J217" s="123"/>
      <c r="K217" s="123"/>
    </row>
    <row r="218" spans="1:21" hidden="1">
      <c r="A218" s="44" t="s">
        <v>34</v>
      </c>
      <c r="B218" s="66">
        <v>1</v>
      </c>
      <c r="C218" s="66">
        <v>10</v>
      </c>
      <c r="D218" s="34">
        <f>100-25</f>
        <v>75</v>
      </c>
      <c r="E218" s="65">
        <f t="shared" si="54"/>
        <v>9.3740456535592109</v>
      </c>
      <c r="F218" s="65">
        <f>MIN($B$187*$B$189*D218/1000,(2.3*SQRT($B$186*$B$187*$B$189))/1000+(E218/4),$B$187*$B$189*D218/1000*(SQRT(2+4*$B$186/($B$187*$B$189*D218^2))-1)+E218/4)</f>
        <v>7.7560268644377199</v>
      </c>
      <c r="G218" s="65" t="e">
        <f>B218*F218+#REF!*K218</f>
        <v>#REF!</v>
      </c>
      <c r="H218" s="386"/>
      <c r="I218" s="314"/>
      <c r="J218" s="123"/>
      <c r="K218" s="123"/>
    </row>
    <row r="219" spans="1:21" hidden="1">
      <c r="A219" s="44" t="s">
        <v>35</v>
      </c>
      <c r="B219" s="66">
        <v>1</v>
      </c>
      <c r="C219" s="66">
        <v>10</v>
      </c>
      <c r="D219" s="34">
        <f>100-25</f>
        <v>75</v>
      </c>
      <c r="E219" s="65">
        <f t="shared" si="54"/>
        <v>9.3740456535592109</v>
      </c>
      <c r="F219" s="65">
        <f>MIN($B$187*$B$189*D219/1000,(2.3*SQRT($B$186*$B$187*$B$189))/1000+(E219/4),$B$187*$B$189*D219/1000*(SQRT(2+4*$B$186/($B$187*$B$189*D219^2))-1)+E219/4)</f>
        <v>7.7560268644377199</v>
      </c>
      <c r="G219" s="65" t="e">
        <f>B219*F219+#REF!*K219</f>
        <v>#REF!</v>
      </c>
      <c r="H219" s="386"/>
      <c r="I219" s="314"/>
      <c r="J219" s="123"/>
      <c r="K219" s="123"/>
    </row>
    <row r="220" spans="1:21" hidden="1">
      <c r="A220" s="14" t="s">
        <v>36</v>
      </c>
      <c r="B220" s="66">
        <v>1</v>
      </c>
      <c r="C220" s="66">
        <v>10</v>
      </c>
      <c r="D220" s="34">
        <f>100-25</f>
        <v>75</v>
      </c>
      <c r="E220" s="65">
        <f t="shared" si="54"/>
        <v>9.3740456535592109</v>
      </c>
      <c r="F220" s="65">
        <f>MIN($B$187*$B$189*D220/1000,(2.3*SQRT($B$186*$B$187*$B$189))/1000+(E220/4),$B$187*$B$189*D220/1000*(SQRT(2+4*$B$186/($B$187*$B$189*D220^2))-1)+E220/4)</f>
        <v>7.7560268644377199</v>
      </c>
      <c r="G220" s="65" t="e">
        <f>B220*F220+#REF!*K220</f>
        <v>#REF!</v>
      </c>
      <c r="H220" s="386"/>
      <c r="I220" s="314"/>
      <c r="J220" s="123"/>
      <c r="K220" s="123"/>
    </row>
    <row r="221" spans="1:21" ht="30">
      <c r="A221" s="424" t="s">
        <v>377</v>
      </c>
      <c r="B221" s="63">
        <v>10</v>
      </c>
      <c r="C221" s="63">
        <v>8</v>
      </c>
      <c r="D221" s="303">
        <v>70</v>
      </c>
      <c r="E221" s="64">
        <f t="shared" si="54"/>
        <v>7.8796178754106014</v>
      </c>
      <c r="F221" s="64">
        <f>MIN($C$187*$C$189*D221/1000,(2.3*SQRT($C$186*$C$187*$C$189))/1000+(E221/4),$C$187*$C$189*D221/1000*(SQRT(2+4*$C$186/($C$187*$C$189*D221^2))-1)+E221/4)</f>
        <v>5.7539958910348616</v>
      </c>
      <c r="G221" s="64">
        <f t="shared" ref="G221:G226" si="55">B221^0.9*F221</f>
        <v>45.70561398736492</v>
      </c>
      <c r="H221" s="238" t="s">
        <v>384</v>
      </c>
      <c r="I221" s="314"/>
      <c r="J221" s="123"/>
      <c r="K221" s="123"/>
    </row>
    <row r="222" spans="1:21" ht="30">
      <c r="A222" s="342" t="s">
        <v>379</v>
      </c>
      <c r="B222" s="63">
        <v>10</v>
      </c>
      <c r="C222" s="63">
        <v>8</v>
      </c>
      <c r="D222" s="303">
        <v>70</v>
      </c>
      <c r="E222" s="64">
        <f t="shared" si="54"/>
        <v>7.8796178754106014</v>
      </c>
      <c r="F222" s="64">
        <f>MIN($C$187*$C$189*D222/1000,(2.3*SQRT($C$186*$C$187*$C$189))/1000+(E222/4),$C$187*$C$189*D222/1000*(SQRT(2+4*$C$186/($C$187*$C$189*D222^2))-1)+E222/4)</f>
        <v>5.7539958910348616</v>
      </c>
      <c r="G222" s="64">
        <f t="shared" si="55"/>
        <v>45.70561398736492</v>
      </c>
      <c r="H222" s="238" t="s">
        <v>384</v>
      </c>
      <c r="I222" s="314"/>
      <c r="J222" s="123"/>
      <c r="K222" s="123"/>
      <c r="U222" s="103"/>
    </row>
    <row r="223" spans="1:21" ht="30">
      <c r="A223" s="342" t="s">
        <v>380</v>
      </c>
      <c r="B223" s="63">
        <v>16</v>
      </c>
      <c r="C223" s="63">
        <v>8</v>
      </c>
      <c r="D223" s="303">
        <v>70</v>
      </c>
      <c r="E223" s="64">
        <f t="shared" si="54"/>
        <v>7.8796178754106014</v>
      </c>
      <c r="F223" s="64">
        <f>MIN($C$187*$C$189*D223/1000,(2.3*SQRT($C$186*$C$187*$C$189))/1000+(E223/4),$C$187*$C$189*D223/1000*(SQRT(2+4*$C$186/($C$187*$C$189*D223^2))-1)+E223/4)</f>
        <v>5.7539958910348616</v>
      </c>
      <c r="G223" s="64">
        <f t="shared" si="55"/>
        <v>69.771415165394387</v>
      </c>
      <c r="H223" s="238" t="s">
        <v>384</v>
      </c>
      <c r="I223" s="314"/>
      <c r="J223" s="123"/>
      <c r="K223" s="123"/>
    </row>
    <row r="224" spans="1:21" ht="30">
      <c r="A224" s="342" t="s">
        <v>381</v>
      </c>
      <c r="B224" s="63">
        <v>16</v>
      </c>
      <c r="C224" s="63">
        <v>8</v>
      </c>
      <c r="D224" s="303">
        <v>70</v>
      </c>
      <c r="E224" s="64">
        <f t="shared" si="54"/>
        <v>7.8796178754106014</v>
      </c>
      <c r="F224" s="64">
        <f>MIN($C$187*$C$189*D224/1000,(2.3*SQRT($C$186*$C$187*$C$189))/1000+(E224/4),$C$187*$C$189*D224/1000*(SQRT(2+4*$C$186/($C$187*$C$189*D224^2))-1)+E224/4)</f>
        <v>5.7539958910348616</v>
      </c>
      <c r="G224" s="64">
        <f t="shared" si="55"/>
        <v>69.771415165394387</v>
      </c>
      <c r="H224" s="238" t="s">
        <v>384</v>
      </c>
      <c r="I224" s="314"/>
      <c r="J224" s="123"/>
      <c r="K224" s="123"/>
    </row>
    <row r="225" spans="1:21" ht="30">
      <c r="A225" s="342" t="s">
        <v>383</v>
      </c>
      <c r="B225" s="63">
        <v>16</v>
      </c>
      <c r="C225" s="63">
        <v>10</v>
      </c>
      <c r="D225" s="303">
        <v>85</v>
      </c>
      <c r="E225" s="64">
        <f t="shared" si="54"/>
        <v>10.491774806064372</v>
      </c>
      <c r="F225" s="64">
        <f>MIN($B$187*$B$189*D225/1000,(2.3*SQRT($B$186*$B$187*$B$189))/1000+(E225/4),$B$187*$B$189*D225/1000*(SQRT(2+4*$B$186/($B$187*$B$189*D225^2))-1)+E225/4)</f>
        <v>8.0354591525640107</v>
      </c>
      <c r="G225" s="64">
        <f t="shared" si="55"/>
        <v>97.435828456471</v>
      </c>
      <c r="H225" s="238" t="s">
        <v>384</v>
      </c>
      <c r="I225" s="314"/>
      <c r="J225" s="123"/>
      <c r="K225" s="123"/>
    </row>
    <row r="226" spans="1:21" ht="30">
      <c r="A226" s="342" t="s">
        <v>422</v>
      </c>
      <c r="B226" s="63">
        <v>20</v>
      </c>
      <c r="C226" s="63">
        <v>10</v>
      </c>
      <c r="D226" s="303">
        <v>85</v>
      </c>
      <c r="E226" s="64">
        <f t="shared" si="54"/>
        <v>10.491774806064372</v>
      </c>
      <c r="F226" s="64">
        <f>MIN($B$187*$B$189*D226/1000,(2.3*SQRT($B$186*$B$187*$B$189))/1000+(E226/4),$B$187*$B$189*D226/1000*(SQRT(2+4*$B$186/($B$187*$B$189*D226^2))-1)+E226/4)</f>
        <v>8.0354591525640107</v>
      </c>
      <c r="G226" s="64">
        <f t="shared" si="55"/>
        <v>119.10711184713817</v>
      </c>
      <c r="H226" s="238" t="s">
        <v>384</v>
      </c>
      <c r="I226" s="314"/>
      <c r="J226" s="123"/>
      <c r="K226" s="123"/>
    </row>
    <row r="229" spans="1:21">
      <c r="A229" s="3"/>
      <c r="B229" s="77"/>
      <c r="F229" t="s">
        <v>72</v>
      </c>
      <c r="G229" s="3"/>
    </row>
    <row r="230" spans="1:21" ht="18">
      <c r="A230" s="4" t="s">
        <v>2</v>
      </c>
      <c r="B230" s="78" t="s">
        <v>61</v>
      </c>
      <c r="C230" s="78" t="s">
        <v>73</v>
      </c>
      <c r="D230" s="5" t="s">
        <v>74</v>
      </c>
      <c r="E230" s="78" t="s">
        <v>75</v>
      </c>
      <c r="F230" s="79" t="s">
        <v>85</v>
      </c>
      <c r="G230" s="80"/>
      <c r="O230" s="4" t="s">
        <v>2</v>
      </c>
      <c r="P230" s="682" t="s">
        <v>77</v>
      </c>
      <c r="Q230" s="683"/>
      <c r="R230" s="683"/>
      <c r="S230" s="683"/>
      <c r="T230" s="684"/>
    </row>
    <row r="231" spans="1:21">
      <c r="A231" s="8"/>
      <c r="B231" s="81" t="s">
        <v>17</v>
      </c>
      <c r="C231" s="82" t="s">
        <v>17</v>
      </c>
      <c r="D231" s="9" t="s">
        <v>78</v>
      </c>
      <c r="E231" s="82" t="s">
        <v>17</v>
      </c>
      <c r="F231" s="83" t="s">
        <v>17</v>
      </c>
      <c r="G231" s="84"/>
      <c r="O231" s="8"/>
      <c r="P231" s="104">
        <v>0.6</v>
      </c>
      <c r="Q231" s="104">
        <v>0.7</v>
      </c>
      <c r="R231" s="104">
        <v>0.8</v>
      </c>
      <c r="S231" s="104">
        <v>0.9</v>
      </c>
      <c r="T231" s="104">
        <v>1</v>
      </c>
      <c r="U231" s="105"/>
    </row>
    <row r="232" spans="1:21" hidden="1">
      <c r="A232" s="14" t="s">
        <v>29</v>
      </c>
      <c r="B232" s="65" t="e">
        <f t="shared" ref="B232:B245" si="56">G195</f>
        <v>#REF!</v>
      </c>
      <c r="C232" s="65">
        <v>34</v>
      </c>
      <c r="D232" s="106">
        <v>10.7</v>
      </c>
      <c r="E232" s="65" t="e">
        <f t="shared" ref="E232:E245" si="57">1/SQRT((1/G213)^2+(1/(D232*E213))^2)</f>
        <v>#REF!</v>
      </c>
      <c r="F232" s="107" t="e">
        <f>MIN(B232,E232)</f>
        <v>#REF!</v>
      </c>
      <c r="G232" s="87"/>
      <c r="N232" s="103"/>
      <c r="O232" s="14" t="s">
        <v>29</v>
      </c>
      <c r="P232" s="88" t="e">
        <f>MIN(P$231*$B232/1.3,$C232/1,P$231*$E232/1.3)</f>
        <v>#REF!</v>
      </c>
      <c r="Q232" s="88" t="e">
        <f>MIN(Q$231*$B232/1.3,$C232/1,Q$231*$E232/1.3)</f>
        <v>#REF!</v>
      </c>
      <c r="R232" s="88" t="e">
        <f>MIN(R$231*$B232/1.3,$C232/1,R$231*$E232/1.3)</f>
        <v>#REF!</v>
      </c>
      <c r="S232" s="88" t="e">
        <f>MIN(S$231*$B232/1.3,$C232/1,S$231*$E232/1.3)</f>
        <v>#REF!</v>
      </c>
      <c r="T232" s="88" t="e">
        <f>MIN(T$231*$B232/1.3,$C232/1,T$231*$E232/1.3)</f>
        <v>#REF!</v>
      </c>
    </row>
    <row r="233" spans="1:21" hidden="1">
      <c r="A233" s="44" t="s">
        <v>30</v>
      </c>
      <c r="B233" s="65" t="e">
        <f t="shared" si="56"/>
        <v>#REF!</v>
      </c>
      <c r="C233" s="65">
        <v>34</v>
      </c>
      <c r="D233" s="106">
        <v>18.3</v>
      </c>
      <c r="E233" s="65" t="e">
        <f t="shared" si="57"/>
        <v>#REF!</v>
      </c>
      <c r="F233" s="107" t="e">
        <f t="shared" ref="F233:F245" si="58">MIN(B233,E233)</f>
        <v>#REF!</v>
      </c>
      <c r="G233" s="87"/>
      <c r="N233" s="103"/>
      <c r="O233" s="44" t="s">
        <v>30</v>
      </c>
      <c r="P233" s="88" t="e">
        <f t="shared" ref="P233:T245" si="59">MIN(P$231*$B233/1.3,$C233/1,P$231*$E233/1.3)</f>
        <v>#REF!</v>
      </c>
      <c r="Q233" s="88" t="e">
        <f t="shared" si="59"/>
        <v>#REF!</v>
      </c>
      <c r="R233" s="88" t="e">
        <f t="shared" si="59"/>
        <v>#REF!</v>
      </c>
      <c r="S233" s="88" t="e">
        <f t="shared" si="59"/>
        <v>#REF!</v>
      </c>
      <c r="T233" s="88" t="e">
        <f t="shared" si="59"/>
        <v>#REF!</v>
      </c>
    </row>
    <row r="234" spans="1:21" hidden="1">
      <c r="A234" s="14" t="s">
        <v>31</v>
      </c>
      <c r="B234" s="65" t="e">
        <f t="shared" si="56"/>
        <v>#REF!</v>
      </c>
      <c r="C234" s="65">
        <v>34</v>
      </c>
      <c r="D234" s="106">
        <v>27.8</v>
      </c>
      <c r="E234" s="65" t="e">
        <f t="shared" si="57"/>
        <v>#REF!</v>
      </c>
      <c r="F234" s="107" t="e">
        <f t="shared" si="58"/>
        <v>#REF!</v>
      </c>
      <c r="G234" s="87"/>
      <c r="N234" s="103"/>
      <c r="O234" s="14" t="s">
        <v>31</v>
      </c>
      <c r="P234" s="88" t="e">
        <f t="shared" si="59"/>
        <v>#REF!</v>
      </c>
      <c r="Q234" s="88" t="e">
        <f t="shared" si="59"/>
        <v>#REF!</v>
      </c>
      <c r="R234" s="88" t="e">
        <f t="shared" si="59"/>
        <v>#REF!</v>
      </c>
      <c r="S234" s="88" t="e">
        <f t="shared" si="59"/>
        <v>#REF!</v>
      </c>
      <c r="T234" s="88" t="e">
        <f t="shared" si="59"/>
        <v>#REF!</v>
      </c>
    </row>
    <row r="235" spans="1:21" hidden="1">
      <c r="A235" s="44" t="s">
        <v>32</v>
      </c>
      <c r="B235" s="65" t="e">
        <f t="shared" si="56"/>
        <v>#REF!</v>
      </c>
      <c r="C235" s="65">
        <v>34</v>
      </c>
      <c r="D235" s="106">
        <v>39.299999999999997</v>
      </c>
      <c r="E235" s="65" t="e">
        <f t="shared" si="57"/>
        <v>#REF!</v>
      </c>
      <c r="F235" s="107" t="e">
        <f t="shared" si="58"/>
        <v>#REF!</v>
      </c>
      <c r="G235" s="87"/>
      <c r="N235" s="103"/>
      <c r="O235" s="44" t="s">
        <v>32</v>
      </c>
      <c r="P235" s="88" t="e">
        <f t="shared" si="59"/>
        <v>#REF!</v>
      </c>
      <c r="Q235" s="88" t="e">
        <f t="shared" si="59"/>
        <v>#REF!</v>
      </c>
      <c r="R235" s="88" t="e">
        <f t="shared" si="59"/>
        <v>#REF!</v>
      </c>
      <c r="S235" s="88" t="e">
        <f t="shared" si="59"/>
        <v>#REF!</v>
      </c>
      <c r="T235" s="88" t="e">
        <f t="shared" si="59"/>
        <v>#REF!</v>
      </c>
    </row>
    <row r="236" spans="1:21" hidden="1">
      <c r="A236" s="14" t="s">
        <v>33</v>
      </c>
      <c r="B236" s="65" t="e">
        <f t="shared" si="56"/>
        <v>#REF!</v>
      </c>
      <c r="C236" s="65">
        <v>50</v>
      </c>
      <c r="D236" s="106">
        <v>27.8</v>
      </c>
      <c r="E236" s="65" t="e">
        <f t="shared" si="57"/>
        <v>#REF!</v>
      </c>
      <c r="F236" s="107" t="e">
        <f t="shared" si="58"/>
        <v>#REF!</v>
      </c>
      <c r="G236" s="87"/>
      <c r="N236" s="103"/>
      <c r="O236" s="14" t="s">
        <v>33</v>
      </c>
      <c r="P236" s="88" t="e">
        <f t="shared" si="59"/>
        <v>#REF!</v>
      </c>
      <c r="Q236" s="88" t="e">
        <f t="shared" si="59"/>
        <v>#REF!</v>
      </c>
      <c r="R236" s="88" t="e">
        <f t="shared" si="59"/>
        <v>#REF!</v>
      </c>
      <c r="S236" s="88" t="e">
        <f t="shared" si="59"/>
        <v>#REF!</v>
      </c>
      <c r="T236" s="88" t="e">
        <f t="shared" si="59"/>
        <v>#REF!</v>
      </c>
    </row>
    <row r="237" spans="1:21" hidden="1">
      <c r="A237" s="44" t="s">
        <v>34</v>
      </c>
      <c r="B237" s="65" t="e">
        <f t="shared" si="56"/>
        <v>#REF!</v>
      </c>
      <c r="C237" s="65">
        <v>50</v>
      </c>
      <c r="D237" s="106">
        <v>39.299999999999997</v>
      </c>
      <c r="E237" s="65" t="e">
        <f t="shared" si="57"/>
        <v>#REF!</v>
      </c>
      <c r="F237" s="107" t="e">
        <f t="shared" si="58"/>
        <v>#REF!</v>
      </c>
      <c r="G237" s="87"/>
      <c r="N237" s="103"/>
      <c r="O237" s="44" t="s">
        <v>34</v>
      </c>
      <c r="P237" s="88" t="e">
        <f t="shared" si="59"/>
        <v>#REF!</v>
      </c>
      <c r="Q237" s="88" t="e">
        <f t="shared" si="59"/>
        <v>#REF!</v>
      </c>
      <c r="R237" s="88" t="e">
        <f t="shared" si="59"/>
        <v>#REF!</v>
      </c>
      <c r="S237" s="88" t="e">
        <f t="shared" si="59"/>
        <v>#REF!</v>
      </c>
      <c r="T237" s="88" t="e">
        <f t="shared" si="59"/>
        <v>#REF!</v>
      </c>
    </row>
    <row r="238" spans="1:21" hidden="1">
      <c r="A238" s="44" t="s">
        <v>35</v>
      </c>
      <c r="B238" s="65" t="e">
        <f t="shared" si="56"/>
        <v>#REF!</v>
      </c>
      <c r="C238" s="65">
        <v>50</v>
      </c>
      <c r="D238" s="106">
        <v>52.9</v>
      </c>
      <c r="E238" s="65" t="e">
        <f t="shared" si="57"/>
        <v>#REF!</v>
      </c>
      <c r="F238" s="107" t="e">
        <f t="shared" si="58"/>
        <v>#REF!</v>
      </c>
      <c r="G238" s="87"/>
      <c r="N238" s="103"/>
      <c r="O238" s="44" t="s">
        <v>35</v>
      </c>
      <c r="P238" s="88" t="e">
        <f t="shared" si="59"/>
        <v>#REF!</v>
      </c>
      <c r="Q238" s="88" t="e">
        <f t="shared" si="59"/>
        <v>#REF!</v>
      </c>
      <c r="R238" s="88" t="e">
        <f t="shared" si="59"/>
        <v>#REF!</v>
      </c>
      <c r="S238" s="88" t="e">
        <f t="shared" si="59"/>
        <v>#REF!</v>
      </c>
      <c r="T238" s="88" t="e">
        <f t="shared" si="59"/>
        <v>#REF!</v>
      </c>
    </row>
    <row r="239" spans="1:21" hidden="1">
      <c r="A239" s="14" t="s">
        <v>36</v>
      </c>
      <c r="B239" s="65" t="e">
        <f t="shared" si="56"/>
        <v>#REF!</v>
      </c>
      <c r="C239" s="65">
        <v>50</v>
      </c>
      <c r="D239" s="106">
        <v>68.400000000000006</v>
      </c>
      <c r="E239" s="65" t="e">
        <f t="shared" si="57"/>
        <v>#REF!</v>
      </c>
      <c r="F239" s="107" t="e">
        <f t="shared" si="58"/>
        <v>#REF!</v>
      </c>
      <c r="G239" s="87"/>
      <c r="N239" s="103"/>
      <c r="O239" s="14" t="s">
        <v>36</v>
      </c>
      <c r="P239" s="88" t="e">
        <f t="shared" si="59"/>
        <v>#REF!</v>
      </c>
      <c r="Q239" s="88" t="e">
        <f t="shared" si="59"/>
        <v>#REF!</v>
      </c>
      <c r="R239" s="88" t="e">
        <f t="shared" si="59"/>
        <v>#REF!</v>
      </c>
      <c r="S239" s="88" t="e">
        <f t="shared" si="59"/>
        <v>#REF!</v>
      </c>
      <c r="T239" s="88" t="e">
        <f t="shared" si="59"/>
        <v>#REF!</v>
      </c>
    </row>
    <row r="240" spans="1:21" ht="30">
      <c r="A240" s="424" t="s">
        <v>377</v>
      </c>
      <c r="B240" s="65">
        <f t="shared" si="56"/>
        <v>37.149991394525706</v>
      </c>
      <c r="C240" s="65">
        <v>34</v>
      </c>
      <c r="D240" s="106">
        <v>10.7</v>
      </c>
      <c r="E240" s="65">
        <f t="shared" si="57"/>
        <v>40.18125965399701</v>
      </c>
      <c r="F240" s="107">
        <f t="shared" si="58"/>
        <v>37.149991394525706</v>
      </c>
      <c r="G240" s="87"/>
      <c r="N240" s="103"/>
      <c r="O240" s="424" t="s">
        <v>377</v>
      </c>
      <c r="P240" s="88">
        <f t="shared" si="59"/>
        <v>17.146149874396478</v>
      </c>
      <c r="Q240" s="88">
        <f t="shared" si="59"/>
        <v>20.003841520129225</v>
      </c>
      <c r="R240" s="88">
        <f t="shared" si="59"/>
        <v>22.861533165861974</v>
      </c>
      <c r="S240" s="88">
        <f t="shared" si="59"/>
        <v>25.719224811594717</v>
      </c>
      <c r="T240" s="88">
        <f t="shared" si="59"/>
        <v>28.576916457327464</v>
      </c>
    </row>
    <row r="241" spans="1:20" ht="30">
      <c r="A241" s="342" t="s">
        <v>379</v>
      </c>
      <c r="B241" s="65">
        <f t="shared" si="56"/>
        <v>45.920027087622728</v>
      </c>
      <c r="C241" s="65">
        <v>34</v>
      </c>
      <c r="D241" s="106">
        <v>10.7</v>
      </c>
      <c r="E241" s="65">
        <f t="shared" si="57"/>
        <v>40.18125965399701</v>
      </c>
      <c r="F241" s="107">
        <f t="shared" si="58"/>
        <v>40.18125965399701</v>
      </c>
      <c r="G241" s="87"/>
      <c r="N241" s="103"/>
      <c r="O241" s="342" t="s">
        <v>379</v>
      </c>
      <c r="P241" s="88">
        <f t="shared" si="59"/>
        <v>18.545196763383235</v>
      </c>
      <c r="Q241" s="88">
        <f t="shared" si="59"/>
        <v>21.636062890613772</v>
      </c>
      <c r="R241" s="88">
        <f t="shared" si="59"/>
        <v>24.726929017844313</v>
      </c>
      <c r="S241" s="88">
        <f t="shared" si="59"/>
        <v>27.817795145074854</v>
      </c>
      <c r="T241" s="88">
        <f t="shared" si="59"/>
        <v>30.908661272305391</v>
      </c>
    </row>
    <row r="242" spans="1:20" ht="30">
      <c r="A242" s="342" t="s">
        <v>380</v>
      </c>
      <c r="B242" s="65">
        <f t="shared" si="56"/>
        <v>56.710921194381697</v>
      </c>
      <c r="C242" s="65">
        <v>34</v>
      </c>
      <c r="D242" s="106">
        <v>27.8</v>
      </c>
      <c r="E242" s="65">
        <f t="shared" si="57"/>
        <v>66.480609906200655</v>
      </c>
      <c r="F242" s="107">
        <f t="shared" si="58"/>
        <v>56.710921194381697</v>
      </c>
      <c r="G242" s="87"/>
      <c r="N242" s="103"/>
      <c r="O242" s="342" t="s">
        <v>380</v>
      </c>
      <c r="P242" s="88">
        <f t="shared" si="59"/>
        <v>26.174271320483861</v>
      </c>
      <c r="Q242" s="88">
        <f t="shared" si="59"/>
        <v>30.536649873897833</v>
      </c>
      <c r="R242" s="88">
        <f t="shared" si="59"/>
        <v>34</v>
      </c>
      <c r="S242" s="88">
        <f t="shared" si="59"/>
        <v>34</v>
      </c>
      <c r="T242" s="88">
        <f t="shared" si="59"/>
        <v>34</v>
      </c>
    </row>
    <row r="243" spans="1:20" ht="30">
      <c r="A243" s="342" t="s">
        <v>381</v>
      </c>
      <c r="B243" s="65">
        <f t="shared" si="56"/>
        <v>70.098725185540317</v>
      </c>
      <c r="C243" s="65">
        <v>34</v>
      </c>
      <c r="D243" s="106">
        <v>27.8</v>
      </c>
      <c r="E243" s="65">
        <f t="shared" si="57"/>
        <v>66.480609906200655</v>
      </c>
      <c r="F243" s="107">
        <f t="shared" si="58"/>
        <v>66.480609906200655</v>
      </c>
      <c r="G243" s="87"/>
      <c r="N243" s="103"/>
      <c r="O243" s="342" t="s">
        <v>381</v>
      </c>
      <c r="P243" s="88">
        <f t="shared" si="59"/>
        <v>30.683358418246456</v>
      </c>
      <c r="Q243" s="88">
        <f t="shared" si="59"/>
        <v>34</v>
      </c>
      <c r="R243" s="88">
        <f t="shared" si="59"/>
        <v>34</v>
      </c>
      <c r="S243" s="88">
        <f t="shared" si="59"/>
        <v>34</v>
      </c>
      <c r="T243" s="88">
        <f t="shared" si="59"/>
        <v>34</v>
      </c>
    </row>
    <row r="244" spans="1:20" ht="31.5" customHeight="1">
      <c r="A244" s="342" t="s">
        <v>383</v>
      </c>
      <c r="B244" s="65">
        <f t="shared" si="56"/>
        <v>79.124951595789881</v>
      </c>
      <c r="C244" s="65">
        <v>50</v>
      </c>
      <c r="D244" s="106">
        <v>27.8</v>
      </c>
      <c r="E244" s="65">
        <f t="shared" si="57"/>
        <v>92.415567140008505</v>
      </c>
      <c r="F244" s="107">
        <f t="shared" si="58"/>
        <v>79.124951595789881</v>
      </c>
      <c r="G244" s="87"/>
      <c r="N244" s="103"/>
      <c r="O244" s="342" t="s">
        <v>383</v>
      </c>
      <c r="P244" s="88">
        <f t="shared" si="59"/>
        <v>36.519208428826097</v>
      </c>
      <c r="Q244" s="88">
        <f t="shared" si="59"/>
        <v>42.605743166963784</v>
      </c>
      <c r="R244" s="88">
        <f t="shared" si="59"/>
        <v>48.692277905101463</v>
      </c>
      <c r="S244" s="88">
        <f t="shared" si="59"/>
        <v>50</v>
      </c>
      <c r="T244" s="88">
        <f t="shared" si="59"/>
        <v>50</v>
      </c>
    </row>
    <row r="245" spans="1:20" ht="30" customHeight="1">
      <c r="A245" s="342" t="s">
        <v>422</v>
      </c>
      <c r="B245" s="65">
        <f t="shared" si="56"/>
        <v>96.723603718619998</v>
      </c>
      <c r="C245" s="65">
        <v>50</v>
      </c>
      <c r="D245" s="106">
        <v>68.400000000000006</v>
      </c>
      <c r="E245" s="65">
        <f t="shared" si="57"/>
        <v>117.49975668148271</v>
      </c>
      <c r="F245" s="107">
        <f t="shared" si="58"/>
        <v>96.723603718619998</v>
      </c>
      <c r="G245" s="87"/>
      <c r="N245" s="103"/>
      <c r="O245" s="342" t="s">
        <v>422</v>
      </c>
      <c r="P245" s="88">
        <f t="shared" si="59"/>
        <v>44.641663254747691</v>
      </c>
      <c r="Q245" s="88">
        <f t="shared" si="59"/>
        <v>50</v>
      </c>
      <c r="R245" s="88">
        <f t="shared" si="59"/>
        <v>50</v>
      </c>
      <c r="S245" s="88">
        <f t="shared" si="59"/>
        <v>50</v>
      </c>
      <c r="T245" s="88">
        <f t="shared" si="59"/>
        <v>50</v>
      </c>
    </row>
    <row r="249" spans="1:20" ht="18.75">
      <c r="A249" s="56" t="s">
        <v>840</v>
      </c>
      <c r="D249" s="100"/>
    </row>
    <row r="250" spans="1:20" ht="18.75">
      <c r="A250" s="56"/>
      <c r="D250" s="100"/>
    </row>
    <row r="251" spans="1:20">
      <c r="A251" s="21" t="s">
        <v>37</v>
      </c>
      <c r="B251" s="22" t="str">
        <f>'Load bearing values_RICON-S_EN'!E33</f>
        <v>GL24h</v>
      </c>
      <c r="D251" s="100"/>
    </row>
    <row r="252" spans="1:20" ht="18">
      <c r="A252" s="23" t="s">
        <v>39</v>
      </c>
      <c r="B252" s="22">
        <f>VLOOKUP(B251,V7:W18,2,FALSE)</f>
        <v>385</v>
      </c>
      <c r="C252" t="s">
        <v>40</v>
      </c>
    </row>
    <row r="253" spans="1:20" ht="18">
      <c r="A253" s="23" t="s">
        <v>62</v>
      </c>
      <c r="B253" s="90">
        <v>35000</v>
      </c>
      <c r="C253" s="90">
        <v>20000</v>
      </c>
      <c r="D253" t="s">
        <v>63</v>
      </c>
    </row>
    <row r="254" spans="1:20">
      <c r="A254" s="23" t="s">
        <v>64</v>
      </c>
      <c r="B254" s="90">
        <v>10</v>
      </c>
      <c r="C254" s="90">
        <v>8</v>
      </c>
      <c r="D254" t="s">
        <v>65</v>
      </c>
    </row>
    <row r="255" spans="1:20" ht="18">
      <c r="A255" s="23" t="s">
        <v>66</v>
      </c>
      <c r="B255" s="101">
        <f>0.033*B252*B254^-0.3</f>
        <v>6.3675838032344938</v>
      </c>
      <c r="C255" s="101">
        <f>0.033*B252*C254^-0.3</f>
        <v>6.808440920761802</v>
      </c>
      <c r="D255" t="s">
        <v>67</v>
      </c>
    </row>
    <row r="256" spans="1:20" ht="18">
      <c r="A256" s="23" t="s">
        <v>68</v>
      </c>
      <c r="B256" s="102">
        <f>0.082*B254^-0.3*B252</f>
        <v>15.822480965612984</v>
      </c>
      <c r="C256" s="102">
        <f>0.082*C254^-0.3*B252</f>
        <v>16.917944106135387</v>
      </c>
      <c r="D256" t="s">
        <v>67</v>
      </c>
    </row>
    <row r="258" spans="1:19">
      <c r="A258" s="3"/>
      <c r="D258" s="100"/>
    </row>
    <row r="259" spans="1:19">
      <c r="A259" s="3"/>
    </row>
    <row r="260" spans="1:19" ht="18">
      <c r="A260" s="4" t="s">
        <v>2</v>
      </c>
      <c r="B260" s="5" t="s">
        <v>43</v>
      </c>
      <c r="C260" s="5" t="s">
        <v>9</v>
      </c>
      <c r="D260" s="5" t="s">
        <v>44</v>
      </c>
      <c r="E260" s="5" t="s">
        <v>59</v>
      </c>
      <c r="F260" s="5" t="s">
        <v>60</v>
      </c>
      <c r="G260" s="5" t="s">
        <v>43</v>
      </c>
      <c r="H260" s="5" t="s">
        <v>9</v>
      </c>
      <c r="I260" s="5" t="s">
        <v>44</v>
      </c>
      <c r="J260" s="5" t="s">
        <v>59</v>
      </c>
      <c r="K260" s="5" t="s">
        <v>60</v>
      </c>
      <c r="L260" s="5" t="s">
        <v>61</v>
      </c>
      <c r="M260" s="623"/>
    </row>
    <row r="261" spans="1:19">
      <c r="A261" s="8"/>
      <c r="B261" s="9" t="s">
        <v>19</v>
      </c>
      <c r="C261" s="9" t="s">
        <v>18</v>
      </c>
      <c r="D261" s="9" t="s">
        <v>18</v>
      </c>
      <c r="E261" s="9" t="s">
        <v>17</v>
      </c>
      <c r="F261" s="9" t="s">
        <v>17</v>
      </c>
      <c r="G261" s="9" t="s">
        <v>19</v>
      </c>
      <c r="H261" s="9" t="s">
        <v>18</v>
      </c>
      <c r="I261" s="9" t="s">
        <v>18</v>
      </c>
      <c r="J261" s="9" t="s">
        <v>17</v>
      </c>
      <c r="K261" s="9" t="s">
        <v>17</v>
      </c>
      <c r="L261" s="62" t="s">
        <v>17</v>
      </c>
      <c r="M261" s="623"/>
    </row>
    <row r="262" spans="1:19" hidden="1">
      <c r="A262" s="14" t="s">
        <v>29</v>
      </c>
      <c r="B262" s="66">
        <v>1</v>
      </c>
      <c r="C262" s="66">
        <v>8</v>
      </c>
      <c r="D262" s="34">
        <v>137</v>
      </c>
      <c r="E262" s="65">
        <f>(0.3*0.52*SQRT(C262)*D262^0.9*$B$182^0.8)/1000</f>
        <v>0</v>
      </c>
      <c r="F262" s="65" t="e">
        <f>MIN($C$184*$C$185*D262/1000,(2.3*SQRT($C$183*$C$184*$C$185))/1000+(E262/4),$C$184*$C$185*D262/1000*(SQRT(2+4*$C$183/($C$184*$C$185*D262^2))-1)+E262/4)</f>
        <v>#VALUE!</v>
      </c>
      <c r="G262" s="66">
        <v>1</v>
      </c>
      <c r="H262" s="66">
        <v>8</v>
      </c>
      <c r="I262" s="34">
        <v>137</v>
      </c>
      <c r="J262" s="65">
        <f>(0.3*0.52*SQRT(H262)*I262^0.9*$B$182^0.8)/1000</f>
        <v>0</v>
      </c>
      <c r="K262" s="65" t="e">
        <f>MIN($C$184*$C$185*I262/1000,(2.3*SQRT($C$183*$C$184*$C$185))/1000+(J262/4),$C$184*$C$185*I262/1000*(SQRT(2+4*$C$183/($C$184*$C$185*I262^2))-1)+J262/4)</f>
        <v>#VALUE!</v>
      </c>
      <c r="L262" s="65" t="e">
        <f>B262*F262+#REF!*K262</f>
        <v>#VALUE!</v>
      </c>
      <c r="M262" s="386"/>
    </row>
    <row r="263" spans="1:19" hidden="1">
      <c r="A263" s="44" t="s">
        <v>30</v>
      </c>
      <c r="B263" s="66">
        <v>1</v>
      </c>
      <c r="C263" s="66">
        <v>8</v>
      </c>
      <c r="D263" s="34">
        <v>137</v>
      </c>
      <c r="E263" s="65">
        <f t="shared" ref="E263:E269" si="60">(0.3*0.52*SQRT(C263)*D263^0.9*$B$182^0.8)/1000</f>
        <v>0</v>
      </c>
      <c r="F263" s="65" t="e">
        <f>MIN($C$184*$C$185*D263/1000,(2.3*SQRT($C$183*$C$184*$C$185))/1000+(E263/4),$C$184*$C$185*D263/1000*(SQRT(2+4*$C$183/($C$184*$C$185*D263^2))-1)+E263/4)</f>
        <v>#VALUE!</v>
      </c>
      <c r="G263" s="66">
        <v>1</v>
      </c>
      <c r="H263" s="66">
        <v>8</v>
      </c>
      <c r="I263" s="34">
        <v>137</v>
      </c>
      <c r="J263" s="65">
        <f t="shared" ref="J263:J269" si="61">(0.3*0.52*SQRT(H263)*I263^0.9*$B$182^0.8)/1000</f>
        <v>0</v>
      </c>
      <c r="K263" s="65" t="e">
        <f>MIN($C$184*$C$185*I263/1000,(2.3*SQRT($C$183*$C$184*$C$185))/1000+(J263/4),$C$184*$C$185*I263/1000*(SQRT(2+4*$C$183/($C$184*$C$185*I263^2))-1)+J263/4)</f>
        <v>#VALUE!</v>
      </c>
      <c r="L263" s="65" t="e">
        <f>B263*F263+#REF!*K263</f>
        <v>#VALUE!</v>
      </c>
      <c r="M263" s="386"/>
    </row>
    <row r="264" spans="1:19" hidden="1">
      <c r="A264" s="14" t="s">
        <v>31</v>
      </c>
      <c r="B264" s="66">
        <v>1</v>
      </c>
      <c r="C264" s="66">
        <v>8</v>
      </c>
      <c r="D264" s="34">
        <v>137</v>
      </c>
      <c r="E264" s="65">
        <f t="shared" si="60"/>
        <v>0</v>
      </c>
      <c r="F264" s="65" t="e">
        <f>MIN($C$184*$C$185*D264/1000,(2.3*SQRT($C$183*$C$184*$C$185))/1000+(E264/4),$C$184*$C$185*D264/1000*(SQRT(2+4*$C$183/($C$184*$C$185*D264^2))-1)+E264/4)</f>
        <v>#VALUE!</v>
      </c>
      <c r="G264" s="66">
        <v>1</v>
      </c>
      <c r="H264" s="66">
        <v>8</v>
      </c>
      <c r="I264" s="34">
        <v>137</v>
      </c>
      <c r="J264" s="65">
        <f t="shared" si="61"/>
        <v>0</v>
      </c>
      <c r="K264" s="65" t="e">
        <f>MIN($C$184*$C$185*I264/1000,(2.3*SQRT($C$183*$C$184*$C$185))/1000+(J264/4),$C$184*$C$185*I264/1000*(SQRT(2+4*$C$183/($C$184*$C$185*I264^2))-1)+J264/4)</f>
        <v>#VALUE!</v>
      </c>
      <c r="L264" s="65" t="e">
        <f>B264*F264+#REF!*K264</f>
        <v>#VALUE!</v>
      </c>
      <c r="M264" s="386"/>
      <c r="P264"/>
      <c r="Q264"/>
      <c r="R264"/>
      <c r="S264"/>
    </row>
    <row r="265" spans="1:19" hidden="1">
      <c r="A265" s="44" t="s">
        <v>32</v>
      </c>
      <c r="B265" s="66">
        <v>1</v>
      </c>
      <c r="C265" s="66">
        <v>8</v>
      </c>
      <c r="D265" s="34">
        <v>137</v>
      </c>
      <c r="E265" s="65">
        <f t="shared" si="60"/>
        <v>0</v>
      </c>
      <c r="F265" s="65" t="e">
        <f>MIN($C$184*$C$185*D265/1000,(2.3*SQRT($C$183*$C$184*$C$185))/1000+(E265/4),$C$184*$C$185*D265/1000*(SQRT(2+4*$C$183/($C$184*$C$185*D265^2))-1)+E265/4)</f>
        <v>#VALUE!</v>
      </c>
      <c r="G265" s="66">
        <v>1</v>
      </c>
      <c r="H265" s="66">
        <v>8</v>
      </c>
      <c r="I265" s="34">
        <v>137</v>
      </c>
      <c r="J265" s="65">
        <f t="shared" si="61"/>
        <v>0</v>
      </c>
      <c r="K265" s="65" t="e">
        <f>MIN($C$184*$C$185*I265/1000,(2.3*SQRT($C$183*$C$184*$C$185))/1000+(J265/4),$C$184*$C$185*I265/1000*(SQRT(2+4*$C$183/($C$184*$C$185*I265^2))-1)+J265/4)</f>
        <v>#VALUE!</v>
      </c>
      <c r="L265" s="65" t="e">
        <f>B265*F265+#REF!*K265</f>
        <v>#VALUE!</v>
      </c>
      <c r="M265" s="386"/>
      <c r="P265"/>
      <c r="Q265"/>
      <c r="R265"/>
      <c r="S265"/>
    </row>
    <row r="266" spans="1:19" hidden="1">
      <c r="A266" s="14" t="s">
        <v>33</v>
      </c>
      <c r="B266" s="66">
        <v>1</v>
      </c>
      <c r="C266" s="66">
        <v>10</v>
      </c>
      <c r="D266" s="34">
        <v>175</v>
      </c>
      <c r="E266" s="65">
        <f t="shared" si="60"/>
        <v>0</v>
      </c>
      <c r="F266" s="65" t="e">
        <f>MIN($B$184*$B$185*D266/1000,(2.3*SQRT($B$183*$B$184*$B$185))/1000+(E266/4),$B$184*$B$185*D266/1000*(SQRT(2+4*$B$183/($B$184*$B$185*D266^2))-1)+E266/4)</f>
        <v>#VALUE!</v>
      </c>
      <c r="G266" s="66">
        <v>1</v>
      </c>
      <c r="H266" s="66">
        <v>10</v>
      </c>
      <c r="I266" s="34">
        <v>175</v>
      </c>
      <c r="J266" s="65">
        <f t="shared" si="61"/>
        <v>0</v>
      </c>
      <c r="K266" s="65" t="e">
        <f>MIN($B$184*$B$185*I266/1000,(2.3*SQRT($B$183*$B$184*$B$185))/1000+(J266/4),$B$184*$B$185*I266/1000*(SQRT(2+4*$B$183/($B$184*$B$185*I266^2))-1)+J266/4)</f>
        <v>#VALUE!</v>
      </c>
      <c r="L266" s="65" t="e">
        <f>B266*F266+#REF!*K266</f>
        <v>#VALUE!</v>
      </c>
      <c r="M266" s="386"/>
      <c r="P266"/>
      <c r="Q266"/>
      <c r="R266"/>
      <c r="S266"/>
    </row>
    <row r="267" spans="1:19" hidden="1">
      <c r="A267" s="44" t="s">
        <v>34</v>
      </c>
      <c r="B267" s="66">
        <v>1</v>
      </c>
      <c r="C267" s="66">
        <v>10</v>
      </c>
      <c r="D267" s="34">
        <v>175</v>
      </c>
      <c r="E267" s="65">
        <f t="shared" si="60"/>
        <v>0</v>
      </c>
      <c r="F267" s="65" t="e">
        <f>MIN($B$184*$B$185*D267/1000,(2.3*SQRT($B$183*$B$184*$B$185))/1000+(E267/4),$B$184*$B$185*D267/1000*(SQRT(2+4*$B$183/($B$184*$B$185*D267^2))-1)+E267/4)</f>
        <v>#VALUE!</v>
      </c>
      <c r="G267" s="66">
        <v>1</v>
      </c>
      <c r="H267" s="66">
        <v>10</v>
      </c>
      <c r="I267" s="34">
        <v>175</v>
      </c>
      <c r="J267" s="65">
        <f t="shared" si="61"/>
        <v>0</v>
      </c>
      <c r="K267" s="65" t="e">
        <f>MIN($B$184*$B$185*I267/1000,(2.3*SQRT($B$183*$B$184*$B$185))/1000+(J267/4),$B$184*$B$185*I267/1000*(SQRT(2+4*$B$183/($B$184*$B$185*I267^2))-1)+J267/4)</f>
        <v>#VALUE!</v>
      </c>
      <c r="L267" s="65" t="e">
        <f>B267*F267+#REF!*K267</f>
        <v>#VALUE!</v>
      </c>
      <c r="M267" s="386"/>
      <c r="P267"/>
      <c r="Q267"/>
      <c r="R267"/>
      <c r="S267"/>
    </row>
    <row r="268" spans="1:19" hidden="1">
      <c r="A268" s="44" t="s">
        <v>35</v>
      </c>
      <c r="B268" s="66">
        <v>1</v>
      </c>
      <c r="C268" s="66">
        <v>10</v>
      </c>
      <c r="D268" s="34">
        <v>175</v>
      </c>
      <c r="E268" s="65">
        <f t="shared" si="60"/>
        <v>0</v>
      </c>
      <c r="F268" s="65" t="e">
        <f>MIN($B$184*$B$185*D268/1000,(2.3*SQRT($B$183*$B$184*$B$185))/1000+(E268/4),$B$184*$B$185*D268/1000*(SQRT(2+4*$B$183/($B$184*$B$185*D268^2))-1)+E268/4)</f>
        <v>#VALUE!</v>
      </c>
      <c r="G268" s="66">
        <v>1</v>
      </c>
      <c r="H268" s="66">
        <v>10</v>
      </c>
      <c r="I268" s="34">
        <v>175</v>
      </c>
      <c r="J268" s="65">
        <f t="shared" si="61"/>
        <v>0</v>
      </c>
      <c r="K268" s="65" t="e">
        <f>MIN($B$184*$B$185*I268/1000,(2.3*SQRT($B$183*$B$184*$B$185))/1000+(J268/4),$B$184*$B$185*I268/1000*(SQRT(2+4*$B$183/($B$184*$B$185*I268^2))-1)+J268/4)</f>
        <v>#VALUE!</v>
      </c>
      <c r="L268" s="65" t="e">
        <f>B268*F268+#REF!*K268</f>
        <v>#VALUE!</v>
      </c>
      <c r="M268" s="386"/>
      <c r="P268"/>
      <c r="Q268"/>
      <c r="R268"/>
      <c r="S268"/>
    </row>
    <row r="269" spans="1:19" hidden="1">
      <c r="A269" s="14" t="s">
        <v>36</v>
      </c>
      <c r="B269" s="66">
        <v>1</v>
      </c>
      <c r="C269" s="66">
        <v>10</v>
      </c>
      <c r="D269" s="34">
        <v>175</v>
      </c>
      <c r="E269" s="65">
        <f t="shared" si="60"/>
        <v>0</v>
      </c>
      <c r="F269" s="65" t="e">
        <f>MIN($B$184*$B$185*D269/1000,(2.3*SQRT($B$183*$B$184*$B$185))/1000+(E269/4),$B$184*$B$185*D269/1000*(SQRT(2+4*$B$183/($B$184*$B$185*D269^2))-1)+E269/4)</f>
        <v>#VALUE!</v>
      </c>
      <c r="G269" s="66">
        <v>1</v>
      </c>
      <c r="H269" s="66">
        <v>10</v>
      </c>
      <c r="I269" s="34">
        <v>175</v>
      </c>
      <c r="J269" s="65">
        <f t="shared" si="61"/>
        <v>0</v>
      </c>
      <c r="K269" s="65" t="e">
        <f>MIN($B$184*$B$185*I269/1000,(2.3*SQRT($B$183*$B$184*$B$185))/1000+(J269/4),$B$184*$B$185*I269/1000*(SQRT(2+4*$B$183/($B$184*$B$185*I269^2))-1)+J269/4)</f>
        <v>#VALUE!</v>
      </c>
      <c r="L269" s="65" t="e">
        <f>B269*F269+#REF!*K269</f>
        <v>#VALUE!</v>
      </c>
      <c r="M269" s="386"/>
      <c r="P269"/>
      <c r="Q269"/>
      <c r="R269"/>
      <c r="S269"/>
    </row>
    <row r="270" spans="1:19" ht="30">
      <c r="A270" s="424" t="s">
        <v>841</v>
      </c>
      <c r="B270" s="63">
        <v>1</v>
      </c>
      <c r="C270" s="63">
        <v>8</v>
      </c>
      <c r="D270" s="303">
        <f>160-24.5</f>
        <v>135.5</v>
      </c>
      <c r="E270" s="64">
        <f>($E$278*0.52*SQRT(C270)*D270^0.9*$B$252^0.8)/1000</f>
        <v>8.5666995727534658</v>
      </c>
      <c r="F270" s="64">
        <f>MIN(C270*$C$255*D270/1000,(2.3*SQRT($C$253*$C$255*C270))/1000+(E270/4),C270*D270*$C$255/1000*(SQRT(2+4*$C$253/($C$255*C270*D270^2))-1)+E270/4)</f>
        <v>4.5422299113732834</v>
      </c>
      <c r="G270" s="63">
        <v>7</v>
      </c>
      <c r="H270" s="63">
        <v>8</v>
      </c>
      <c r="I270" s="303">
        <f>160-15</f>
        <v>145</v>
      </c>
      <c r="J270" s="64">
        <f>($E$278*0.52*SQRT(H270)*I270^0.9*$B$252^0.8)/1000</f>
        <v>9.1054072130615449</v>
      </c>
      <c r="K270" s="64">
        <f>MIN(H270*$C$255*I270/1000,(2.3*SQRT($C$253*$C$255*H270))/1000+(J270/4),H270*I270*$C$255/1000*(SQRT(2+4*$C$253/($C$255*H270*I270^2))-1)+J270/4)</f>
        <v>4.6769068214503031</v>
      </c>
      <c r="L270" s="64">
        <f>B270^0.9*F270+G270^0.9*K270</f>
        <v>31.491496682526368</v>
      </c>
      <c r="M270" s="238" t="s">
        <v>384</v>
      </c>
      <c r="P270"/>
      <c r="Q270"/>
      <c r="R270"/>
      <c r="S270"/>
    </row>
    <row r="271" spans="1:19" ht="30">
      <c r="A271" s="424" t="s">
        <v>842</v>
      </c>
      <c r="B271" s="63">
        <v>1</v>
      </c>
      <c r="C271" s="63">
        <v>8</v>
      </c>
      <c r="D271" s="303">
        <f>240-24.5</f>
        <v>215.5</v>
      </c>
      <c r="E271" s="64">
        <f>($E$278*0.52*SQRT(C271)*D271^0.9*$B$252^0.8)/1000</f>
        <v>13.006807662011697</v>
      </c>
      <c r="F271" s="64">
        <f>MIN(C271*$C$255*D271/1000,(2.3*SQRT($C$253*$C$255*C271))/1000+(E271/4),C271*D271*$C$255/1000*(SQRT(2+4*$C$253/($C$255*C271*D271^2))-1)+E271/4)</f>
        <v>5.6522569336878412</v>
      </c>
      <c r="G271" s="63">
        <v>7</v>
      </c>
      <c r="H271" s="63">
        <v>8</v>
      </c>
      <c r="I271" s="303">
        <f>240-15</f>
        <v>225</v>
      </c>
      <c r="J271" s="64">
        <f>($E$278*0.52*SQRT(H271)*I271^0.9*$B$252^0.8)/1000</f>
        <v>13.521735531614226</v>
      </c>
      <c r="K271" s="64">
        <f>MIN(H271*$C$255*I271/1000,(2.3*SQRT($C$253*$C$255*H271))/1000+(J271/4),H271*I271*$C$255/1000*(SQRT(2+4*$C$253/($C$255*H271*I271^2))-1)+J271/4)</f>
        <v>5.7809889010884739</v>
      </c>
      <c r="L271" s="64">
        <f>B271^0.9*F271+G271^0.9*K271</f>
        <v>38.963464114889931</v>
      </c>
      <c r="M271" s="238" t="s">
        <v>384</v>
      </c>
      <c r="P271"/>
      <c r="Q271"/>
      <c r="R271"/>
      <c r="S271"/>
    </row>
    <row r="272" spans="1:19" ht="30">
      <c r="A272" s="342" t="s">
        <v>843</v>
      </c>
      <c r="B272" s="63">
        <v>1</v>
      </c>
      <c r="C272" s="63">
        <v>8</v>
      </c>
      <c r="D272" s="303">
        <f t="shared" ref="D272" si="62">160-24.5</f>
        <v>135.5</v>
      </c>
      <c r="E272" s="64">
        <f t="shared" ref="E272:E277" si="63">($E$278*0.52*SQRT(C272)*D272^0.9*$B$252^0.8)/1000</f>
        <v>8.5666995727534658</v>
      </c>
      <c r="F272" s="64">
        <f t="shared" ref="F272:F273" si="64">MIN(C272*$C$255*D272/1000,(2.3*SQRT($C$253*$C$255*C272))/1000+(E272/4),C272*D272*$C$255/1000*(SQRT(2+4*$C$253/($C$255*C272*D272^2))-1)+E272/4)</f>
        <v>4.5422299113732834</v>
      </c>
      <c r="G272" s="63">
        <v>8</v>
      </c>
      <c r="H272" s="63">
        <v>8</v>
      </c>
      <c r="I272" s="303">
        <f>160-15</f>
        <v>145</v>
      </c>
      <c r="J272" s="64">
        <f t="shared" ref="J272:J277" si="65">($E$278*0.52*SQRT(H272)*I272^0.9*$B$252^0.8)/1000</f>
        <v>9.1054072130615449</v>
      </c>
      <c r="K272" s="64">
        <f t="shared" ref="K272:K273" si="66">MIN(H272*$C$255*I272/1000,(2.3*SQRT($C$253*$C$255*H272))/1000+(J272/4),H272*I272*$C$255/1000*(SQRT(2+4*$C$253/($C$255*H272*I272^2))-1)+J272/4)</f>
        <v>4.6769068214503031</v>
      </c>
      <c r="L272" s="64">
        <f t="shared" ref="L272:L277" si="67">B272^0.9*F272+G272^0.9*K272</f>
        <v>34.932860097435942</v>
      </c>
      <c r="M272" s="238" t="s">
        <v>384</v>
      </c>
      <c r="P272"/>
      <c r="Q272"/>
      <c r="R272"/>
      <c r="S272"/>
    </row>
    <row r="273" spans="1:19" ht="30">
      <c r="A273" s="342" t="s">
        <v>844</v>
      </c>
      <c r="B273" s="63">
        <v>1</v>
      </c>
      <c r="C273" s="63">
        <v>8</v>
      </c>
      <c r="D273" s="303">
        <f>240-24.5</f>
        <v>215.5</v>
      </c>
      <c r="E273" s="64">
        <f t="shared" si="63"/>
        <v>13.006807662011697</v>
      </c>
      <c r="F273" s="64">
        <f t="shared" si="64"/>
        <v>5.6522569336878412</v>
      </c>
      <c r="G273" s="63">
        <v>8</v>
      </c>
      <c r="H273" s="63">
        <v>8</v>
      </c>
      <c r="I273" s="303">
        <f>240-15</f>
        <v>225</v>
      </c>
      <c r="J273" s="64">
        <f t="shared" si="65"/>
        <v>13.521735531614226</v>
      </c>
      <c r="K273" s="64">
        <f t="shared" si="66"/>
        <v>5.7809889010884739</v>
      </c>
      <c r="L273" s="64">
        <f t="shared" si="67"/>
        <v>43.217233639431143</v>
      </c>
      <c r="M273" s="238" t="s">
        <v>384</v>
      </c>
      <c r="P273"/>
      <c r="Q273"/>
      <c r="R273"/>
      <c r="S273"/>
    </row>
    <row r="274" spans="1:19" ht="30">
      <c r="A274" s="342" t="s">
        <v>845</v>
      </c>
      <c r="B274" s="63">
        <v>1</v>
      </c>
      <c r="C274" s="63">
        <v>10</v>
      </c>
      <c r="D274" s="303">
        <f>200-25</f>
        <v>175</v>
      </c>
      <c r="E274" s="64">
        <f t="shared" si="63"/>
        <v>12.057504188084518</v>
      </c>
      <c r="F274" s="64">
        <f>MIN(C274*$B$255*D274/1000,(2.3*SQRT($B$253*$B$255*C274))/1000+(E274/4),C274*D274*$B$255/1000*(SQRT(2+4*$B$253/($B$255*C274*D274^2))-1)+E274/4)</f>
        <v>6.4479720354403653</v>
      </c>
      <c r="G274" s="63">
        <v>8</v>
      </c>
      <c r="H274" s="63">
        <v>10</v>
      </c>
      <c r="I274" s="303">
        <v>180</v>
      </c>
      <c r="J274" s="64">
        <f t="shared" si="65"/>
        <v>12.367115938864831</v>
      </c>
      <c r="K274" s="64">
        <f>MIN(H274*$B$255*I274/1000,(2.3*SQRT($B$253*$B$255*H274))/1000+(J274/4),H274*I274*$B$255/1000*(SQRT(2+4*$B$253/($B$255*H274*I274^2))-1)+J274/4)</f>
        <v>6.5253749731354436</v>
      </c>
      <c r="L274" s="64">
        <f t="shared" si="67"/>
        <v>48.84998370785852</v>
      </c>
      <c r="M274" s="238" t="s">
        <v>384</v>
      </c>
      <c r="P274"/>
      <c r="Q274"/>
      <c r="R274"/>
      <c r="S274"/>
    </row>
    <row r="275" spans="1:19" ht="30">
      <c r="A275" s="342" t="s">
        <v>846</v>
      </c>
      <c r="B275" s="63">
        <v>1</v>
      </c>
      <c r="C275" s="63">
        <v>10</v>
      </c>
      <c r="D275" s="303">
        <f>300-25</f>
        <v>275</v>
      </c>
      <c r="E275" s="64">
        <f t="shared" si="63"/>
        <v>18.110173128389938</v>
      </c>
      <c r="F275" s="64">
        <f>MIN(C275*$B$255*D275/1000,(2.3*SQRT($B$253*$B$255*C275))/1000+(E275/4),C275*D275*$B$255/1000*(SQRT(2+4*$B$253/($B$255*C275*D275^2))-1)+E275/4)</f>
        <v>7.9611392705167194</v>
      </c>
      <c r="G275" s="63">
        <v>8</v>
      </c>
      <c r="H275" s="63">
        <v>10</v>
      </c>
      <c r="I275" s="303">
        <f>300-20</f>
        <v>280</v>
      </c>
      <c r="J275" s="64">
        <f t="shared" si="65"/>
        <v>18.406253787508255</v>
      </c>
      <c r="K275" s="64">
        <f>MIN(H275*$B$255*I275/1000,(2.3*SQRT($B$253*$B$255*H275))/1000+(J275/4),H275*I275*$B$255/1000*(SQRT(2+4*$B$253/($B$255*H275*I275^2))-1)+J275/4)</f>
        <v>8.0351594352962987</v>
      </c>
      <c r="L275" s="64">
        <f t="shared" si="67"/>
        <v>60.173759321907383</v>
      </c>
      <c r="M275" s="238" t="s">
        <v>384</v>
      </c>
      <c r="P275"/>
      <c r="Q275"/>
      <c r="R275"/>
      <c r="S275"/>
    </row>
    <row r="276" spans="1:19" ht="30">
      <c r="A276" s="342" t="s">
        <v>847</v>
      </c>
      <c r="B276" s="63">
        <v>1</v>
      </c>
      <c r="C276" s="63">
        <v>10</v>
      </c>
      <c r="D276" s="303">
        <f>200-25</f>
        <v>175</v>
      </c>
      <c r="E276" s="64">
        <f t="shared" si="63"/>
        <v>12.057504188084518</v>
      </c>
      <c r="F276" s="64">
        <f>MIN(C276*$B$255*D276/1000,(2.3*SQRT($B$253*$B$255*C276))/1000+(E276/4),C276*D276*$B$255/1000*(SQRT(2+4*$B$253/($B$255*C276*D276^2))-1)+E276/4)</f>
        <v>6.4479720354403653</v>
      </c>
      <c r="G276" s="63">
        <v>8</v>
      </c>
      <c r="H276" s="63">
        <v>10</v>
      </c>
      <c r="I276" s="303">
        <v>180</v>
      </c>
      <c r="J276" s="64">
        <f t="shared" si="65"/>
        <v>12.367115938864831</v>
      </c>
      <c r="K276" s="64">
        <f>MIN(H276*$B$255*I276/1000,(2.3*SQRT($B$253*$B$255*H276))/1000+(J276/4),H276*I276*$B$255/1000*(SQRT(2+4*$B$253/($B$255*H276*I276^2))-1)+J276/4)</f>
        <v>6.5253749731354436</v>
      </c>
      <c r="L276" s="64">
        <f t="shared" si="67"/>
        <v>48.84998370785852</v>
      </c>
      <c r="M276" s="238" t="s">
        <v>384</v>
      </c>
      <c r="P276"/>
      <c r="Q276"/>
      <c r="R276"/>
      <c r="S276"/>
    </row>
    <row r="277" spans="1:19" ht="30">
      <c r="A277" s="342" t="s">
        <v>847</v>
      </c>
      <c r="B277" s="63">
        <v>1</v>
      </c>
      <c r="C277" s="63">
        <v>10</v>
      </c>
      <c r="D277" s="303">
        <f>300-25</f>
        <v>275</v>
      </c>
      <c r="E277" s="64">
        <f t="shared" si="63"/>
        <v>18.110173128389938</v>
      </c>
      <c r="F277" s="64">
        <f>MIN(C277*$B$255*D277/1000,(2.3*SQRT($B$253*$B$255*C277))/1000+(E277/4),C277*D277*$B$255/1000*(SQRT(2+4*$B$253/($B$255*C277*D277^2))-1)+E277/4)</f>
        <v>7.9611392705167194</v>
      </c>
      <c r="G277" s="63">
        <v>8</v>
      </c>
      <c r="H277" s="63">
        <v>10</v>
      </c>
      <c r="I277" s="303">
        <f>300-20</f>
        <v>280</v>
      </c>
      <c r="J277" s="64">
        <f t="shared" si="65"/>
        <v>18.406253787508255</v>
      </c>
      <c r="K277" s="64">
        <f>MIN(H277*$B$255*I277/1000,(2.3*SQRT($B$253*$B$255*H277))/1000+(J277/4),H277*I277*$B$255/1000*(SQRT(2+4*$B$253/($B$255*H277*I277^2))-1)+J277/4)</f>
        <v>8.0351594352962987</v>
      </c>
      <c r="L277" s="64">
        <f t="shared" si="67"/>
        <v>60.173759321907383</v>
      </c>
      <c r="M277" s="238" t="s">
        <v>384</v>
      </c>
      <c r="P277"/>
      <c r="Q277"/>
      <c r="R277"/>
      <c r="S277"/>
    </row>
    <row r="278" spans="1:19">
      <c r="D278" s="23" t="s">
        <v>308</v>
      </c>
      <c r="E278" s="22">
        <v>0.6</v>
      </c>
      <c r="H278" s="238"/>
    </row>
    <row r="279" spans="1:19">
      <c r="H279" s="238"/>
    </row>
    <row r="280" spans="1:19" ht="18">
      <c r="A280" s="4" t="s">
        <v>2</v>
      </c>
      <c r="B280" s="5" t="s">
        <v>43</v>
      </c>
      <c r="C280" s="5" t="s">
        <v>9</v>
      </c>
      <c r="D280" s="5" t="s">
        <v>44</v>
      </c>
      <c r="E280" s="5" t="s">
        <v>69</v>
      </c>
      <c r="F280" s="5" t="s">
        <v>70</v>
      </c>
      <c r="G280" s="5" t="s">
        <v>43</v>
      </c>
      <c r="H280" s="5" t="s">
        <v>9</v>
      </c>
      <c r="I280" s="5" t="s">
        <v>44</v>
      </c>
      <c r="J280" s="5" t="s">
        <v>69</v>
      </c>
      <c r="K280" s="5" t="s">
        <v>70</v>
      </c>
      <c r="L280" s="5" t="s">
        <v>71</v>
      </c>
    </row>
    <row r="281" spans="1:19">
      <c r="A281" s="8"/>
      <c r="B281" s="9" t="s">
        <v>19</v>
      </c>
      <c r="C281" s="9" t="s">
        <v>18</v>
      </c>
      <c r="D281" s="9" t="s">
        <v>18</v>
      </c>
      <c r="E281" s="9" t="s">
        <v>17</v>
      </c>
      <c r="F281" s="9" t="s">
        <v>17</v>
      </c>
      <c r="G281" s="9" t="s">
        <v>19</v>
      </c>
      <c r="H281" s="9" t="s">
        <v>18</v>
      </c>
      <c r="I281" s="9" t="s">
        <v>18</v>
      </c>
      <c r="J281" s="9" t="s">
        <v>17</v>
      </c>
      <c r="K281" s="9" t="s">
        <v>17</v>
      </c>
      <c r="L281" s="62" t="s">
        <v>17</v>
      </c>
      <c r="M281" s="623"/>
    </row>
    <row r="282" spans="1:19" hidden="1">
      <c r="A282" s="14" t="s">
        <v>29</v>
      </c>
      <c r="B282" s="66">
        <v>1</v>
      </c>
      <c r="C282" s="66">
        <v>8</v>
      </c>
      <c r="D282" s="34">
        <f>80-23</f>
        <v>57</v>
      </c>
      <c r="E282" s="65">
        <f>(0.52*SQRT(C282)*D282^0.9*$B$182^0.8)/1000</f>
        <v>0</v>
      </c>
      <c r="F282" s="65" t="e">
        <f>MIN($C$184*$C$186*D282/1000,(2.3*SQRT($C$183*$C$184*$C$186))/1000+(E282/4),$C$184*$C$186*D282/1000*(SQRT(2+4*$C$183/($C$184*$C$186*D282^2))-1)+E282/4)</f>
        <v>#DIV/0!</v>
      </c>
      <c r="G282" s="66">
        <v>1</v>
      </c>
      <c r="H282" s="66">
        <v>8</v>
      </c>
      <c r="I282" s="34">
        <f>80-23</f>
        <v>57</v>
      </c>
      <c r="J282" s="65">
        <f>(0.52*SQRT(H282)*I282^0.9*$B$182^0.8)/1000</f>
        <v>0</v>
      </c>
      <c r="K282" s="65" t="e">
        <f>MIN($C$184*$C$186*I282/1000,(2.3*SQRT($C$183*$C$184*$C$186))/1000+(J282/4),$C$184*$C$186*I282/1000*(SQRT(2+4*$C$183/($C$184*$C$186*I282^2))-1)+J282/4)</f>
        <v>#DIV/0!</v>
      </c>
      <c r="L282" s="65" t="e">
        <f>B282*F282+#REF!*K282</f>
        <v>#DIV/0!</v>
      </c>
      <c r="M282" s="386"/>
    </row>
    <row r="283" spans="1:19" hidden="1">
      <c r="A283" s="44" t="s">
        <v>30</v>
      </c>
      <c r="B283" s="66">
        <v>1</v>
      </c>
      <c r="C283" s="66">
        <v>8</v>
      </c>
      <c r="D283" s="34">
        <f>80-23</f>
        <v>57</v>
      </c>
      <c r="E283" s="65">
        <f t="shared" ref="E283:E285" si="68">(0.52*SQRT(C283)*D283^0.9*$B$182^0.8)/1000</f>
        <v>0</v>
      </c>
      <c r="F283" s="65" t="e">
        <f>MIN($C$184*$C$186*D283/1000,(2.3*SQRT($C$183*$C$184*$C$186))/1000+(E283/4),$C$184*$C$186*D283/1000*(SQRT(2+4*$C$183/($C$184*$C$186*D283^2))-1)+E283/4)</f>
        <v>#DIV/0!</v>
      </c>
      <c r="G283" s="66">
        <v>1</v>
      </c>
      <c r="H283" s="66">
        <v>8</v>
      </c>
      <c r="I283" s="34">
        <f>80-23</f>
        <v>57</v>
      </c>
      <c r="J283" s="65">
        <f t="shared" ref="J283:J285" si="69">(0.52*SQRT(H283)*I283^0.9*$B$182^0.8)/1000</f>
        <v>0</v>
      </c>
      <c r="K283" s="65" t="e">
        <f>MIN($C$184*$C$186*I283/1000,(2.3*SQRT($C$183*$C$184*$C$186))/1000+(J283/4),$C$184*$C$186*I283/1000*(SQRT(2+4*$C$183/($C$184*$C$186*I283^2))-1)+J283/4)</f>
        <v>#DIV/0!</v>
      </c>
      <c r="L283" s="65" t="e">
        <f>B283*F283+#REF!*K283</f>
        <v>#DIV/0!</v>
      </c>
      <c r="M283" s="386"/>
    </row>
    <row r="284" spans="1:19" hidden="1">
      <c r="A284" s="14" t="s">
        <v>31</v>
      </c>
      <c r="B284" s="66">
        <v>1</v>
      </c>
      <c r="C284" s="66">
        <v>8</v>
      </c>
      <c r="D284" s="34">
        <f>80-23</f>
        <v>57</v>
      </c>
      <c r="E284" s="65">
        <f t="shared" si="68"/>
        <v>0</v>
      </c>
      <c r="F284" s="65" t="e">
        <f>MIN($C$184*$C$186*D284/1000,(2.3*SQRT($C$183*$C$184*$C$186))/1000+(E284/4),$C$184*$C$186*D284/1000*(SQRT(2+4*$C$183/($C$184*$C$186*D284^2))-1)+E284/4)</f>
        <v>#DIV/0!</v>
      </c>
      <c r="G284" s="66">
        <v>1</v>
      </c>
      <c r="H284" s="66">
        <v>8</v>
      </c>
      <c r="I284" s="34">
        <f>80-23</f>
        <v>57</v>
      </c>
      <c r="J284" s="65">
        <f t="shared" si="69"/>
        <v>0</v>
      </c>
      <c r="K284" s="65" t="e">
        <f>MIN($C$184*$C$186*I284/1000,(2.3*SQRT($C$183*$C$184*$C$186))/1000+(J284/4),$C$184*$C$186*I284/1000*(SQRT(2+4*$C$183/($C$184*$C$186*I284^2))-1)+J284/4)</f>
        <v>#DIV/0!</v>
      </c>
      <c r="L284" s="65" t="e">
        <f>B284*F284+#REF!*K284</f>
        <v>#DIV/0!</v>
      </c>
      <c r="M284" s="386"/>
    </row>
    <row r="285" spans="1:19" hidden="1">
      <c r="A285" s="44" t="s">
        <v>32</v>
      </c>
      <c r="B285" s="66">
        <v>1</v>
      </c>
      <c r="C285" s="66">
        <v>8</v>
      </c>
      <c r="D285" s="34">
        <f>80-23</f>
        <v>57</v>
      </c>
      <c r="E285" s="65">
        <f t="shared" si="68"/>
        <v>0</v>
      </c>
      <c r="F285" s="65" t="e">
        <f>MIN($C$184*$C$186*D285/1000,(2.3*SQRT($C$183*$C$184*$C$186))/1000+(E285/4),$C$184*$C$186*D285/1000*(SQRT(2+4*$C$183/($C$184*$C$186*D285^2))-1)+E285/4)</f>
        <v>#DIV/0!</v>
      </c>
      <c r="G285" s="66">
        <v>1</v>
      </c>
      <c r="H285" s="66">
        <v>8</v>
      </c>
      <c r="I285" s="34">
        <f>80-23</f>
        <v>57</v>
      </c>
      <c r="J285" s="65">
        <f t="shared" si="69"/>
        <v>0</v>
      </c>
      <c r="K285" s="65" t="e">
        <f>MIN($C$184*$C$186*I285/1000,(2.3*SQRT($C$183*$C$184*$C$186))/1000+(J285/4),$C$184*$C$186*I285/1000*(SQRT(2+4*$C$183/($C$184*$C$186*I285^2))-1)+J285/4)</f>
        <v>#DIV/0!</v>
      </c>
      <c r="L285" s="65" t="e">
        <f>B285*F285+#REF!*K285</f>
        <v>#DIV/0!</v>
      </c>
      <c r="M285" s="386"/>
    </row>
    <row r="286" spans="1:19" hidden="1">
      <c r="A286" s="14" t="s">
        <v>33</v>
      </c>
      <c r="B286" s="66">
        <v>1</v>
      </c>
      <c r="C286" s="66">
        <v>10</v>
      </c>
      <c r="D286" s="34">
        <f>100-25</f>
        <v>75</v>
      </c>
      <c r="E286" s="65">
        <f>(0.52*SQRT(C286)*D286^0.9*$B$182^0.8)/1000</f>
        <v>0</v>
      </c>
      <c r="F286" s="65" t="e">
        <f>MIN($B$184*$B$186*D286/1000,(2.3*SQRT($B$183*$B$184*$B$186))/1000+(E286/4),$B$184*$B$186*D286/1000*(SQRT(2+4*$B$183/($B$184*$B$186*D286^2))-1)+E286/4)</f>
        <v>#VALUE!</v>
      </c>
      <c r="G286" s="66">
        <v>1</v>
      </c>
      <c r="H286" s="66">
        <v>10</v>
      </c>
      <c r="I286" s="34">
        <f>100-25</f>
        <v>75</v>
      </c>
      <c r="J286" s="65">
        <f>(0.52*SQRT(H286)*I286^0.9*$B$182^0.8)/1000</f>
        <v>0</v>
      </c>
      <c r="K286" s="65" t="e">
        <f>MIN($B$184*$B$186*I286/1000,(2.3*SQRT($B$183*$B$184*$B$186))/1000+(J286/4),$B$184*$B$186*I286/1000*(SQRT(2+4*$B$183/($B$184*$B$186*I286^2))-1)+J286/4)</f>
        <v>#VALUE!</v>
      </c>
      <c r="L286" s="65" t="e">
        <f>B286*F286+#REF!*K286</f>
        <v>#VALUE!</v>
      </c>
      <c r="M286" s="386"/>
    </row>
    <row r="287" spans="1:19" hidden="1">
      <c r="A287" s="44" t="s">
        <v>34</v>
      </c>
      <c r="B287" s="66">
        <v>1</v>
      </c>
      <c r="C287" s="66">
        <v>10</v>
      </c>
      <c r="D287" s="34">
        <f>100-25</f>
        <v>75</v>
      </c>
      <c r="E287" s="65">
        <f t="shared" ref="E287:E289" si="70">(0.52*SQRT(C287)*D287^0.9*$B$182^0.8)/1000</f>
        <v>0</v>
      </c>
      <c r="F287" s="65" t="e">
        <f>MIN($B$184*$B$186*D287/1000,(2.3*SQRT($B$183*$B$184*$B$186))/1000+(E287/4),$B$184*$B$186*D287/1000*(SQRT(2+4*$B$183/($B$184*$B$186*D287^2))-1)+E287/4)</f>
        <v>#VALUE!</v>
      </c>
      <c r="G287" s="66">
        <v>1</v>
      </c>
      <c r="H287" s="66">
        <v>10</v>
      </c>
      <c r="I287" s="34">
        <f>100-25</f>
        <v>75</v>
      </c>
      <c r="J287" s="65">
        <f t="shared" ref="J287:J289" si="71">(0.52*SQRT(H287)*I287^0.9*$B$182^0.8)/1000</f>
        <v>0</v>
      </c>
      <c r="K287" s="65" t="e">
        <f>MIN($B$184*$B$186*I287/1000,(2.3*SQRT($B$183*$B$184*$B$186))/1000+(J287/4),$B$184*$B$186*I287/1000*(SQRT(2+4*$B$183/($B$184*$B$186*I287^2))-1)+J287/4)</f>
        <v>#VALUE!</v>
      </c>
      <c r="L287" s="65" t="e">
        <f>B287*F287+#REF!*K287</f>
        <v>#VALUE!</v>
      </c>
      <c r="M287" s="386"/>
    </row>
    <row r="288" spans="1:19" hidden="1">
      <c r="A288" s="44" t="s">
        <v>35</v>
      </c>
      <c r="B288" s="66">
        <v>1</v>
      </c>
      <c r="C288" s="66">
        <v>10</v>
      </c>
      <c r="D288" s="34">
        <f>100-25</f>
        <v>75</v>
      </c>
      <c r="E288" s="65">
        <f t="shared" si="70"/>
        <v>0</v>
      </c>
      <c r="F288" s="65" t="e">
        <f>MIN($B$184*$B$186*D288/1000,(2.3*SQRT($B$183*$B$184*$B$186))/1000+(E288/4),$B$184*$B$186*D288/1000*(SQRT(2+4*$B$183/($B$184*$B$186*D288^2))-1)+E288/4)</f>
        <v>#VALUE!</v>
      </c>
      <c r="G288" s="66">
        <v>1</v>
      </c>
      <c r="H288" s="66">
        <v>10</v>
      </c>
      <c r="I288" s="34">
        <f>100-25</f>
        <v>75</v>
      </c>
      <c r="J288" s="65">
        <f t="shared" si="71"/>
        <v>0</v>
      </c>
      <c r="K288" s="65" t="e">
        <f>MIN($B$184*$B$186*I288/1000,(2.3*SQRT($B$183*$B$184*$B$186))/1000+(J288/4),$B$184*$B$186*I288/1000*(SQRT(2+4*$B$183/($B$184*$B$186*I288^2))-1)+J288/4)</f>
        <v>#VALUE!</v>
      </c>
      <c r="L288" s="65" t="e">
        <f>B288*F288+#REF!*K288</f>
        <v>#VALUE!</v>
      </c>
      <c r="M288" s="386"/>
    </row>
    <row r="289" spans="1:21" hidden="1">
      <c r="A289" s="14" t="s">
        <v>36</v>
      </c>
      <c r="B289" s="66">
        <v>1</v>
      </c>
      <c r="C289" s="66">
        <v>10</v>
      </c>
      <c r="D289" s="34">
        <f>100-25</f>
        <v>75</v>
      </c>
      <c r="E289" s="65">
        <f t="shared" si="70"/>
        <v>0</v>
      </c>
      <c r="F289" s="65" t="e">
        <f>MIN($B$184*$B$186*D289/1000,(2.3*SQRT($B$183*$B$184*$B$186))/1000+(E289/4),$B$184*$B$186*D289/1000*(SQRT(2+4*$B$183/($B$184*$B$186*D289^2))-1)+E289/4)</f>
        <v>#VALUE!</v>
      </c>
      <c r="G289" s="66">
        <v>1</v>
      </c>
      <c r="H289" s="66">
        <v>10</v>
      </c>
      <c r="I289" s="34">
        <f>100-25</f>
        <v>75</v>
      </c>
      <c r="J289" s="65">
        <f t="shared" si="71"/>
        <v>0</v>
      </c>
      <c r="K289" s="65" t="e">
        <f>MIN($B$184*$B$186*I289/1000,(2.3*SQRT($B$183*$B$184*$B$186))/1000+(J289/4),$B$184*$B$186*I289/1000*(SQRT(2+4*$B$183/($B$184*$B$186*I289^2))-1)+J289/4)</f>
        <v>#VALUE!</v>
      </c>
      <c r="L289" s="65" t="e">
        <f>B289*F289+#REF!*K289</f>
        <v>#VALUE!</v>
      </c>
      <c r="M289" s="386"/>
    </row>
    <row r="290" spans="1:21" ht="30">
      <c r="A290" s="424" t="s">
        <v>841</v>
      </c>
      <c r="B290" s="63">
        <v>1</v>
      </c>
      <c r="C290" s="63">
        <v>8</v>
      </c>
      <c r="D290" s="303">
        <f>80-24.5</f>
        <v>55.5</v>
      </c>
      <c r="E290" s="64">
        <f>(0.52*SQRT(C290)*D290^0.9*$B$252^0.8)/1000</f>
        <v>6.3941173944115528</v>
      </c>
      <c r="F290" s="64">
        <f>MIN(C290*D290*$C$256/1000,(2.3*SQRT($C$253*$C$256*C290))/1000+(E290/4),C290*D290*$C$256/1000*(SQRT(2+4*$C$253/($C$256*C290*D290^2))-1)+E290/4)</f>
        <v>5.2078779245833671</v>
      </c>
      <c r="G290" s="63">
        <v>7</v>
      </c>
      <c r="H290" s="63">
        <v>8</v>
      </c>
      <c r="I290" s="303">
        <v>70</v>
      </c>
      <c r="J290" s="64">
        <f>(0.52*SQRT(H290)*I290^0.9*$B$252^0.8)/1000</f>
        <v>7.8796178754106014</v>
      </c>
      <c r="K290" s="64">
        <f>MIN(H290*I290*$C$256/1000,(2.3*SQRT($C$253*$C$256*H290))/1000+(J290/4),H290*I290*$C$256/1000*(SQRT(2+4*$C$253/($C$256*H290*I290^2))-1)+J290/4)</f>
        <v>5.7539958910348616</v>
      </c>
      <c r="L290" s="64">
        <f>B290^0.9*F290+G290^0.9*K290</f>
        <v>38.363546016241301</v>
      </c>
      <c r="M290" s="238" t="s">
        <v>384</v>
      </c>
    </row>
    <row r="291" spans="1:21" ht="30">
      <c r="A291" s="424" t="s">
        <v>842</v>
      </c>
      <c r="B291" s="63">
        <v>1</v>
      </c>
      <c r="C291" s="63">
        <v>8</v>
      </c>
      <c r="D291" s="303">
        <f>80-24.5</f>
        <v>55.5</v>
      </c>
      <c r="E291" s="64">
        <f>(0.52*SQRT(C291)*D291^0.9*$B$252^0.8)/1000</f>
        <v>6.3941173944115528</v>
      </c>
      <c r="F291" s="64">
        <f>MIN(C291*D291*$C$256/1000,(2.3*SQRT($C$253*$C$256*C291))/1000+(E291/4),C291*D291*$C$256/1000*(SQRT(2+4*$C$253/($C$256*C291*D291^2))-1)+E291/4)</f>
        <v>5.2078779245833671</v>
      </c>
      <c r="G291" s="63">
        <v>7</v>
      </c>
      <c r="H291" s="63">
        <v>8</v>
      </c>
      <c r="I291" s="303">
        <v>70</v>
      </c>
      <c r="J291" s="64">
        <f>(0.52*SQRT(H291)*I291^0.9*$B$252^0.8)/1000</f>
        <v>7.8796178754106014</v>
      </c>
      <c r="K291" s="64">
        <f>MIN(H291*I291*$C$256/1000,(2.3*SQRT($C$253*$C$256*H291))/1000+(J291/4),H291*I291*$C$256/1000*(SQRT(2+4*$C$253/($C$256*H291*I291^2))-1)+J291/4)</f>
        <v>5.7539958910348616</v>
      </c>
      <c r="L291" s="64">
        <f>B291^0.9*F291+G291^0.9*K291</f>
        <v>38.363546016241301</v>
      </c>
      <c r="M291" s="238" t="s">
        <v>384</v>
      </c>
    </row>
    <row r="292" spans="1:21" ht="30">
      <c r="A292" s="342" t="s">
        <v>843</v>
      </c>
      <c r="B292" s="63">
        <v>1</v>
      </c>
      <c r="C292" s="63">
        <v>8</v>
      </c>
      <c r="D292" s="303">
        <f>80-24.5</f>
        <v>55.5</v>
      </c>
      <c r="E292" s="64">
        <f t="shared" ref="E292:E297" si="72">(0.52*SQRT(C292)*D292^0.9*$B$252^0.8)/1000</f>
        <v>6.3941173944115528</v>
      </c>
      <c r="F292" s="64">
        <f>MIN(C292*D292*$C$256/1000,(2.3*SQRT($C$253*$C$256*C292))/1000+(E292/4),C292*D292*$C$256/1000*(SQRT(2+4*$C$253/($C$256*C292*D292^2))-1)+E292/4)</f>
        <v>5.2078779245833671</v>
      </c>
      <c r="G292" s="63">
        <v>8</v>
      </c>
      <c r="H292" s="63">
        <v>8</v>
      </c>
      <c r="I292" s="303">
        <v>70</v>
      </c>
      <c r="J292" s="64">
        <f t="shared" ref="J292:J297" si="73">(0.52*SQRT(H292)*I292^0.9*$B$252^0.8)/1000</f>
        <v>7.8796178754106014</v>
      </c>
      <c r="K292" s="64">
        <f>MIN(H292*I292*$C$256/1000,(2.3*SQRT($C$253*$C$256*H292))/1000+(J292/4),H292*I292*$C$256/1000*(SQRT(2+4*$C$253/($C$256*H292*I292^2))-1)+J292/4)</f>
        <v>5.7539958910348616</v>
      </c>
      <c r="L292" s="64">
        <f t="shared" ref="L292:L297" si="74">B292^0.9*F292+G292^0.9*K292</f>
        <v>42.597453533519349</v>
      </c>
      <c r="M292" s="238" t="s">
        <v>384</v>
      </c>
    </row>
    <row r="293" spans="1:21" ht="30">
      <c r="A293" s="342" t="s">
        <v>844</v>
      </c>
      <c r="B293" s="63">
        <v>1</v>
      </c>
      <c r="C293" s="63">
        <v>8</v>
      </c>
      <c r="D293" s="303">
        <f>80-24.5</f>
        <v>55.5</v>
      </c>
      <c r="E293" s="64">
        <f t="shared" si="72"/>
        <v>6.3941173944115528</v>
      </c>
      <c r="F293" s="64">
        <f>MIN(C293*D293*$C$256/1000,(2.3*SQRT($C$253*$C$256*C293))/1000+(E293/4),C293*D293*$C$256/1000*(SQRT(2+4*$C$253/($C$256*C293*D293^2))-1)+E293/4)</f>
        <v>5.2078779245833671</v>
      </c>
      <c r="G293" s="63">
        <v>8</v>
      </c>
      <c r="H293" s="63">
        <v>8</v>
      </c>
      <c r="I293" s="303">
        <v>70</v>
      </c>
      <c r="J293" s="64">
        <f t="shared" si="73"/>
        <v>7.8796178754106014</v>
      </c>
      <c r="K293" s="64">
        <f>MIN(H293*I293*$C$256/1000,(2.3*SQRT($C$253*$C$256*H293))/1000+(J293/4),H293*I293*$C$256/1000*(SQRT(2+4*$C$253/($C$256*H293*I293^2))-1)+J293/4)</f>
        <v>5.7539958910348616</v>
      </c>
      <c r="L293" s="64">
        <f t="shared" si="74"/>
        <v>42.597453533519349</v>
      </c>
      <c r="M293" s="238" t="s">
        <v>384</v>
      </c>
    </row>
    <row r="294" spans="1:21" ht="30">
      <c r="A294" s="342" t="s">
        <v>845</v>
      </c>
      <c r="B294" s="63">
        <v>1</v>
      </c>
      <c r="C294" s="63">
        <v>10</v>
      </c>
      <c r="D294" s="303">
        <f>100-25</f>
        <v>75</v>
      </c>
      <c r="E294" s="64">
        <f t="shared" si="72"/>
        <v>9.3740456535592109</v>
      </c>
      <c r="F294" s="64">
        <f>MIN(C294*D294*$B$256/1000,(2.3*SQRT($B$253*$B$256*C294))/1000+(E294/4),C294*D294*$B$256/1000*(SQRT(2+4*$B$253/($B$256*C294*D294^2))-1)+E294/4)</f>
        <v>7.7560268644377208</v>
      </c>
      <c r="G294" s="63">
        <v>8</v>
      </c>
      <c r="H294" s="63">
        <v>10</v>
      </c>
      <c r="I294" s="303">
        <v>85</v>
      </c>
      <c r="J294" s="64">
        <f t="shared" si="73"/>
        <v>10.491774806064372</v>
      </c>
      <c r="K294" s="64">
        <f>MIN(H294*I294*$B$256/1000,(2.3*SQRT($B$253*$B$256*H294))/1000+(J294/4),H294*I294*$B$256/1000*(SQRT(2+4*$B$253/($B$256*H294*I294^2))-1)+J294/4)</f>
        <v>8.0354591525640107</v>
      </c>
      <c r="L294" s="64">
        <f t="shared" si="74"/>
        <v>59.970594484379816</v>
      </c>
      <c r="M294" s="238" t="s">
        <v>384</v>
      </c>
    </row>
    <row r="295" spans="1:21" ht="30">
      <c r="A295" s="342" t="s">
        <v>846</v>
      </c>
      <c r="B295" s="63">
        <v>1</v>
      </c>
      <c r="C295" s="63">
        <v>10</v>
      </c>
      <c r="D295" s="303">
        <f>100-25</f>
        <v>75</v>
      </c>
      <c r="E295" s="64">
        <f t="shared" si="72"/>
        <v>9.3740456535592109</v>
      </c>
      <c r="F295" s="64">
        <f>MIN(C295*D295*$B$256/1000,(2.3*SQRT($B$253*$B$256*C295))/1000+(E295/4),C295*D295*$B$256/1000*(SQRT(2+4*$B$253/($B$256*C295*D295^2))-1)+E295/4)</f>
        <v>7.7560268644377208</v>
      </c>
      <c r="G295" s="63">
        <v>8</v>
      </c>
      <c r="H295" s="63">
        <v>10</v>
      </c>
      <c r="I295" s="303">
        <v>85</v>
      </c>
      <c r="J295" s="64">
        <f t="shared" si="73"/>
        <v>10.491774806064372</v>
      </c>
      <c r="K295" s="64">
        <f>MIN(H295*I295*$B$256/1000,(2.3*SQRT($B$253*$B$256*H295))/1000+(J295/4),H295*I295*$B$256/1000*(SQRT(2+4*$B$253/($B$256*H295*I295^2))-1)+J295/4)</f>
        <v>8.0354591525640107</v>
      </c>
      <c r="L295" s="64">
        <f t="shared" si="74"/>
        <v>59.970594484379816</v>
      </c>
      <c r="M295" s="238" t="s">
        <v>384</v>
      </c>
    </row>
    <row r="296" spans="1:21" ht="30">
      <c r="A296" s="342" t="s">
        <v>847</v>
      </c>
      <c r="B296" s="63">
        <v>1</v>
      </c>
      <c r="C296" s="63">
        <v>10</v>
      </c>
      <c r="D296" s="303">
        <f>100-25</f>
        <v>75</v>
      </c>
      <c r="E296" s="64">
        <f t="shared" si="72"/>
        <v>9.3740456535592109</v>
      </c>
      <c r="F296" s="64">
        <f>MIN(C296*D296*$B$256/1000,(2.3*SQRT($B$253*$B$256*C296))/1000+(E296/4),C296*D296*$B$256/1000*(SQRT(2+4*$B$253/($B$256*C296*D296^2))-1)+E296/4)</f>
        <v>7.7560268644377208</v>
      </c>
      <c r="G296" s="63">
        <v>8</v>
      </c>
      <c r="H296" s="63">
        <v>10</v>
      </c>
      <c r="I296" s="303">
        <v>85</v>
      </c>
      <c r="J296" s="64">
        <f t="shared" si="73"/>
        <v>10.491774806064372</v>
      </c>
      <c r="K296" s="64">
        <f>MIN(H296*I296*$B$256/1000,(2.3*SQRT($B$253*$B$256*H296))/1000+(J296/4),H296*I296*$B$256/1000*(SQRT(2+4*$B$253/($B$256*H296*I296^2))-1)+J296/4)</f>
        <v>8.0354591525640107</v>
      </c>
      <c r="L296" s="64">
        <f t="shared" si="74"/>
        <v>59.970594484379816</v>
      </c>
      <c r="M296" s="238" t="s">
        <v>384</v>
      </c>
    </row>
    <row r="297" spans="1:21" ht="30">
      <c r="A297" s="342" t="s">
        <v>847</v>
      </c>
      <c r="B297" s="63">
        <v>1</v>
      </c>
      <c r="C297" s="63">
        <v>10</v>
      </c>
      <c r="D297" s="303">
        <f>100-25</f>
        <v>75</v>
      </c>
      <c r="E297" s="64">
        <f t="shared" si="72"/>
        <v>9.3740456535592109</v>
      </c>
      <c r="F297" s="64">
        <f>MIN(C297*D297*$B$256/1000,(2.3*SQRT($B$253*$B$256*C297))/1000+(E297/4),C297*D297*$B$256/1000*(SQRT(2+4*$B$253/($B$256*C297*D297^2))-1)+E297/4)</f>
        <v>7.7560268644377208</v>
      </c>
      <c r="G297" s="63">
        <v>8</v>
      </c>
      <c r="H297" s="63">
        <v>10</v>
      </c>
      <c r="I297" s="303">
        <v>85</v>
      </c>
      <c r="J297" s="64">
        <f t="shared" si="73"/>
        <v>10.491774806064372</v>
      </c>
      <c r="K297" s="64">
        <f>MIN(H297*I297*$B$256/1000,(2.3*SQRT($B$253*$B$256*H297))/1000+(J297/4),H297*I297*$B$256/1000*(SQRT(2+4*$B$253/($B$256*H297*I297^2))-1)+J297/4)</f>
        <v>8.0354591525640107</v>
      </c>
      <c r="L297" s="64">
        <f t="shared" si="74"/>
        <v>59.970594484379816</v>
      </c>
      <c r="M297" s="238" t="s">
        <v>384</v>
      </c>
    </row>
    <row r="299" spans="1:21">
      <c r="A299" s="3"/>
      <c r="B299" s="77"/>
      <c r="F299" t="s">
        <v>72</v>
      </c>
      <c r="G299" s="3"/>
    </row>
    <row r="300" spans="1:21" ht="18">
      <c r="A300" s="4" t="s">
        <v>2</v>
      </c>
      <c r="B300" s="78" t="s">
        <v>61</v>
      </c>
      <c r="C300" s="78" t="s">
        <v>73</v>
      </c>
      <c r="D300" s="5" t="s">
        <v>74</v>
      </c>
      <c r="E300" s="78" t="s">
        <v>75</v>
      </c>
      <c r="F300" s="79" t="s">
        <v>85</v>
      </c>
      <c r="G300" s="80"/>
      <c r="O300" s="4" t="s">
        <v>2</v>
      </c>
      <c r="P300" s="682" t="s">
        <v>77</v>
      </c>
      <c r="Q300" s="683"/>
      <c r="R300" s="683"/>
      <c r="S300" s="683"/>
      <c r="T300" s="684"/>
    </row>
    <row r="301" spans="1:21">
      <c r="A301" s="8"/>
      <c r="B301" s="81" t="s">
        <v>17</v>
      </c>
      <c r="C301" s="82" t="s">
        <v>17</v>
      </c>
      <c r="D301" s="9" t="s">
        <v>78</v>
      </c>
      <c r="E301" s="82" t="s">
        <v>17</v>
      </c>
      <c r="F301" s="83" t="s">
        <v>17</v>
      </c>
      <c r="G301" s="84"/>
      <c r="O301" s="8"/>
      <c r="P301" s="104">
        <v>0.6</v>
      </c>
      <c r="Q301" s="104">
        <v>0.7</v>
      </c>
      <c r="R301" s="104">
        <v>0.8</v>
      </c>
      <c r="S301" s="104">
        <v>0.9</v>
      </c>
      <c r="T301" s="104">
        <v>1</v>
      </c>
      <c r="U301" s="624"/>
    </row>
    <row r="302" spans="1:21" hidden="1">
      <c r="A302" s="14" t="s">
        <v>29</v>
      </c>
      <c r="B302" s="65" t="e">
        <f t="shared" ref="B302:B317" si="75">L262</f>
        <v>#VALUE!</v>
      </c>
      <c r="C302" s="65">
        <v>34</v>
      </c>
      <c r="D302" s="106">
        <v>10.7</v>
      </c>
      <c r="E302" s="65" t="e">
        <f t="shared" ref="E302:E317" si="76">1/SQRT((1/L282)^2+(1/(D302*E282))^2)</f>
        <v>#DIV/0!</v>
      </c>
      <c r="F302" s="107" t="e">
        <f>MIN(B302,E302)</f>
        <v>#VALUE!</v>
      </c>
      <c r="G302" s="87"/>
      <c r="N302" s="103"/>
      <c r="O302" s="14" t="s">
        <v>29</v>
      </c>
      <c r="P302" s="88" t="e">
        <f>MIN(P$228*$B302/1.3,$C302/1,P$228*$E302/1.3)</f>
        <v>#VALUE!</v>
      </c>
      <c r="Q302" s="88" t="e">
        <f>MIN(Q$228*$B302/1.3,$C302/1,Q$228*$E302/1.3)</f>
        <v>#VALUE!</v>
      </c>
      <c r="R302" s="88" t="e">
        <f>MIN(R$228*$B302/1.3,$C302/1,R$228*$E302/1.3)</f>
        <v>#VALUE!</v>
      </c>
      <c r="S302" s="88" t="e">
        <f>MIN(S$228*$B302/1.3,$C302/1,S$228*$E302/1.3)</f>
        <v>#VALUE!</v>
      </c>
      <c r="T302" s="88" t="e">
        <f>MIN(T$228*$B302/1.3,$C302/1,T$228*$E302/1.3)</f>
        <v>#VALUE!</v>
      </c>
    </row>
    <row r="303" spans="1:21" hidden="1">
      <c r="A303" s="44" t="s">
        <v>30</v>
      </c>
      <c r="B303" s="65" t="e">
        <f t="shared" si="75"/>
        <v>#VALUE!</v>
      </c>
      <c r="C303" s="65">
        <v>34</v>
      </c>
      <c r="D303" s="106">
        <v>18.3</v>
      </c>
      <c r="E303" s="65" t="e">
        <f t="shared" si="76"/>
        <v>#DIV/0!</v>
      </c>
      <c r="F303" s="107" t="e">
        <f t="shared" ref="F303:F317" si="77">MIN(B303,E303)</f>
        <v>#VALUE!</v>
      </c>
      <c r="G303" s="87"/>
      <c r="N303" s="103"/>
      <c r="O303" s="44" t="s">
        <v>30</v>
      </c>
      <c r="P303" s="88" t="e">
        <f t="shared" ref="P303:T309" si="78">MIN(P$228*$B303/1.3,$C303/1,P$228*$E303/1.3)</f>
        <v>#VALUE!</v>
      </c>
      <c r="Q303" s="88" t="e">
        <f t="shared" si="78"/>
        <v>#VALUE!</v>
      </c>
      <c r="R303" s="88" t="e">
        <f t="shared" si="78"/>
        <v>#VALUE!</v>
      </c>
      <c r="S303" s="88" t="e">
        <f t="shared" si="78"/>
        <v>#VALUE!</v>
      </c>
      <c r="T303" s="88" t="e">
        <f t="shared" si="78"/>
        <v>#VALUE!</v>
      </c>
    </row>
    <row r="304" spans="1:21" hidden="1">
      <c r="A304" s="14" t="s">
        <v>31</v>
      </c>
      <c r="B304" s="65" t="e">
        <f t="shared" si="75"/>
        <v>#VALUE!</v>
      </c>
      <c r="C304" s="65">
        <v>34</v>
      </c>
      <c r="D304" s="106">
        <v>27.8</v>
      </c>
      <c r="E304" s="65" t="e">
        <f t="shared" si="76"/>
        <v>#DIV/0!</v>
      </c>
      <c r="F304" s="107" t="e">
        <f t="shared" si="77"/>
        <v>#VALUE!</v>
      </c>
      <c r="G304" s="87"/>
      <c r="N304" s="103"/>
      <c r="O304" s="14" t="s">
        <v>31</v>
      </c>
      <c r="P304" s="88" t="e">
        <f t="shared" si="78"/>
        <v>#VALUE!</v>
      </c>
      <c r="Q304" s="88" t="e">
        <f t="shared" si="78"/>
        <v>#VALUE!</v>
      </c>
      <c r="R304" s="88" t="e">
        <f t="shared" si="78"/>
        <v>#VALUE!</v>
      </c>
      <c r="S304" s="88" t="e">
        <f t="shared" si="78"/>
        <v>#VALUE!</v>
      </c>
      <c r="T304" s="88" t="e">
        <f t="shared" si="78"/>
        <v>#VALUE!</v>
      </c>
    </row>
    <row r="305" spans="1:20" hidden="1">
      <c r="A305" s="44" t="s">
        <v>32</v>
      </c>
      <c r="B305" s="65" t="e">
        <f t="shared" si="75"/>
        <v>#VALUE!</v>
      </c>
      <c r="C305" s="65">
        <v>34</v>
      </c>
      <c r="D305" s="106">
        <v>39.299999999999997</v>
      </c>
      <c r="E305" s="65" t="e">
        <f t="shared" si="76"/>
        <v>#DIV/0!</v>
      </c>
      <c r="F305" s="107" t="e">
        <f t="shared" si="77"/>
        <v>#VALUE!</v>
      </c>
      <c r="G305" s="87"/>
      <c r="N305" s="103"/>
      <c r="O305" s="44" t="s">
        <v>32</v>
      </c>
      <c r="P305" s="88" t="e">
        <f t="shared" si="78"/>
        <v>#VALUE!</v>
      </c>
      <c r="Q305" s="88" t="e">
        <f t="shared" si="78"/>
        <v>#VALUE!</v>
      </c>
      <c r="R305" s="88" t="e">
        <f t="shared" si="78"/>
        <v>#VALUE!</v>
      </c>
      <c r="S305" s="88" t="e">
        <f t="shared" si="78"/>
        <v>#VALUE!</v>
      </c>
      <c r="T305" s="88" t="e">
        <f t="shared" si="78"/>
        <v>#VALUE!</v>
      </c>
    </row>
    <row r="306" spans="1:20" hidden="1">
      <c r="A306" s="14" t="s">
        <v>33</v>
      </c>
      <c r="B306" s="65" t="e">
        <f t="shared" si="75"/>
        <v>#VALUE!</v>
      </c>
      <c r="C306" s="65">
        <v>50</v>
      </c>
      <c r="D306" s="106">
        <v>27.8</v>
      </c>
      <c r="E306" s="65" t="e">
        <f t="shared" si="76"/>
        <v>#VALUE!</v>
      </c>
      <c r="F306" s="107" t="e">
        <f t="shared" si="77"/>
        <v>#VALUE!</v>
      </c>
      <c r="G306" s="87"/>
      <c r="N306" s="103"/>
      <c r="O306" s="14" t="s">
        <v>33</v>
      </c>
      <c r="P306" s="88" t="e">
        <f t="shared" si="78"/>
        <v>#VALUE!</v>
      </c>
      <c r="Q306" s="88" t="e">
        <f t="shared" si="78"/>
        <v>#VALUE!</v>
      </c>
      <c r="R306" s="88" t="e">
        <f t="shared" si="78"/>
        <v>#VALUE!</v>
      </c>
      <c r="S306" s="88" t="e">
        <f t="shared" si="78"/>
        <v>#VALUE!</v>
      </c>
      <c r="T306" s="88" t="e">
        <f t="shared" si="78"/>
        <v>#VALUE!</v>
      </c>
    </row>
    <row r="307" spans="1:20" hidden="1">
      <c r="A307" s="44" t="s">
        <v>34</v>
      </c>
      <c r="B307" s="65" t="e">
        <f t="shared" si="75"/>
        <v>#VALUE!</v>
      </c>
      <c r="C307" s="65">
        <v>50</v>
      </c>
      <c r="D307" s="106">
        <v>39.299999999999997</v>
      </c>
      <c r="E307" s="65" t="e">
        <f t="shared" si="76"/>
        <v>#VALUE!</v>
      </c>
      <c r="F307" s="107" t="e">
        <f t="shared" si="77"/>
        <v>#VALUE!</v>
      </c>
      <c r="G307" s="87"/>
      <c r="N307" s="103"/>
      <c r="O307" s="44" t="s">
        <v>34</v>
      </c>
      <c r="P307" s="88" t="e">
        <f t="shared" si="78"/>
        <v>#VALUE!</v>
      </c>
      <c r="Q307" s="88" t="e">
        <f t="shared" si="78"/>
        <v>#VALUE!</v>
      </c>
      <c r="R307" s="88" t="e">
        <f t="shared" si="78"/>
        <v>#VALUE!</v>
      </c>
      <c r="S307" s="88" t="e">
        <f t="shared" si="78"/>
        <v>#VALUE!</v>
      </c>
      <c r="T307" s="88" t="e">
        <f t="shared" si="78"/>
        <v>#VALUE!</v>
      </c>
    </row>
    <row r="308" spans="1:20" hidden="1">
      <c r="A308" s="44" t="s">
        <v>35</v>
      </c>
      <c r="B308" s="65" t="e">
        <f t="shared" si="75"/>
        <v>#VALUE!</v>
      </c>
      <c r="C308" s="65">
        <v>50</v>
      </c>
      <c r="D308" s="106">
        <v>52.9</v>
      </c>
      <c r="E308" s="65" t="e">
        <f t="shared" si="76"/>
        <v>#VALUE!</v>
      </c>
      <c r="F308" s="107" t="e">
        <f t="shared" si="77"/>
        <v>#VALUE!</v>
      </c>
      <c r="G308" s="87"/>
      <c r="N308" s="103"/>
      <c r="O308" s="44" t="s">
        <v>35</v>
      </c>
      <c r="P308" s="88" t="e">
        <f t="shared" si="78"/>
        <v>#VALUE!</v>
      </c>
      <c r="Q308" s="88" t="e">
        <f t="shared" si="78"/>
        <v>#VALUE!</v>
      </c>
      <c r="R308" s="88" t="e">
        <f t="shared" si="78"/>
        <v>#VALUE!</v>
      </c>
      <c r="S308" s="88" t="e">
        <f t="shared" si="78"/>
        <v>#VALUE!</v>
      </c>
      <c r="T308" s="88" t="e">
        <f t="shared" si="78"/>
        <v>#VALUE!</v>
      </c>
    </row>
    <row r="309" spans="1:20" hidden="1">
      <c r="A309" s="14" t="s">
        <v>36</v>
      </c>
      <c r="B309" s="65" t="e">
        <f t="shared" si="75"/>
        <v>#VALUE!</v>
      </c>
      <c r="C309" s="65">
        <v>50</v>
      </c>
      <c r="D309" s="106">
        <v>68.400000000000006</v>
      </c>
      <c r="E309" s="65" t="e">
        <f t="shared" si="76"/>
        <v>#VALUE!</v>
      </c>
      <c r="F309" s="107" t="e">
        <f t="shared" si="77"/>
        <v>#VALUE!</v>
      </c>
      <c r="G309" s="87"/>
      <c r="N309" s="103"/>
      <c r="O309" s="14" t="s">
        <v>36</v>
      </c>
      <c r="P309" s="88" t="e">
        <f t="shared" si="78"/>
        <v>#VALUE!</v>
      </c>
      <c r="Q309" s="88" t="e">
        <f t="shared" si="78"/>
        <v>#VALUE!</v>
      </c>
      <c r="R309" s="88" t="e">
        <f t="shared" si="78"/>
        <v>#VALUE!</v>
      </c>
      <c r="S309" s="88" t="e">
        <f t="shared" si="78"/>
        <v>#VALUE!</v>
      </c>
      <c r="T309" s="88" t="e">
        <f t="shared" si="78"/>
        <v>#VALUE!</v>
      </c>
    </row>
    <row r="310" spans="1:20" ht="30">
      <c r="A310" s="424" t="s">
        <v>841</v>
      </c>
      <c r="B310" s="65">
        <f t="shared" si="75"/>
        <v>31.491496682526368</v>
      </c>
      <c r="C310" s="65">
        <v>34</v>
      </c>
      <c r="D310" s="106">
        <v>10.7</v>
      </c>
      <c r="E310" s="65">
        <f t="shared" si="76"/>
        <v>33.461995493984347</v>
      </c>
      <c r="F310" s="107">
        <f t="shared" si="77"/>
        <v>31.491496682526368</v>
      </c>
      <c r="G310" s="87"/>
      <c r="N310" s="103"/>
      <c r="O310" s="424" t="s">
        <v>841</v>
      </c>
      <c r="P310" s="88">
        <f>MIN(P$301*$B310/1.3,$C310/1,P$301*$E310/1.3)</f>
        <v>14.534536930396785</v>
      </c>
      <c r="Q310" s="88">
        <f t="shared" ref="Q310:T317" si="79">MIN(Q$301*$B310/1.3,$C310/1,Q$301*$E310/1.3)</f>
        <v>16.956959752129581</v>
      </c>
      <c r="R310" s="88">
        <f t="shared" si="79"/>
        <v>19.37938257386238</v>
      </c>
      <c r="S310" s="88">
        <f t="shared" si="79"/>
        <v>21.801805395595178</v>
      </c>
      <c r="T310" s="88">
        <f t="shared" si="79"/>
        <v>24.224228217327973</v>
      </c>
    </row>
    <row r="311" spans="1:20" ht="30">
      <c r="A311" s="424" t="s">
        <v>842</v>
      </c>
      <c r="B311" s="65">
        <f t="shared" si="75"/>
        <v>38.963464114889931</v>
      </c>
      <c r="C311" s="65">
        <v>34</v>
      </c>
      <c r="D311" s="106">
        <v>10.7</v>
      </c>
      <c r="E311" s="65">
        <f t="shared" si="76"/>
        <v>33.461995493984347</v>
      </c>
      <c r="F311" s="107">
        <f t="shared" si="77"/>
        <v>33.461995493984347</v>
      </c>
      <c r="G311" s="87"/>
      <c r="N311" s="103"/>
      <c r="O311" s="424" t="s">
        <v>842</v>
      </c>
      <c r="P311" s="88">
        <f t="shared" ref="P311:P317" si="80">MIN(P$301*$B311/1.3,$C311/1,P$301*$E311/1.3)</f>
        <v>15.443997920300466</v>
      </c>
      <c r="Q311" s="88">
        <f t="shared" si="79"/>
        <v>18.017997573683878</v>
      </c>
      <c r="R311" s="88">
        <f t="shared" si="79"/>
        <v>20.591997227067289</v>
      </c>
      <c r="S311" s="88">
        <f t="shared" si="79"/>
        <v>23.165996880450702</v>
      </c>
      <c r="T311" s="88">
        <f t="shared" si="79"/>
        <v>25.739996533834113</v>
      </c>
    </row>
    <row r="312" spans="1:20" ht="30">
      <c r="A312" s="342" t="s">
        <v>843</v>
      </c>
      <c r="B312" s="65">
        <f t="shared" si="75"/>
        <v>34.932860097435942</v>
      </c>
      <c r="C312" s="65">
        <v>34</v>
      </c>
      <c r="D312" s="106">
        <v>27.8</v>
      </c>
      <c r="E312" s="65">
        <f t="shared" si="76"/>
        <v>41.424610237180048</v>
      </c>
      <c r="F312" s="107">
        <f t="shared" si="77"/>
        <v>34.932860097435942</v>
      </c>
      <c r="G312" s="87"/>
      <c r="N312" s="103"/>
      <c r="O312" s="342" t="s">
        <v>843</v>
      </c>
      <c r="P312" s="88">
        <f t="shared" si="80"/>
        <v>16.122858506508894</v>
      </c>
      <c r="Q312" s="88">
        <f t="shared" si="79"/>
        <v>18.810001590927044</v>
      </c>
      <c r="R312" s="88">
        <f t="shared" si="79"/>
        <v>21.497144675345194</v>
      </c>
      <c r="S312" s="88">
        <f t="shared" si="79"/>
        <v>24.184287759763347</v>
      </c>
      <c r="T312" s="88">
        <f t="shared" si="79"/>
        <v>26.871430844181493</v>
      </c>
    </row>
    <row r="313" spans="1:20" ht="30">
      <c r="A313" s="342" t="s">
        <v>844</v>
      </c>
      <c r="B313" s="65">
        <f t="shared" si="75"/>
        <v>43.217233639431143</v>
      </c>
      <c r="C313" s="65">
        <v>34</v>
      </c>
      <c r="D313" s="106">
        <v>27.8</v>
      </c>
      <c r="E313" s="65">
        <f t="shared" si="76"/>
        <v>41.424610237180048</v>
      </c>
      <c r="F313" s="107">
        <f t="shared" si="77"/>
        <v>41.424610237180048</v>
      </c>
      <c r="G313" s="87"/>
      <c r="N313" s="103"/>
      <c r="O313" s="342" t="s">
        <v>844</v>
      </c>
      <c r="P313" s="88">
        <f t="shared" si="80"/>
        <v>19.119050878698481</v>
      </c>
      <c r="Q313" s="88">
        <f t="shared" si="79"/>
        <v>22.305559358481563</v>
      </c>
      <c r="R313" s="88">
        <f t="shared" si="79"/>
        <v>25.492067838264646</v>
      </c>
      <c r="S313" s="88">
        <f t="shared" si="79"/>
        <v>28.678576318047725</v>
      </c>
      <c r="T313" s="88">
        <f t="shared" si="79"/>
        <v>31.865084797830804</v>
      </c>
    </row>
    <row r="314" spans="1:20" ht="31.5" customHeight="1">
      <c r="A314" s="342" t="s">
        <v>845</v>
      </c>
      <c r="B314" s="65">
        <f t="shared" si="75"/>
        <v>48.84998370785852</v>
      </c>
      <c r="C314" s="65">
        <v>50</v>
      </c>
      <c r="D314" s="106">
        <v>27.8</v>
      </c>
      <c r="E314" s="65">
        <f t="shared" si="76"/>
        <v>58.443039446631978</v>
      </c>
      <c r="F314" s="107">
        <f t="shared" si="77"/>
        <v>48.84998370785852</v>
      </c>
      <c r="G314" s="87"/>
      <c r="N314" s="103"/>
      <c r="O314" s="342" t="s">
        <v>845</v>
      </c>
      <c r="P314" s="88">
        <f t="shared" si="80"/>
        <v>22.54614632670393</v>
      </c>
      <c r="Q314" s="88">
        <f t="shared" si="79"/>
        <v>26.303837381154583</v>
      </c>
      <c r="R314" s="88">
        <f t="shared" si="79"/>
        <v>30.061528435605243</v>
      </c>
      <c r="S314" s="88">
        <f t="shared" si="79"/>
        <v>33.8192194900559</v>
      </c>
      <c r="T314" s="88">
        <f t="shared" si="79"/>
        <v>37.576910544506553</v>
      </c>
    </row>
    <row r="315" spans="1:20" ht="31.5" customHeight="1">
      <c r="A315" s="342" t="s">
        <v>846</v>
      </c>
      <c r="B315" s="65">
        <f t="shared" si="75"/>
        <v>60.173759321907383</v>
      </c>
      <c r="C315" s="65">
        <v>50</v>
      </c>
      <c r="D315" s="106">
        <v>27.8</v>
      </c>
      <c r="E315" s="65">
        <f t="shared" si="76"/>
        <v>58.443039446631978</v>
      </c>
      <c r="F315" s="107">
        <f t="shared" si="77"/>
        <v>58.443039446631978</v>
      </c>
      <c r="G315" s="87"/>
      <c r="N315" s="103"/>
      <c r="O315" s="342" t="s">
        <v>846</v>
      </c>
      <c r="P315" s="88">
        <f t="shared" si="80"/>
        <v>26.973710513830145</v>
      </c>
      <c r="Q315" s="88">
        <f t="shared" si="79"/>
        <v>31.469328932801833</v>
      </c>
      <c r="R315" s="88">
        <f t="shared" si="79"/>
        <v>35.964947351773525</v>
      </c>
      <c r="S315" s="88">
        <f t="shared" si="79"/>
        <v>40.460565770745212</v>
      </c>
      <c r="T315" s="88">
        <f t="shared" si="79"/>
        <v>44.956184189716907</v>
      </c>
    </row>
    <row r="316" spans="1:20" ht="30" customHeight="1">
      <c r="A316" s="342" t="s">
        <v>847</v>
      </c>
      <c r="B316" s="65">
        <f t="shared" si="75"/>
        <v>48.84998370785852</v>
      </c>
      <c r="C316" s="65">
        <v>50</v>
      </c>
      <c r="D316" s="106">
        <v>68.400000000000006</v>
      </c>
      <c r="E316" s="65">
        <f t="shared" si="76"/>
        <v>59.709990723289614</v>
      </c>
      <c r="F316" s="107">
        <f t="shared" si="77"/>
        <v>48.84998370785852</v>
      </c>
      <c r="G316" s="87"/>
      <c r="N316" s="103"/>
      <c r="O316" s="342" t="s">
        <v>847</v>
      </c>
      <c r="P316" s="88">
        <f t="shared" si="80"/>
        <v>22.54614632670393</v>
      </c>
      <c r="Q316" s="88">
        <f t="shared" si="79"/>
        <v>26.303837381154583</v>
      </c>
      <c r="R316" s="88">
        <f t="shared" si="79"/>
        <v>30.061528435605243</v>
      </c>
      <c r="S316" s="88">
        <f t="shared" si="79"/>
        <v>33.8192194900559</v>
      </c>
      <c r="T316" s="88">
        <f t="shared" si="79"/>
        <v>37.576910544506553</v>
      </c>
    </row>
    <row r="317" spans="1:20" ht="30">
      <c r="A317" s="342" t="s">
        <v>847</v>
      </c>
      <c r="B317" s="65">
        <f t="shared" si="75"/>
        <v>60.173759321907383</v>
      </c>
      <c r="C317" s="65">
        <v>50</v>
      </c>
      <c r="D317" s="106">
        <v>68.400000000000006</v>
      </c>
      <c r="E317" s="65">
        <f t="shared" si="76"/>
        <v>59.709990723289614</v>
      </c>
      <c r="F317" s="107">
        <f t="shared" si="77"/>
        <v>59.709990723289614</v>
      </c>
      <c r="O317" s="342" t="s">
        <v>847</v>
      </c>
      <c r="P317" s="88">
        <f t="shared" si="80"/>
        <v>27.558457256902898</v>
      </c>
      <c r="Q317" s="88">
        <f t="shared" si="79"/>
        <v>32.151533466386709</v>
      </c>
      <c r="R317" s="88">
        <f t="shared" si="79"/>
        <v>36.744609675870528</v>
      </c>
      <c r="S317" s="88">
        <f t="shared" si="79"/>
        <v>41.337685885354347</v>
      </c>
      <c r="T317" s="88">
        <f t="shared" si="79"/>
        <v>45.930762094838165</v>
      </c>
    </row>
    <row r="323" spans="1:33" ht="18.75">
      <c r="A323" s="56" t="s">
        <v>86</v>
      </c>
    </row>
    <row r="324" spans="1:33" ht="18.75">
      <c r="A324" s="56"/>
    </row>
    <row r="325" spans="1:33">
      <c r="A325" s="21" t="s">
        <v>37</v>
      </c>
      <c r="B325" s="22" t="s">
        <v>25</v>
      </c>
      <c r="L325" s="3"/>
      <c r="M325" s="3"/>
      <c r="N325" s="3"/>
      <c r="O325" s="3"/>
      <c r="P325" s="108"/>
    </row>
    <row r="326" spans="1:33" ht="18">
      <c r="A326" s="23" t="s">
        <v>39</v>
      </c>
      <c r="B326" s="24">
        <f>VLOOKUP(B325,$V$7:$W$16,2,FALSE)</f>
        <v>385</v>
      </c>
      <c r="C326" t="s">
        <v>40</v>
      </c>
      <c r="L326" s="108"/>
      <c r="M326" s="3"/>
      <c r="N326" s="3"/>
      <c r="O326" s="108"/>
      <c r="P326" s="108"/>
    </row>
    <row r="327" spans="1:33">
      <c r="L327" s="108"/>
      <c r="M327" s="3"/>
      <c r="N327" s="3"/>
      <c r="O327" s="108"/>
      <c r="P327" s="108"/>
    </row>
    <row r="328" spans="1:33" ht="18.75" thickBot="1">
      <c r="A328" s="4" t="s">
        <v>2</v>
      </c>
      <c r="B328" s="5" t="s">
        <v>43</v>
      </c>
      <c r="C328" s="5" t="s">
        <v>87</v>
      </c>
      <c r="D328" s="5" t="s">
        <v>88</v>
      </c>
      <c r="E328" s="5" t="s">
        <v>89</v>
      </c>
      <c r="F328" s="5" t="s">
        <v>90</v>
      </c>
      <c r="I328" s="105" t="s">
        <v>91</v>
      </c>
      <c r="L328" s="108"/>
      <c r="M328" s="3"/>
      <c r="N328" s="3"/>
      <c r="O328" s="100"/>
      <c r="P328" s="100"/>
    </row>
    <row r="329" spans="1:33">
      <c r="A329" s="8"/>
      <c r="B329" s="9" t="s">
        <v>19</v>
      </c>
      <c r="C329" s="9" t="s">
        <v>18</v>
      </c>
      <c r="D329" s="9" t="s">
        <v>18</v>
      </c>
      <c r="E329" s="9" t="s">
        <v>92</v>
      </c>
      <c r="F329" s="9" t="s">
        <v>17</v>
      </c>
      <c r="I329" s="105" t="s">
        <v>93</v>
      </c>
      <c r="L329" s="108"/>
      <c r="M329" s="3"/>
      <c r="N329" s="3"/>
      <c r="O329" s="100"/>
      <c r="P329" s="100"/>
      <c r="W329" s="733" t="s">
        <v>94</v>
      </c>
      <c r="X329" s="734"/>
      <c r="Y329" s="734"/>
      <c r="Z329" s="734"/>
      <c r="AA329" s="734"/>
      <c r="AB329" s="25"/>
      <c r="AC329" s="734" t="s">
        <v>95</v>
      </c>
      <c r="AD329" s="734"/>
      <c r="AE329" s="734"/>
      <c r="AF329" s="734"/>
      <c r="AG329" s="736"/>
    </row>
    <row r="330" spans="1:33">
      <c r="A330" s="33" t="s">
        <v>96</v>
      </c>
      <c r="B330" s="35">
        <v>1</v>
      </c>
      <c r="C330" s="66">
        <v>12</v>
      </c>
      <c r="D330" s="66">
        <f>I52</f>
        <v>49</v>
      </c>
      <c r="E330" s="65">
        <f>0.082*(1-0.01*C330)*$B$326</f>
        <v>27.781600000000001</v>
      </c>
      <c r="F330" s="65">
        <f t="shared" ref="F330:F340" si="81">MIN(0.4*B330*C330*D330*E330/1000,B330*(1.15/1000*SQRT(2*I330*E330*C330)+((0.52*SQRT(C330)*D330^0.9*$B$326^0.8)/1000)/4))</f>
        <v>6.5342323200000019</v>
      </c>
      <c r="G330" s="90" t="s">
        <v>97</v>
      </c>
      <c r="H330" s="90"/>
      <c r="I330" s="109">
        <f t="shared" ref="I330:I340" si="82">0.15*600*C330^2.6</f>
        <v>57559.067465202104</v>
      </c>
      <c r="L330" s="108"/>
      <c r="M330" s="3"/>
      <c r="N330" s="3"/>
      <c r="O330" s="100"/>
      <c r="P330" s="100"/>
      <c r="W330" s="26"/>
      <c r="X330" s="27">
        <v>0.6</v>
      </c>
      <c r="Y330" s="27">
        <v>0.7</v>
      </c>
      <c r="Z330" s="27">
        <v>0.8</v>
      </c>
      <c r="AA330" s="27">
        <v>0.9</v>
      </c>
      <c r="AB330" s="28"/>
      <c r="AC330" s="28"/>
      <c r="AD330" s="27">
        <v>0.6</v>
      </c>
      <c r="AE330" s="27">
        <v>0.7</v>
      </c>
      <c r="AF330" s="27">
        <v>0.8</v>
      </c>
      <c r="AG330" s="29">
        <v>0.9</v>
      </c>
    </row>
    <row r="331" spans="1:33">
      <c r="A331" s="33" t="s">
        <v>98</v>
      </c>
      <c r="B331" s="35">
        <v>1</v>
      </c>
      <c r="C331" s="66">
        <v>12</v>
      </c>
      <c r="D331" s="66">
        <f>I53</f>
        <v>45</v>
      </c>
      <c r="E331" s="65">
        <f>0.082*(1-0.01*C331)*$B$326</f>
        <v>27.781600000000001</v>
      </c>
      <c r="F331" s="65">
        <f t="shared" si="81"/>
        <v>6.0008256000000006</v>
      </c>
      <c r="G331" s="90" t="s">
        <v>99</v>
      </c>
      <c r="H331" s="90"/>
      <c r="I331" s="109">
        <f t="shared" si="82"/>
        <v>57559.067465202104</v>
      </c>
      <c r="L331" s="108"/>
      <c r="M331" s="3"/>
      <c r="N331" s="3"/>
      <c r="O331" s="100"/>
      <c r="P331" s="100"/>
      <c r="W331" s="26">
        <v>350</v>
      </c>
      <c r="X331" s="30">
        <v>2.7416359384615387</v>
      </c>
      <c r="Y331" s="30">
        <v>3.1985752615384619</v>
      </c>
      <c r="Z331" s="30">
        <v>3.6555145846153856</v>
      </c>
      <c r="AA331" s="30">
        <v>4.1124539076923083</v>
      </c>
      <c r="AB331" s="28"/>
      <c r="AC331" s="28">
        <v>350</v>
      </c>
      <c r="AD331" s="30">
        <v>3.2757208615384621</v>
      </c>
      <c r="AE331" s="30">
        <v>3.8216743384615386</v>
      </c>
      <c r="AF331" s="30">
        <v>4.3676278153846164</v>
      </c>
      <c r="AG331" s="31">
        <v>4.9135812923076925</v>
      </c>
    </row>
    <row r="332" spans="1:33">
      <c r="A332" s="33" t="s">
        <v>100</v>
      </c>
      <c r="B332" s="35">
        <v>1</v>
      </c>
      <c r="C332" s="66">
        <v>12</v>
      </c>
      <c r="D332" s="66">
        <v>49</v>
      </c>
      <c r="E332" s="65">
        <f>0.082*(1-0.01*C332)*$B$326</f>
        <v>27.781600000000001</v>
      </c>
      <c r="F332" s="65">
        <f t="shared" si="81"/>
        <v>6.5342323200000019</v>
      </c>
      <c r="G332" s="90"/>
      <c r="H332" s="90"/>
      <c r="I332" s="109">
        <f t="shared" si="82"/>
        <v>57559.067465202104</v>
      </c>
      <c r="L332" s="108"/>
      <c r="M332" s="3"/>
      <c r="N332" s="3"/>
      <c r="O332" s="100"/>
      <c r="P332" s="100"/>
      <c r="W332" s="26">
        <v>380</v>
      </c>
      <c r="X332" s="30">
        <v>2.9766333046153846</v>
      </c>
      <c r="Y332" s="30">
        <v>3.4727388553846152</v>
      </c>
      <c r="Z332" s="30">
        <v>3.9688444061538473</v>
      </c>
      <c r="AA332" s="30">
        <v>4.4649499569230775</v>
      </c>
      <c r="AB332" s="28"/>
      <c r="AC332" s="28">
        <v>380</v>
      </c>
      <c r="AD332" s="30">
        <v>3.5564969353846152</v>
      </c>
      <c r="AE332" s="30">
        <v>4.1492464246153844</v>
      </c>
      <c r="AF332" s="30">
        <v>4.7419959138461545</v>
      </c>
      <c r="AG332" s="31">
        <v>5.3347454030769228</v>
      </c>
    </row>
    <row r="333" spans="1:33">
      <c r="A333" s="33" t="s">
        <v>101</v>
      </c>
      <c r="B333" s="35">
        <v>1</v>
      </c>
      <c r="C333" s="66">
        <v>12</v>
      </c>
      <c r="D333" s="66">
        <v>49</v>
      </c>
      <c r="E333" s="65">
        <f>0.082*(1-0.01*C333)*$B$326/(1.35+0.015*C333)</f>
        <v>18.157908496732027</v>
      </c>
      <c r="F333" s="65">
        <f t="shared" si="81"/>
        <v>4.2707400784313734</v>
      </c>
      <c r="G333" s="90"/>
      <c r="H333" s="90"/>
      <c r="I333" s="109">
        <f t="shared" si="82"/>
        <v>57559.067465202104</v>
      </c>
      <c r="L333" s="108"/>
      <c r="M333" s="3"/>
      <c r="N333" s="3"/>
      <c r="O333" s="100"/>
      <c r="P333" s="100"/>
      <c r="W333" s="26">
        <v>410</v>
      </c>
      <c r="X333" s="30">
        <v>3.2116306707692313</v>
      </c>
      <c r="Y333" s="30">
        <v>3.7469024492307694</v>
      </c>
      <c r="Z333" s="30">
        <v>4.282174227692308</v>
      </c>
      <c r="AA333" s="30">
        <v>4.8174460061538475</v>
      </c>
      <c r="AB333" s="28"/>
      <c r="AC333" s="28">
        <v>410</v>
      </c>
      <c r="AD333" s="30">
        <v>3.8372730092307696</v>
      </c>
      <c r="AE333" s="30">
        <v>4.4768185107692311</v>
      </c>
      <c r="AF333" s="30">
        <v>5.1163640123076934</v>
      </c>
      <c r="AG333" s="31">
        <v>5.7559095138461549</v>
      </c>
    </row>
    <row r="334" spans="1:33">
      <c r="A334" s="33" t="s">
        <v>102</v>
      </c>
      <c r="B334" s="35">
        <v>1</v>
      </c>
      <c r="C334" s="66">
        <v>8</v>
      </c>
      <c r="D334" s="66">
        <v>69</v>
      </c>
      <c r="E334" s="65">
        <f t="shared" ref="E334:E339" si="83">0.082*(1-0.01*C334)*$B$326</f>
        <v>29.044400000000003</v>
      </c>
      <c r="F334" s="65">
        <f t="shared" si="81"/>
        <v>5.4504953448271456</v>
      </c>
      <c r="G334" s="90" t="s">
        <v>97</v>
      </c>
      <c r="H334" s="90"/>
      <c r="I334" s="109">
        <v>20000</v>
      </c>
      <c r="L334" s="108"/>
      <c r="M334" s="3"/>
      <c r="N334" s="3"/>
      <c r="O334" s="100"/>
      <c r="P334" s="100"/>
      <c r="W334" s="26"/>
      <c r="X334" s="30"/>
      <c r="Y334" s="30"/>
      <c r="Z334" s="30"/>
      <c r="AA334" s="30"/>
      <c r="AB334" s="28"/>
      <c r="AC334" s="28"/>
      <c r="AD334" s="30"/>
      <c r="AE334" s="30"/>
      <c r="AF334" s="30"/>
      <c r="AG334" s="31"/>
    </row>
    <row r="335" spans="1:33">
      <c r="A335" s="33" t="s">
        <v>103</v>
      </c>
      <c r="B335" s="35">
        <v>1</v>
      </c>
      <c r="C335" s="66">
        <v>16</v>
      </c>
      <c r="D335" s="66">
        <v>46</v>
      </c>
      <c r="E335" s="65">
        <f t="shared" si="83"/>
        <v>26.518799999999999</v>
      </c>
      <c r="F335" s="65">
        <f t="shared" si="81"/>
        <v>7.8071347200000005</v>
      </c>
      <c r="G335" s="90" t="s">
        <v>97</v>
      </c>
      <c r="H335" s="90"/>
      <c r="I335" s="109">
        <f t="shared" si="82"/>
        <v>121605.84905682993</v>
      </c>
      <c r="L335" s="108"/>
      <c r="M335" s="3"/>
      <c r="N335" s="3"/>
      <c r="O335" s="100"/>
      <c r="P335" s="100"/>
      <c r="W335" s="26">
        <v>430</v>
      </c>
      <c r="X335" s="30">
        <v>3.3682955815384616</v>
      </c>
      <c r="Y335" s="30">
        <v>3.9296781784615389</v>
      </c>
      <c r="Z335" s="30">
        <v>4.4910607753846161</v>
      </c>
      <c r="AA335" s="30">
        <v>5.0524433723076934</v>
      </c>
      <c r="AB335" s="28"/>
      <c r="AC335" s="28">
        <v>430</v>
      </c>
      <c r="AD335" s="30">
        <v>4.0244570584615387</v>
      </c>
      <c r="AE335" s="30">
        <v>4.6951999015384613</v>
      </c>
      <c r="AF335" s="30">
        <v>5.3659427446153849</v>
      </c>
      <c r="AG335" s="31">
        <v>6.0366855876923076</v>
      </c>
    </row>
    <row r="336" spans="1:33">
      <c r="A336" s="33" t="s">
        <v>104</v>
      </c>
      <c r="B336" s="35">
        <v>1</v>
      </c>
      <c r="C336" s="66">
        <v>16</v>
      </c>
      <c r="D336" s="66">
        <v>46</v>
      </c>
      <c r="E336" s="65">
        <f t="shared" si="83"/>
        <v>26.518799999999999</v>
      </c>
      <c r="F336" s="65">
        <f t="shared" si="81"/>
        <v>7.8071347200000005</v>
      </c>
      <c r="G336" s="90" t="s">
        <v>97</v>
      </c>
      <c r="H336" s="90"/>
      <c r="I336" s="109">
        <f>0.15*600*C336^2.6</f>
        <v>121605.84905682993</v>
      </c>
      <c r="L336" s="108"/>
      <c r="M336" s="3"/>
      <c r="N336" s="3"/>
      <c r="O336" s="100"/>
      <c r="P336" s="100"/>
      <c r="W336" s="26">
        <v>450</v>
      </c>
      <c r="X336" s="30">
        <v>3.5249604923076929</v>
      </c>
      <c r="Y336" s="30">
        <v>4.1124539076923083</v>
      </c>
      <c r="Z336" s="30">
        <v>4.6999473230769242</v>
      </c>
      <c r="AA336" s="30">
        <v>5.2874407384615392</v>
      </c>
      <c r="AB336" s="28"/>
      <c r="AC336" s="28">
        <v>450</v>
      </c>
      <c r="AD336" s="30">
        <v>4.2116411076923068</v>
      </c>
      <c r="AE336" s="30">
        <v>4.9135812923076925</v>
      </c>
      <c r="AF336" s="30">
        <v>5.6155214769230772</v>
      </c>
      <c r="AG336" s="31">
        <v>6.317461661538462</v>
      </c>
    </row>
    <row r="337" spans="1:33">
      <c r="A337" s="33" t="s">
        <v>105</v>
      </c>
      <c r="B337" s="35">
        <v>1</v>
      </c>
      <c r="C337" s="66">
        <v>16</v>
      </c>
      <c r="D337" s="66">
        <v>45</v>
      </c>
      <c r="E337" s="65">
        <f t="shared" si="83"/>
        <v>26.518799999999999</v>
      </c>
      <c r="F337" s="65">
        <f t="shared" si="81"/>
        <v>7.6374143999999999</v>
      </c>
      <c r="G337" s="90" t="s">
        <v>99</v>
      </c>
      <c r="H337" s="90"/>
      <c r="I337" s="109">
        <f t="shared" si="82"/>
        <v>121605.84905682993</v>
      </c>
      <c r="L337" s="108"/>
      <c r="M337" s="3"/>
      <c r="N337" s="3"/>
      <c r="O337" s="100"/>
      <c r="P337" s="100"/>
      <c r="W337" s="26">
        <v>400</v>
      </c>
      <c r="X337" s="30">
        <v>3.1332982153846158</v>
      </c>
      <c r="Y337" s="30">
        <v>3.6555145846153847</v>
      </c>
      <c r="Z337" s="30">
        <v>4.1777309538461544</v>
      </c>
      <c r="AA337" s="30">
        <v>4.6999473230769242</v>
      </c>
      <c r="AB337" s="28"/>
      <c r="AC337" s="28">
        <v>400</v>
      </c>
      <c r="AD337" s="30">
        <v>3.7436809846153851</v>
      </c>
      <c r="AE337" s="30">
        <v>4.3676278153846155</v>
      </c>
      <c r="AF337" s="30">
        <v>4.9915746461538477</v>
      </c>
      <c r="AG337" s="31">
        <v>5.6155214769230772</v>
      </c>
    </row>
    <row r="338" spans="1:33">
      <c r="A338" s="33" t="s">
        <v>106</v>
      </c>
      <c r="B338" s="35">
        <v>1</v>
      </c>
      <c r="C338" s="66">
        <v>10</v>
      </c>
      <c r="D338" s="66">
        <v>60</v>
      </c>
      <c r="E338" s="65">
        <f t="shared" si="83"/>
        <v>28.413</v>
      </c>
      <c r="F338" s="65">
        <f t="shared" si="81"/>
        <v>6.8191199999999998</v>
      </c>
      <c r="G338" s="90" t="s">
        <v>97</v>
      </c>
      <c r="H338" s="90"/>
      <c r="I338" s="109">
        <v>35000</v>
      </c>
      <c r="L338" s="108"/>
      <c r="M338" s="3"/>
      <c r="N338" s="3"/>
      <c r="O338" s="100"/>
      <c r="P338" s="100"/>
      <c r="W338" s="110" t="s">
        <v>107</v>
      </c>
      <c r="X338" s="27"/>
      <c r="Y338" s="27"/>
      <c r="Z338" s="27"/>
      <c r="AA338" s="27"/>
      <c r="AB338" s="28"/>
      <c r="AC338" s="27" t="s">
        <v>108</v>
      </c>
      <c r="AD338" s="27"/>
      <c r="AE338" s="27"/>
      <c r="AF338" s="27"/>
      <c r="AG338" s="29"/>
    </row>
    <row r="339" spans="1:33">
      <c r="A339" s="33" t="s">
        <v>109</v>
      </c>
      <c r="B339" s="35">
        <v>1</v>
      </c>
      <c r="C339" s="66">
        <v>16</v>
      </c>
      <c r="D339" s="66">
        <v>46</v>
      </c>
      <c r="E339" s="65">
        <f t="shared" si="83"/>
        <v>26.518799999999999</v>
      </c>
      <c r="F339" s="65">
        <f t="shared" si="81"/>
        <v>7.8071347200000005</v>
      </c>
      <c r="G339" s="90"/>
      <c r="H339" s="90"/>
      <c r="I339" s="109">
        <f t="shared" si="82"/>
        <v>121605.84905682993</v>
      </c>
      <c r="L339" s="3"/>
      <c r="M339" s="3"/>
      <c r="N339" s="3"/>
      <c r="O339" s="3"/>
      <c r="P339" s="108"/>
      <c r="W339" s="26">
        <v>350</v>
      </c>
      <c r="X339" s="30">
        <v>2.466435080370649</v>
      </c>
      <c r="Y339" s="30">
        <v>2.877507593765757</v>
      </c>
      <c r="Z339" s="30">
        <v>3.288580107160866</v>
      </c>
      <c r="AA339" s="30">
        <v>3.6996526205559737</v>
      </c>
      <c r="AB339" s="28"/>
      <c r="AC339" s="28">
        <v>350</v>
      </c>
      <c r="AD339" s="30">
        <v>3.2757208615384621</v>
      </c>
      <c r="AE339" s="30">
        <v>3.8216743384615386</v>
      </c>
      <c r="AF339" s="30">
        <v>4.3676278153846164</v>
      </c>
      <c r="AG339" s="31">
        <v>4.9135812923076925</v>
      </c>
    </row>
    <row r="340" spans="1:33">
      <c r="A340" s="33" t="s">
        <v>110</v>
      </c>
      <c r="B340" s="35">
        <v>1</v>
      </c>
      <c r="C340" s="66">
        <v>16</v>
      </c>
      <c r="D340" s="66">
        <v>46</v>
      </c>
      <c r="E340" s="65">
        <f>0.082*(1-0.01*C340)*$B$326/(1.35+0.015*C340)</f>
        <v>16.678490566037734</v>
      </c>
      <c r="F340" s="65">
        <f t="shared" si="81"/>
        <v>4.9101476226415102</v>
      </c>
      <c r="G340" s="90"/>
      <c r="H340" s="90"/>
      <c r="I340" s="109">
        <f t="shared" si="82"/>
        <v>121605.84905682993</v>
      </c>
      <c r="W340" s="26">
        <v>380</v>
      </c>
      <c r="X340" s="30">
        <v>2.6625242828383633</v>
      </c>
      <c r="Y340" s="30">
        <v>3.1062783299780903</v>
      </c>
      <c r="Z340" s="30">
        <v>3.5500323771178182</v>
      </c>
      <c r="AA340" s="30">
        <v>3.9937864242575456</v>
      </c>
      <c r="AB340" s="28"/>
      <c r="AC340" s="28">
        <v>380</v>
      </c>
      <c r="AD340" s="30">
        <v>3.5564969353846152</v>
      </c>
      <c r="AE340" s="30">
        <v>4.1492464246153844</v>
      </c>
      <c r="AF340" s="30">
        <v>4.7419959138461545</v>
      </c>
      <c r="AG340" s="31">
        <v>5.3347454030769228</v>
      </c>
    </row>
    <row r="341" spans="1:33">
      <c r="A341" s="111"/>
      <c r="B341" s="90"/>
      <c r="C341" s="90"/>
      <c r="D341" s="90"/>
      <c r="E341" s="90"/>
      <c r="F341" s="90"/>
      <c r="G341" s="90"/>
      <c r="H341" s="90"/>
      <c r="W341" s="26">
        <v>410</v>
      </c>
      <c r="X341" s="30">
        <v>2.8311444965563237</v>
      </c>
      <c r="Y341" s="30">
        <v>3.303001912649044</v>
      </c>
      <c r="Z341" s="30">
        <v>3.7748593287417651</v>
      </c>
      <c r="AA341" s="30">
        <v>4.2467167448344858</v>
      </c>
      <c r="AB341" s="28"/>
      <c r="AC341" s="28">
        <v>410</v>
      </c>
      <c r="AD341" s="30">
        <v>3.8372730092307696</v>
      </c>
      <c r="AE341" s="30">
        <v>4.4768185107692311</v>
      </c>
      <c r="AF341" s="30">
        <v>5.1163640123076934</v>
      </c>
      <c r="AG341" s="31">
        <v>5.7559095138461549</v>
      </c>
    </row>
    <row r="342" spans="1:33" ht="18">
      <c r="A342" s="112" t="s">
        <v>2</v>
      </c>
      <c r="B342" s="113" t="s">
        <v>43</v>
      </c>
      <c r="C342" s="113" t="s">
        <v>9</v>
      </c>
      <c r="D342" s="113" t="s">
        <v>111</v>
      </c>
      <c r="E342" s="113" t="s">
        <v>112</v>
      </c>
      <c r="F342" s="113" t="s">
        <v>80</v>
      </c>
      <c r="G342" s="113" t="s">
        <v>113</v>
      </c>
      <c r="H342" s="113" t="s">
        <v>114</v>
      </c>
      <c r="W342" s="26">
        <v>430</v>
      </c>
      <c r="X342" s="30">
        <v>2.9428539145083121</v>
      </c>
      <c r="Y342" s="30">
        <v>3.4333295669263642</v>
      </c>
      <c r="Z342" s="30">
        <v>3.9238052193444162</v>
      </c>
      <c r="AA342" s="30">
        <v>4.4142808717624682</v>
      </c>
      <c r="AB342" s="28"/>
      <c r="AC342" s="28">
        <v>430</v>
      </c>
      <c r="AD342" s="30">
        <v>4.0244570584615387</v>
      </c>
      <c r="AE342" s="30">
        <v>4.6951999015384613</v>
      </c>
      <c r="AF342" s="30">
        <v>5.3659427446153849</v>
      </c>
      <c r="AG342" s="31">
        <v>6.0366855876923076</v>
      </c>
    </row>
    <row r="343" spans="1:33">
      <c r="A343" s="45"/>
      <c r="B343" s="47" t="s">
        <v>19</v>
      </c>
      <c r="C343" s="47" t="s">
        <v>18</v>
      </c>
      <c r="D343" s="47" t="s">
        <v>93</v>
      </c>
      <c r="E343" s="47" t="s">
        <v>92</v>
      </c>
      <c r="F343" s="47" t="s">
        <v>18</v>
      </c>
      <c r="G343" s="47" t="s">
        <v>17</v>
      </c>
      <c r="H343" s="47" t="s">
        <v>17</v>
      </c>
      <c r="W343" s="26">
        <v>450</v>
      </c>
      <c r="X343" s="30">
        <v>3.0540399285736144</v>
      </c>
      <c r="Y343" s="30">
        <v>3.5630465833358831</v>
      </c>
      <c r="Z343" s="30">
        <v>4.0720532380981531</v>
      </c>
      <c r="AA343" s="30">
        <v>4.5810598928604218</v>
      </c>
      <c r="AB343" s="28"/>
      <c r="AC343" s="28">
        <v>450</v>
      </c>
      <c r="AD343" s="30">
        <v>4.2116411076923068</v>
      </c>
      <c r="AE343" s="30">
        <v>4.9135812923076925</v>
      </c>
      <c r="AF343" s="30">
        <v>5.6155214769230772</v>
      </c>
      <c r="AG343" s="31">
        <v>6.317461661538462</v>
      </c>
    </row>
    <row r="344" spans="1:33">
      <c r="A344" s="33" t="s">
        <v>115</v>
      </c>
      <c r="B344" s="35">
        <v>3</v>
      </c>
      <c r="C344" s="66">
        <v>6</v>
      </c>
      <c r="D344" s="66">
        <v>6300</v>
      </c>
      <c r="E344" s="65">
        <f>(0.033+0.049)*$B$326*C344^-0.3</f>
        <v>18.442899801312514</v>
      </c>
      <c r="F344" s="66">
        <v>44</v>
      </c>
      <c r="G344" s="65">
        <f>(0.52*SQRT(C344)*44^0.9*$B$326^0.8)/1000</f>
        <v>4.4931918376450692</v>
      </c>
      <c r="H344" s="65">
        <f t="shared" ref="H344:H349" si="84">B344*MIN((2.3*SQRT(C344*D344*E344))/1000+G344/4,C344*E344*F344/1000,C344*E344*F344/1000*(SQRT(2+4*D344/(C344*E344*F344^2))-1)+G344/4)</f>
        <v>9.1310493327091002</v>
      </c>
      <c r="I344" t="s">
        <v>116</v>
      </c>
      <c r="W344" s="26">
        <v>400</v>
      </c>
      <c r="X344" s="30">
        <v>2.7750831585268934</v>
      </c>
      <c r="Y344" s="30">
        <v>3.237597018281376</v>
      </c>
      <c r="Z344" s="30">
        <v>3.7001108780358587</v>
      </c>
      <c r="AA344" s="30">
        <v>4.1626247377903409</v>
      </c>
      <c r="AB344" s="28"/>
      <c r="AC344" s="28">
        <v>400</v>
      </c>
      <c r="AD344" s="30">
        <v>3.7436809846153851</v>
      </c>
      <c r="AE344" s="30">
        <v>4.3676278153846155</v>
      </c>
      <c r="AF344" s="30">
        <v>4.9915746461538477</v>
      </c>
      <c r="AG344" s="31">
        <v>5.6155214769230772</v>
      </c>
    </row>
    <row r="345" spans="1:33">
      <c r="A345" s="33" t="s">
        <v>100</v>
      </c>
      <c r="B345" s="35">
        <v>3</v>
      </c>
      <c r="C345" s="66">
        <v>6</v>
      </c>
      <c r="D345" s="66">
        <v>6300</v>
      </c>
      <c r="E345" s="65">
        <f>(0.033)*$B$326*C345^-0.3</f>
        <v>7.4221426029672317</v>
      </c>
      <c r="F345" s="66">
        <v>44</v>
      </c>
      <c r="G345" s="65">
        <f>(0.52*SQRT(C345)*44^0.9*$B$326^0.8)/1000</f>
        <v>4.4931918376450692</v>
      </c>
      <c r="H345" s="65">
        <f t="shared" si="84"/>
        <v>5.8783369415500477</v>
      </c>
      <c r="W345" s="110" t="s">
        <v>117</v>
      </c>
      <c r="X345" s="27"/>
      <c r="Y345" s="27"/>
      <c r="Z345" s="27"/>
      <c r="AA345" s="27"/>
      <c r="AB345" s="28"/>
      <c r="AC345" s="27" t="s">
        <v>118</v>
      </c>
      <c r="AD345" s="27"/>
      <c r="AE345" s="27"/>
      <c r="AF345" s="27"/>
      <c r="AG345" s="29"/>
    </row>
    <row r="346" spans="1:33">
      <c r="A346" s="33" t="s">
        <v>119</v>
      </c>
      <c r="B346" s="35">
        <v>3</v>
      </c>
      <c r="C346" s="66">
        <v>10</v>
      </c>
      <c r="D346" s="66">
        <v>23900</v>
      </c>
      <c r="E346" s="65">
        <f>(0.033+0.049)*$B$326*C346^-0.3</f>
        <v>15.822480965612986</v>
      </c>
      <c r="F346" s="66">
        <v>54</v>
      </c>
      <c r="G346" s="65">
        <f>(0.52*SQRT(C346)*50^0.9*$B$326^0.8)/1000</f>
        <v>6.5079608419177726</v>
      </c>
      <c r="H346" s="65">
        <f t="shared" si="84"/>
        <v>17.32976009628636</v>
      </c>
      <c r="I346" t="s">
        <v>97</v>
      </c>
      <c r="W346" s="26">
        <v>350</v>
      </c>
      <c r="X346" s="30">
        <v>1.7919189140271494</v>
      </c>
      <c r="Y346" s="30">
        <v>2.0905720663650076</v>
      </c>
      <c r="Z346" s="30">
        <v>2.3892252187028662</v>
      </c>
      <c r="AA346" s="30">
        <v>2.6878783710407244</v>
      </c>
      <c r="AB346" s="28"/>
      <c r="AC346" s="28">
        <v>350</v>
      </c>
      <c r="AD346" s="30">
        <v>2.0602017997097244</v>
      </c>
      <c r="AE346" s="30">
        <v>2.4035687663280116</v>
      </c>
      <c r="AF346" s="30">
        <v>2.7469357329462993</v>
      </c>
      <c r="AG346" s="31">
        <v>3.0903026995645866</v>
      </c>
    </row>
    <row r="347" spans="1:33">
      <c r="A347" s="33" t="s">
        <v>119</v>
      </c>
      <c r="B347" s="35">
        <v>3</v>
      </c>
      <c r="C347" s="66">
        <v>6</v>
      </c>
      <c r="D347" s="66">
        <v>6300</v>
      </c>
      <c r="E347" s="65">
        <f>(0.033+0.049)*$B$326*C347^-0.3</f>
        <v>18.442899801312514</v>
      </c>
      <c r="F347" s="66">
        <v>44</v>
      </c>
      <c r="G347" s="65">
        <f>(0.52*SQRT(C347)*50^0.9*$B$326^0.8)/1000</f>
        <v>5.0410447917035075</v>
      </c>
      <c r="H347" s="65">
        <f t="shared" si="84"/>
        <v>9.541939048252928</v>
      </c>
      <c r="I347" t="s">
        <v>97</v>
      </c>
      <c r="W347" s="26">
        <v>380</v>
      </c>
      <c r="X347" s="30">
        <v>1.9455119638009055</v>
      </c>
      <c r="Y347" s="30">
        <v>2.2697639577677231</v>
      </c>
      <c r="Z347" s="30">
        <v>2.5940159517345407</v>
      </c>
      <c r="AA347" s="30">
        <v>2.9182679457013583</v>
      </c>
      <c r="AB347" s="28"/>
      <c r="AC347" s="28">
        <v>380</v>
      </c>
      <c r="AD347" s="30">
        <v>2.2367905253991291</v>
      </c>
      <c r="AE347" s="30">
        <v>2.6095889462989836</v>
      </c>
      <c r="AF347" s="30">
        <v>2.982387367198839</v>
      </c>
      <c r="AG347" s="31">
        <v>3.3551857880986939</v>
      </c>
    </row>
    <row r="348" spans="1:33">
      <c r="A348" s="33" t="s">
        <v>119</v>
      </c>
      <c r="B348" s="35">
        <v>3</v>
      </c>
      <c r="C348" s="66">
        <v>10</v>
      </c>
      <c r="D348" s="66">
        <v>23900</v>
      </c>
      <c r="E348" s="65">
        <f>(0.033+0.049)*$B$326*C348^-0.3</f>
        <v>15.822480965612986</v>
      </c>
      <c r="F348" s="66">
        <v>45</v>
      </c>
      <c r="G348" s="65">
        <f>(0.52*SQRT(C348)*50^0.9*$B$326^0.8)/1000</f>
        <v>6.5079608419177726</v>
      </c>
      <c r="H348" s="65">
        <f t="shared" si="84"/>
        <v>15.903729130692579</v>
      </c>
      <c r="I348" t="s">
        <v>99</v>
      </c>
      <c r="W348" s="26">
        <v>410</v>
      </c>
      <c r="X348" s="30">
        <v>2.0991050135746607</v>
      </c>
      <c r="Y348" s="30">
        <v>2.4489558491704377</v>
      </c>
      <c r="Z348" s="30">
        <v>2.7988066847662147</v>
      </c>
      <c r="AA348" s="30">
        <v>3.1486575203619913</v>
      </c>
      <c r="AB348" s="28"/>
      <c r="AC348" s="28">
        <v>410</v>
      </c>
      <c r="AD348" s="30">
        <v>2.4133792510885339</v>
      </c>
      <c r="AE348" s="30">
        <v>2.8156091262699561</v>
      </c>
      <c r="AF348" s="30">
        <v>3.2178390014513791</v>
      </c>
      <c r="AG348" s="31">
        <v>3.6200688766328009</v>
      </c>
    </row>
    <row r="349" spans="1:33">
      <c r="A349" s="33" t="s">
        <v>120</v>
      </c>
      <c r="B349" s="35">
        <v>3</v>
      </c>
      <c r="C349" s="66">
        <v>10</v>
      </c>
      <c r="D349" s="66">
        <v>23900</v>
      </c>
      <c r="E349" s="65">
        <f>(0.033)*$B$326*C349^-0.3</f>
        <v>6.3675838032344938</v>
      </c>
      <c r="F349" s="66">
        <v>55</v>
      </c>
      <c r="G349" s="65">
        <f>(0.52*SQRT(C349)*50^0.9*$B$326^0.8)/1000</f>
        <v>6.5079608419177726</v>
      </c>
      <c r="H349" s="65">
        <f t="shared" si="84"/>
        <v>10.506513275336916</v>
      </c>
      <c r="K349" s="24"/>
      <c r="W349" s="26">
        <v>430</v>
      </c>
      <c r="X349" s="30">
        <v>2.2015003800904984</v>
      </c>
      <c r="Y349" s="30">
        <v>2.5684171101055813</v>
      </c>
      <c r="Z349" s="30">
        <v>2.9353338401206646</v>
      </c>
      <c r="AA349" s="30">
        <v>3.3022505701357474</v>
      </c>
      <c r="AB349" s="28"/>
      <c r="AC349" s="28">
        <v>430</v>
      </c>
      <c r="AD349" s="30">
        <v>2.5311050682148037</v>
      </c>
      <c r="AE349" s="30">
        <v>2.9529559129172713</v>
      </c>
      <c r="AF349" s="30">
        <v>3.3748067576197389</v>
      </c>
      <c r="AG349" s="31">
        <v>3.7966576023222061</v>
      </c>
    </row>
    <row r="350" spans="1:33">
      <c r="A350" s="23"/>
      <c r="F350" s="24"/>
      <c r="G350" s="24"/>
      <c r="H350" s="24"/>
      <c r="I350" s="24"/>
      <c r="J350" s="24"/>
      <c r="K350" s="24"/>
      <c r="W350" s="26">
        <v>450</v>
      </c>
      <c r="X350" s="30">
        <v>2.3038957466063352</v>
      </c>
      <c r="Y350" s="30">
        <v>2.6878783710407244</v>
      </c>
      <c r="Z350" s="30">
        <v>3.0718609954751135</v>
      </c>
      <c r="AA350" s="30">
        <v>3.4558436199095031</v>
      </c>
      <c r="AB350" s="28"/>
      <c r="AC350" s="28">
        <v>450</v>
      </c>
      <c r="AD350" s="30">
        <v>2.648830885341074</v>
      </c>
      <c r="AE350" s="30">
        <v>3.0903026995645861</v>
      </c>
      <c r="AF350" s="30">
        <v>3.5317745137880991</v>
      </c>
      <c r="AG350" s="31">
        <v>3.9732463280116108</v>
      </c>
    </row>
    <row r="351" spans="1:33">
      <c r="A351" s="23"/>
      <c r="B351" s="77"/>
      <c r="F351" t="s">
        <v>72</v>
      </c>
      <c r="G351" s="3"/>
      <c r="H351" s="24"/>
      <c r="I351" s="24"/>
      <c r="J351" s="24"/>
      <c r="K351" s="24"/>
      <c r="W351" s="26">
        <v>400</v>
      </c>
      <c r="X351" s="30">
        <v>2.0479073303167423</v>
      </c>
      <c r="Y351" s="30">
        <v>2.3892252187028657</v>
      </c>
      <c r="Z351" s="30">
        <v>2.7305431070889901</v>
      </c>
      <c r="AA351" s="30">
        <v>3.0718609954751135</v>
      </c>
      <c r="AB351" s="28"/>
      <c r="AC351" s="28">
        <v>400</v>
      </c>
      <c r="AD351" s="30">
        <v>2.354516342525399</v>
      </c>
      <c r="AE351" s="30">
        <v>2.7469357329462989</v>
      </c>
      <c r="AF351" s="30">
        <v>3.1393551233671988</v>
      </c>
      <c r="AG351" s="31">
        <v>3.5317745137880991</v>
      </c>
    </row>
    <row r="352" spans="1:33" ht="18">
      <c r="A352" s="4" t="s">
        <v>2</v>
      </c>
      <c r="B352" s="78" t="s">
        <v>121</v>
      </c>
      <c r="C352" s="78" t="s">
        <v>73</v>
      </c>
      <c r="D352" s="5" t="s">
        <v>74</v>
      </c>
      <c r="E352" s="78" t="s">
        <v>122</v>
      </c>
      <c r="F352" s="79" t="s">
        <v>85</v>
      </c>
      <c r="G352" s="80"/>
      <c r="H352" s="735" t="s">
        <v>123</v>
      </c>
      <c r="I352" s="24"/>
      <c r="J352" s="24"/>
      <c r="K352" s="24"/>
      <c r="O352" s="4" t="s">
        <v>2</v>
      </c>
      <c r="P352" s="682" t="s">
        <v>77</v>
      </c>
      <c r="Q352" s="683"/>
      <c r="R352" s="683"/>
      <c r="S352" s="683"/>
      <c r="T352" s="684"/>
      <c r="W352" s="110" t="s">
        <v>124</v>
      </c>
      <c r="X352" s="27"/>
      <c r="Y352" s="27"/>
      <c r="Z352" s="27"/>
      <c r="AA352" s="27"/>
      <c r="AB352" s="28"/>
      <c r="AC352" s="27" t="s">
        <v>125</v>
      </c>
      <c r="AD352" s="27"/>
      <c r="AE352" s="27"/>
      <c r="AF352" s="27"/>
      <c r="AG352" s="29"/>
    </row>
    <row r="353" spans="1:33">
      <c r="A353" s="8"/>
      <c r="B353" s="81" t="s">
        <v>17</v>
      </c>
      <c r="C353" s="82" t="s">
        <v>17</v>
      </c>
      <c r="D353" s="9" t="s">
        <v>78</v>
      </c>
      <c r="E353" s="82" t="s">
        <v>17</v>
      </c>
      <c r="F353" s="83" t="s">
        <v>17</v>
      </c>
      <c r="G353" s="84"/>
      <c r="H353" s="735"/>
      <c r="I353" s="24"/>
      <c r="J353" s="24"/>
      <c r="K353" s="24"/>
      <c r="O353" s="8"/>
      <c r="P353" s="95">
        <v>0.6</v>
      </c>
      <c r="Q353" s="95">
        <v>0.7</v>
      </c>
      <c r="R353" s="95">
        <v>0.8</v>
      </c>
      <c r="S353" s="95">
        <v>0.9</v>
      </c>
      <c r="T353" s="95">
        <v>1</v>
      </c>
      <c r="W353" s="26">
        <v>350</v>
      </c>
      <c r="X353" s="30">
        <v>1.7919189140271494</v>
      </c>
      <c r="Y353" s="30">
        <v>2.0905720663650076</v>
      </c>
      <c r="Z353" s="30">
        <v>2.3892252187028662</v>
      </c>
      <c r="AA353" s="30">
        <v>2.6878783710407244</v>
      </c>
      <c r="AB353" s="28"/>
      <c r="AC353" s="28">
        <v>350</v>
      </c>
      <c r="AD353" s="30">
        <v>2.0602017997097244</v>
      </c>
      <c r="AE353" s="30">
        <v>2.4035687663280116</v>
      </c>
      <c r="AF353" s="30">
        <v>2.7469357329462993</v>
      </c>
      <c r="AG353" s="31">
        <v>3.0903026995645866</v>
      </c>
    </row>
    <row r="354" spans="1:33">
      <c r="A354" s="44" t="s">
        <v>96</v>
      </c>
      <c r="B354" s="16">
        <f t="shared" ref="B354:B364" si="85">F330</f>
        <v>6.5342323200000019</v>
      </c>
      <c r="C354" s="16">
        <v>17</v>
      </c>
      <c r="D354" s="114">
        <v>0</v>
      </c>
      <c r="E354" s="16">
        <f>H344</f>
        <v>9.1310493327091002</v>
      </c>
      <c r="F354" s="17">
        <f t="shared" ref="F354:F364" si="86">MIN(B354,C354,E354)</f>
        <v>6.5342323200000019</v>
      </c>
      <c r="G354" t="s">
        <v>97</v>
      </c>
      <c r="O354" s="44" t="s">
        <v>96</v>
      </c>
      <c r="P354" s="88">
        <f>MIN(P$353*$B354/1.3,$C354/1,P$353*$E354/1.3)</f>
        <v>3.0157995323076929</v>
      </c>
      <c r="Q354" s="88">
        <f>MIN(Q$353*$B354/1.3,$C354/1,Q$353*$E354/1.3)</f>
        <v>3.5184327876923081</v>
      </c>
      <c r="R354" s="88">
        <f>MIN(R$353*$B354/1.3,$C354/1,R$353*$E354/1.3)</f>
        <v>4.0210660430769245</v>
      </c>
      <c r="S354" s="88">
        <f>MIN(S$353*$B354/1.3,$C354/1,S$353*$E354/1.3)</f>
        <v>4.5236992984615396</v>
      </c>
      <c r="T354" s="88">
        <f>MIN(T$353*$B354/1.3,$C354/1,T$353*$E354/1.3)</f>
        <v>5.0263325538461547</v>
      </c>
      <c r="W354" s="26">
        <v>380</v>
      </c>
      <c r="X354" s="30">
        <v>1.9455119638009055</v>
      </c>
      <c r="Y354" s="30">
        <v>2.2697639577677231</v>
      </c>
      <c r="Z354" s="30">
        <v>2.5940159517345407</v>
      </c>
      <c r="AA354" s="30">
        <v>2.9182679457013583</v>
      </c>
      <c r="AB354" s="28"/>
      <c r="AC354" s="28">
        <v>380</v>
      </c>
      <c r="AD354" s="30">
        <v>2.2367905253991291</v>
      </c>
      <c r="AE354" s="30">
        <v>2.6095889462989836</v>
      </c>
      <c r="AF354" s="30">
        <v>2.982387367198839</v>
      </c>
      <c r="AG354" s="31">
        <v>3.3551857880986939</v>
      </c>
    </row>
    <row r="355" spans="1:33">
      <c r="A355" s="44" t="s">
        <v>98</v>
      </c>
      <c r="B355" s="16">
        <f t="shared" si="85"/>
        <v>6.0008256000000006</v>
      </c>
      <c r="C355" s="16">
        <v>17</v>
      </c>
      <c r="D355" s="114">
        <v>0</v>
      </c>
      <c r="E355" s="16">
        <f>H344</f>
        <v>9.1310493327091002</v>
      </c>
      <c r="F355" s="17">
        <f t="shared" si="86"/>
        <v>6.0008256000000006</v>
      </c>
      <c r="G355" t="s">
        <v>99</v>
      </c>
      <c r="H355" s="38">
        <f>F355/F354</f>
        <v>0.91836734693877531</v>
      </c>
      <c r="O355" s="88"/>
      <c r="P355" s="88"/>
      <c r="Q355" s="88"/>
      <c r="R355" s="88"/>
      <c r="S355" s="88"/>
      <c r="T355" s="88"/>
      <c r="W355" s="26">
        <v>410</v>
      </c>
      <c r="X355" s="30">
        <v>2.0991050135746607</v>
      </c>
      <c r="Y355" s="30">
        <v>2.4489558491704377</v>
      </c>
      <c r="Z355" s="30">
        <v>2.7988066847662147</v>
      </c>
      <c r="AA355" s="30">
        <v>3.1486575203619913</v>
      </c>
      <c r="AB355" s="28"/>
      <c r="AC355" s="28">
        <v>410</v>
      </c>
      <c r="AD355" s="30">
        <v>2.4133792510885339</v>
      </c>
      <c r="AE355" s="30">
        <v>2.8156091262699561</v>
      </c>
      <c r="AF355" s="30">
        <v>3.2178390014513791</v>
      </c>
      <c r="AG355" s="31">
        <v>3.6200688766328009</v>
      </c>
    </row>
    <row r="356" spans="1:33">
      <c r="A356" s="44" t="s">
        <v>100</v>
      </c>
      <c r="B356" s="16">
        <f t="shared" si="85"/>
        <v>6.5342323200000019</v>
      </c>
      <c r="C356" s="16">
        <v>17</v>
      </c>
      <c r="D356" s="114">
        <v>0</v>
      </c>
      <c r="E356" s="16">
        <f>H345</f>
        <v>5.8783369415500477</v>
      </c>
      <c r="F356" s="17">
        <f t="shared" si="86"/>
        <v>5.8783369415500477</v>
      </c>
      <c r="G356" s="12"/>
      <c r="O356" s="88"/>
      <c r="P356" s="88"/>
      <c r="Q356" s="88"/>
      <c r="R356" s="88"/>
      <c r="S356" s="88"/>
      <c r="T356" s="88"/>
      <c r="W356" s="26">
        <v>430</v>
      </c>
      <c r="X356" s="30">
        <v>2.2015003800904984</v>
      </c>
      <c r="Y356" s="30">
        <v>2.5684171101055813</v>
      </c>
      <c r="Z356" s="30">
        <v>2.9353338401206646</v>
      </c>
      <c r="AA356" s="30">
        <v>3.3022505701357474</v>
      </c>
      <c r="AB356" s="28"/>
      <c r="AC356" s="28">
        <v>430</v>
      </c>
      <c r="AD356" s="30">
        <v>2.5311050682148037</v>
      </c>
      <c r="AE356" s="30">
        <v>2.9529559129172713</v>
      </c>
      <c r="AF356" s="30">
        <v>3.3748067576197389</v>
      </c>
      <c r="AG356" s="31">
        <v>3.7966576023222061</v>
      </c>
    </row>
    <row r="357" spans="1:33">
      <c r="A357" s="44" t="s">
        <v>101</v>
      </c>
      <c r="B357" s="16">
        <f t="shared" si="85"/>
        <v>4.2707400784313734</v>
      </c>
      <c r="C357" s="16">
        <v>17</v>
      </c>
      <c r="D357" s="114">
        <v>0</v>
      </c>
      <c r="E357" s="16">
        <f>H344</f>
        <v>9.1310493327091002</v>
      </c>
      <c r="F357" s="17">
        <f t="shared" si="86"/>
        <v>4.2707400784313734</v>
      </c>
      <c r="G357" s="12"/>
      <c r="O357" s="88"/>
      <c r="P357" s="88"/>
      <c r="Q357" s="88"/>
      <c r="R357" s="88"/>
      <c r="S357" s="88"/>
      <c r="T357" s="88"/>
      <c r="W357" s="26">
        <v>450</v>
      </c>
      <c r="X357" s="30">
        <v>2.3038957466063352</v>
      </c>
      <c r="Y357" s="30">
        <v>2.6878783710407244</v>
      </c>
      <c r="Z357" s="30">
        <v>3.0718609954751135</v>
      </c>
      <c r="AA357" s="30">
        <v>3.4558436199095031</v>
      </c>
      <c r="AB357" s="28"/>
      <c r="AC357" s="28">
        <v>450</v>
      </c>
      <c r="AD357" s="30">
        <v>2.648830885341074</v>
      </c>
      <c r="AE357" s="30">
        <v>3.0903026995645861</v>
      </c>
      <c r="AF357" s="30">
        <v>3.5317745137880991</v>
      </c>
      <c r="AG357" s="31">
        <v>3.9732463280116108</v>
      </c>
    </row>
    <row r="358" spans="1:33">
      <c r="A358" s="44" t="s">
        <v>102</v>
      </c>
      <c r="B358" s="16">
        <f t="shared" si="85"/>
        <v>5.4504953448271456</v>
      </c>
      <c r="C358" s="16">
        <v>17</v>
      </c>
      <c r="D358" s="114">
        <v>0</v>
      </c>
      <c r="E358" s="16">
        <f>H344</f>
        <v>9.1310493327091002</v>
      </c>
      <c r="F358" s="17">
        <f t="shared" si="86"/>
        <v>5.4504953448271456</v>
      </c>
      <c r="G358" s="115"/>
      <c r="O358" s="88"/>
      <c r="P358" s="88"/>
      <c r="Q358" s="88"/>
      <c r="R358" s="88"/>
      <c r="S358" s="88"/>
      <c r="T358" s="88"/>
      <c r="W358" s="26"/>
      <c r="X358" s="30"/>
      <c r="Y358" s="30"/>
      <c r="Z358" s="30"/>
      <c r="AA358" s="30"/>
      <c r="AB358" s="28"/>
      <c r="AC358" s="28"/>
      <c r="AD358" s="30"/>
      <c r="AE358" s="30"/>
      <c r="AF358" s="30"/>
      <c r="AG358" s="31"/>
    </row>
    <row r="359" spans="1:33" ht="15.75" thickBot="1">
      <c r="A359" s="44" t="s">
        <v>103</v>
      </c>
      <c r="B359" s="16">
        <f t="shared" si="85"/>
        <v>7.8071347200000005</v>
      </c>
      <c r="C359" s="16">
        <v>17</v>
      </c>
      <c r="D359" s="114">
        <v>0</v>
      </c>
      <c r="E359" s="16">
        <f>H346</f>
        <v>17.32976009628636</v>
      </c>
      <c r="F359" s="17">
        <f t="shared" si="86"/>
        <v>7.8071347200000005</v>
      </c>
      <c r="G359" t="s">
        <v>97</v>
      </c>
      <c r="H359" s="108"/>
      <c r="I359" s="108"/>
      <c r="J359" s="108"/>
      <c r="K359" s="3"/>
      <c r="L359" s="3"/>
      <c r="O359" s="44" t="s">
        <v>103</v>
      </c>
      <c r="P359" s="88">
        <f>MIN(P$353*$B359/1.3,$C359/1,P$353*$E359/1.3)</f>
        <v>3.6032929476923075</v>
      </c>
      <c r="Q359" s="88">
        <f>MIN(Q$353*$B359/1.3,$C359/1,Q$353*$E359/1.3)</f>
        <v>4.2038417723076922</v>
      </c>
      <c r="R359" s="88">
        <f>MIN(R$353*$B359/1.3,$C359/1,R$353*$E359/1.3)</f>
        <v>4.8043905969230769</v>
      </c>
      <c r="S359" s="88">
        <f>MIN(S$353*$B359/1.3,$C359/1,S$353*$E359/1.3)</f>
        <v>5.4049394215384625</v>
      </c>
      <c r="T359" s="88">
        <f>MIN(T$353*$B359/1.3,$C359/1,T$353*$E359/1.3)</f>
        <v>6.0054882461538464</v>
      </c>
      <c r="W359" s="57">
        <v>400</v>
      </c>
      <c r="X359" s="58">
        <v>2.0479073303167423</v>
      </c>
      <c r="Y359" s="58">
        <v>2.3892252187028657</v>
      </c>
      <c r="Z359" s="58">
        <v>2.7305431070889901</v>
      </c>
      <c r="AA359" s="58">
        <v>3.0718609954751135</v>
      </c>
      <c r="AB359" s="59"/>
      <c r="AC359" s="59">
        <v>400</v>
      </c>
      <c r="AD359" s="58">
        <v>2.354516342525399</v>
      </c>
      <c r="AE359" s="58">
        <v>2.7469357329462989</v>
      </c>
      <c r="AF359" s="58">
        <v>3.1393551233671988</v>
      </c>
      <c r="AG359" s="60">
        <v>3.5317745137880991</v>
      </c>
    </row>
    <row r="360" spans="1:33">
      <c r="A360" s="44" t="s">
        <v>104</v>
      </c>
      <c r="B360" s="16">
        <f t="shared" si="85"/>
        <v>7.8071347200000005</v>
      </c>
      <c r="C360" s="16">
        <v>17</v>
      </c>
      <c r="D360" s="114">
        <v>0</v>
      </c>
      <c r="E360" s="16">
        <f>H347</f>
        <v>9.541939048252928</v>
      </c>
      <c r="F360" s="17">
        <f t="shared" si="86"/>
        <v>7.8071347200000005</v>
      </c>
      <c r="G360" t="s">
        <v>97</v>
      </c>
      <c r="H360" s="108"/>
      <c r="I360" s="108"/>
      <c r="J360" s="108"/>
      <c r="K360" s="3"/>
      <c r="L360" s="3"/>
      <c r="P360" s="116"/>
      <c r="Q360" s="116"/>
      <c r="R360" s="116"/>
      <c r="S360" s="116"/>
    </row>
    <row r="361" spans="1:33">
      <c r="A361" s="44" t="s">
        <v>105</v>
      </c>
      <c r="B361" s="16">
        <f t="shared" si="85"/>
        <v>7.6374143999999999</v>
      </c>
      <c r="C361" s="16">
        <v>17</v>
      </c>
      <c r="D361" s="114">
        <v>0</v>
      </c>
      <c r="E361" s="16">
        <f>H348</f>
        <v>15.903729130692579</v>
      </c>
      <c r="F361" s="17">
        <f t="shared" si="86"/>
        <v>7.6374143999999999</v>
      </c>
      <c r="G361" t="s">
        <v>99</v>
      </c>
      <c r="H361" s="117">
        <f>F361/F359</f>
        <v>0.97826086956521729</v>
      </c>
      <c r="I361" s="108"/>
      <c r="J361" s="108"/>
      <c r="K361" s="3"/>
      <c r="L361" s="3"/>
      <c r="P361" s="116"/>
      <c r="Q361" s="116"/>
      <c r="R361" s="116"/>
      <c r="S361" s="116"/>
    </row>
    <row r="362" spans="1:33">
      <c r="A362" s="44" t="s">
        <v>106</v>
      </c>
      <c r="B362" s="16">
        <f t="shared" si="85"/>
        <v>6.8191199999999998</v>
      </c>
      <c r="C362" s="16">
        <v>17</v>
      </c>
      <c r="D362" s="114">
        <v>0</v>
      </c>
      <c r="E362" s="16">
        <f>H346</f>
        <v>17.32976009628636</v>
      </c>
      <c r="F362" s="17">
        <f t="shared" si="86"/>
        <v>6.8191199999999998</v>
      </c>
      <c r="G362" t="s">
        <v>97</v>
      </c>
      <c r="H362" s="117">
        <f>F362/F359</f>
        <v>0.87344720496894401</v>
      </c>
      <c r="I362" s="108"/>
      <c r="J362" s="108"/>
      <c r="K362" s="3"/>
      <c r="L362" s="3"/>
      <c r="P362" s="116"/>
      <c r="Q362" s="116"/>
      <c r="R362" s="116"/>
      <c r="S362" s="116"/>
    </row>
    <row r="363" spans="1:33" s="3" customFormat="1">
      <c r="A363" s="44" t="s">
        <v>109</v>
      </c>
      <c r="B363" s="16">
        <f t="shared" si="85"/>
        <v>7.8071347200000005</v>
      </c>
      <c r="C363" s="16">
        <v>17</v>
      </c>
      <c r="D363" s="114">
        <v>0</v>
      </c>
      <c r="E363" s="16">
        <f>H349</f>
        <v>10.506513275336916</v>
      </c>
      <c r="F363" s="17">
        <f t="shared" si="86"/>
        <v>7.8071347200000005</v>
      </c>
      <c r="G363" s="115"/>
      <c r="H363" s="108"/>
      <c r="I363" s="108"/>
      <c r="J363" s="108"/>
      <c r="P363" s="116"/>
      <c r="Q363" s="116"/>
      <c r="R363" s="116"/>
      <c r="S363" s="116"/>
    </row>
    <row r="364" spans="1:33">
      <c r="A364" s="44" t="s">
        <v>126</v>
      </c>
      <c r="B364" s="16">
        <f t="shared" si="85"/>
        <v>4.9101476226415102</v>
      </c>
      <c r="C364" s="16">
        <v>17</v>
      </c>
      <c r="D364" s="114">
        <v>0</v>
      </c>
      <c r="E364" s="16">
        <f>H346</f>
        <v>17.32976009628636</v>
      </c>
      <c r="F364" s="17">
        <f t="shared" si="86"/>
        <v>4.9101476226415102</v>
      </c>
      <c r="G364" s="118"/>
      <c r="H364" s="100"/>
      <c r="I364" s="100"/>
      <c r="J364" s="100"/>
      <c r="K364" s="3"/>
      <c r="L364" s="3"/>
    </row>
    <row r="365" spans="1:33">
      <c r="A365" s="3"/>
      <c r="B365" s="108"/>
      <c r="C365" s="118"/>
      <c r="D365" s="100"/>
      <c r="E365" s="100"/>
      <c r="F365" s="108"/>
      <c r="G365" s="118"/>
      <c r="H365" s="100"/>
      <c r="I365" s="100"/>
      <c r="J365" s="100"/>
      <c r="K365" s="3"/>
      <c r="L365" s="3"/>
    </row>
    <row r="366" spans="1:33">
      <c r="A366" s="3"/>
      <c r="B366" s="108"/>
      <c r="C366" s="118"/>
      <c r="D366" s="100"/>
      <c r="E366" s="100"/>
      <c r="F366" s="108"/>
      <c r="G366" s="118"/>
      <c r="H366" s="100"/>
      <c r="I366" s="100"/>
      <c r="J366" s="100"/>
      <c r="K366" s="3"/>
      <c r="L366" s="3"/>
    </row>
    <row r="367" spans="1:33">
      <c r="A367" s="119"/>
      <c r="B367" s="120"/>
      <c r="C367" s="3"/>
      <c r="D367" s="3"/>
      <c r="E367" s="3"/>
      <c r="F367" s="3"/>
      <c r="G367" s="3"/>
      <c r="H367" s="3"/>
      <c r="I367" s="3"/>
      <c r="J367" s="3"/>
      <c r="K367" s="3"/>
      <c r="L367" s="3"/>
    </row>
    <row r="370" spans="1:10" ht="26.25">
      <c r="A370" s="1" t="s">
        <v>127</v>
      </c>
    </row>
    <row r="371" spans="1:10" ht="23.25">
      <c r="A371" s="1"/>
    </row>
    <row r="372" spans="1:10" ht="18.75">
      <c r="A372" s="56" t="s">
        <v>58</v>
      </c>
    </row>
    <row r="373" spans="1:10" ht="18.75">
      <c r="A373" s="56"/>
    </row>
    <row r="374" spans="1:10">
      <c r="A374" s="21" t="s">
        <v>37</v>
      </c>
      <c r="B374" s="22" t="s">
        <v>25</v>
      </c>
    </row>
    <row r="375" spans="1:10" ht="18">
      <c r="A375" s="23" t="s">
        <v>39</v>
      </c>
      <c r="B375" s="24">
        <f>VLOOKUP(B374,$V$7:$W$16,2,FALSE)</f>
        <v>385</v>
      </c>
      <c r="C375" t="s">
        <v>40</v>
      </c>
    </row>
    <row r="376" spans="1:10" ht="18">
      <c r="A376" s="23" t="s">
        <v>62</v>
      </c>
      <c r="B376" s="90">
        <v>23900</v>
      </c>
      <c r="C376" t="s">
        <v>63</v>
      </c>
    </row>
    <row r="377" spans="1:10">
      <c r="A377" s="23" t="s">
        <v>64</v>
      </c>
      <c r="B377" s="90">
        <v>10</v>
      </c>
      <c r="C377" t="s">
        <v>65</v>
      </c>
    </row>
    <row r="378" spans="1:10" ht="18">
      <c r="A378" s="23" t="s">
        <v>66</v>
      </c>
      <c r="B378" s="101">
        <f>0.033*B375*B377^-0.3</f>
        <v>6.3675838032344938</v>
      </c>
      <c r="C378" t="s">
        <v>67</v>
      </c>
    </row>
    <row r="379" spans="1:10" ht="18">
      <c r="A379" s="23" t="s">
        <v>68</v>
      </c>
      <c r="B379" s="102">
        <f>0.082*B377^-0.3*B375</f>
        <v>15.822480965612984</v>
      </c>
      <c r="C379" t="s">
        <v>67</v>
      </c>
    </row>
    <row r="380" spans="1:10" ht="18.75">
      <c r="A380" s="56"/>
    </row>
    <row r="382" spans="1:10" ht="18">
      <c r="A382" s="4" t="s">
        <v>2</v>
      </c>
      <c r="B382" s="5" t="s">
        <v>43</v>
      </c>
      <c r="C382" s="5" t="s">
        <v>44</v>
      </c>
      <c r="D382" s="5" t="s">
        <v>59</v>
      </c>
      <c r="E382" s="5" t="s">
        <v>60</v>
      </c>
      <c r="F382" s="5" t="s">
        <v>43</v>
      </c>
      <c r="G382" s="5" t="s">
        <v>44</v>
      </c>
      <c r="H382" s="5" t="s">
        <v>59</v>
      </c>
      <c r="I382" s="5" t="s">
        <v>60</v>
      </c>
      <c r="J382" s="5" t="s">
        <v>61</v>
      </c>
    </row>
    <row r="383" spans="1:10">
      <c r="A383" s="8"/>
      <c r="B383" s="9" t="s">
        <v>19</v>
      </c>
      <c r="C383" s="9" t="s">
        <v>18</v>
      </c>
      <c r="D383" s="9" t="s">
        <v>17</v>
      </c>
      <c r="E383" s="9" t="s">
        <v>17</v>
      </c>
      <c r="F383" s="9" t="s">
        <v>19</v>
      </c>
      <c r="G383" s="9" t="s">
        <v>18</v>
      </c>
      <c r="H383" s="9" t="s">
        <v>17</v>
      </c>
      <c r="I383" s="9" t="s">
        <v>17</v>
      </c>
      <c r="J383" s="62" t="s">
        <v>17</v>
      </c>
    </row>
    <row r="384" spans="1:10" ht="45">
      <c r="A384" s="396" t="s">
        <v>370</v>
      </c>
      <c r="B384" s="69">
        <v>1</v>
      </c>
      <c r="C384" s="63">
        <v>84</v>
      </c>
      <c r="D384" s="64">
        <f>($H$387*0.52*SQRT($B$377)*84^0.9*$B$375^0.8)/1000</f>
        <v>3.1141859386286983</v>
      </c>
      <c r="E384" s="64">
        <f>MIN(C384*$B$377*$B$378/1000,(2.3*SQRT($B$376*$B$378*$B$377))/1000+D384/4,C384*$B$377*$B$378/1000*(SQRT(2+4*$B$376/(C384^2*$B$377*$B$378))-1)+D384/4)</f>
        <v>3.3862891193202023</v>
      </c>
      <c r="F384" s="69">
        <v>2</v>
      </c>
      <c r="G384" s="63">
        <v>84</v>
      </c>
      <c r="H384" s="64">
        <f>($H$387*0.52*SQRT($B$377)*84^0.9*$B$375^0.8)/1000</f>
        <v>3.1141859386286983</v>
      </c>
      <c r="I384" s="64">
        <f>MIN(G384*$B$377*$B$378/1000,(2.3*SQRT($B$376*$B$378*$B$377))/1000+H384/4,G384*$B$377*$B$378/1000*(SQRT(2+4*$B$376/(G384^2*$B$377*$B$378))-1)+H384/4)</f>
        <v>3.3862891193202023</v>
      </c>
      <c r="J384" s="64">
        <f>E384*B384+F384*I384</f>
        <v>10.158867357960606</v>
      </c>
    </row>
    <row r="385" spans="1:20" ht="45">
      <c r="A385" s="396" t="s">
        <v>369</v>
      </c>
      <c r="B385" s="69">
        <v>1</v>
      </c>
      <c r="C385" s="63">
        <v>84</v>
      </c>
      <c r="D385" s="64">
        <f>($H$387*0.52*SQRT($B$377)*84^0.9*$B$375^0.8)/1000</f>
        <v>3.1141859386286983</v>
      </c>
      <c r="E385" s="64">
        <f>MIN(C385*$B$377*$B$378/1000,(2.3*SQRT($B$376*$B$378*$B$377))/1000+D385/4,C385*$B$377*$B$378/1000*(SQRT(2+4*$B$376/(C385^2*$B$377*$B$378))-1)+D385/4)</f>
        <v>3.3862891193202023</v>
      </c>
      <c r="F385" s="69">
        <v>3</v>
      </c>
      <c r="G385" s="63">
        <v>84</v>
      </c>
      <c r="H385" s="64">
        <f>($H$387*0.52*SQRT($B$377)*84^0.9*$B$375^0.8)/1000</f>
        <v>3.1141859386286983</v>
      </c>
      <c r="I385" s="64">
        <f>MIN(G385*$B$377*$B$378/1000,(2.3*SQRT($B$376*$B$378*$B$377))/1000+H385/4,G385*$B$377*$B$378/1000*(SQRT(2+4*$B$376/(G385^2*$B$377*$B$378))-1)+H385/4)</f>
        <v>3.3862891193202023</v>
      </c>
      <c r="J385" s="64">
        <f>E385*B385+F385*I385</f>
        <v>13.545156477280809</v>
      </c>
    </row>
    <row r="386" spans="1:20" ht="45">
      <c r="A386" s="396" t="s">
        <v>371</v>
      </c>
      <c r="B386" s="69">
        <v>1</v>
      </c>
      <c r="C386" s="63">
        <v>84</v>
      </c>
      <c r="D386" s="64">
        <f>($H$387*0.52*SQRT($B$377)*84^0.9*$B$375^0.8)/1000</f>
        <v>3.1141859386286983</v>
      </c>
      <c r="E386" s="64">
        <f>MIN(C386*$B$377*$B$378/1000,(2.3*SQRT($B$376*$B$378*$B$377))/1000+D386/4,C386*$B$377*$B$378/1000*(SQRT(2+4*$B$376/(C386^2*$B$377*$B$378))-1)+D386/4)</f>
        <v>3.3862891193202023</v>
      </c>
      <c r="F386" s="69">
        <v>5</v>
      </c>
      <c r="G386" s="63">
        <v>84</v>
      </c>
      <c r="H386" s="64">
        <f>($H$387*0.52*SQRT($B$377)*84^0.9*$B$375^0.8)/1000</f>
        <v>3.1141859386286983</v>
      </c>
      <c r="I386" s="64">
        <f>MIN(G386*$B$377*$B$378/1000,(2.3*SQRT($B$376*$B$378*$B$377))/1000+H386/4,G386*$B$377*$B$378/1000*(SQRT(2+4*$B$376/(G386^2*$B$377*$B$378))-1)+H386/4)</f>
        <v>3.3862891193202023</v>
      </c>
      <c r="J386" s="64">
        <f>E386*B386+F386*I386</f>
        <v>20.317734715921215</v>
      </c>
    </row>
    <row r="387" spans="1:20">
      <c r="A387" s="91"/>
      <c r="B387" s="121"/>
      <c r="C387" s="122"/>
      <c r="D387" s="123"/>
      <c r="E387" s="123"/>
      <c r="F387" s="121"/>
      <c r="G387" s="122" t="s">
        <v>355</v>
      </c>
      <c r="H387" s="405">
        <v>0.3</v>
      </c>
      <c r="I387" s="123"/>
      <c r="J387" s="123"/>
    </row>
    <row r="388" spans="1:20">
      <c r="A388" s="3"/>
      <c r="B388" s="121"/>
      <c r="C388" s="122"/>
      <c r="D388" s="123"/>
      <c r="E388" s="123"/>
      <c r="F388" s="121"/>
      <c r="G388" s="122"/>
      <c r="H388" s="123"/>
      <c r="I388" s="123"/>
      <c r="J388" s="123"/>
    </row>
    <row r="390" spans="1:20">
      <c r="F390" s="24"/>
      <c r="G390" s="24"/>
      <c r="H390" s="24"/>
      <c r="I390" s="24"/>
      <c r="J390" s="24"/>
      <c r="K390" s="24"/>
    </row>
    <row r="391" spans="1:20" ht="18">
      <c r="A391" s="4" t="s">
        <v>2</v>
      </c>
      <c r="B391" s="5" t="s">
        <v>43</v>
      </c>
      <c r="C391" s="5" t="s">
        <v>44</v>
      </c>
      <c r="D391" s="5" t="s">
        <v>69</v>
      </c>
      <c r="E391" s="5" t="s">
        <v>70</v>
      </c>
      <c r="F391" s="5" t="s">
        <v>43</v>
      </c>
      <c r="G391" s="5" t="s">
        <v>44</v>
      </c>
      <c r="H391" s="5" t="s">
        <v>69</v>
      </c>
      <c r="I391" s="5" t="s">
        <v>70</v>
      </c>
      <c r="J391" s="5" t="s">
        <v>71</v>
      </c>
    </row>
    <row r="392" spans="1:20">
      <c r="A392" s="8"/>
      <c r="B392" s="9" t="s">
        <v>19</v>
      </c>
      <c r="C392" s="9" t="s">
        <v>18</v>
      </c>
      <c r="D392" s="9" t="s">
        <v>17</v>
      </c>
      <c r="E392" s="9" t="s">
        <v>17</v>
      </c>
      <c r="F392" s="9" t="s">
        <v>19</v>
      </c>
      <c r="G392" s="9" t="s">
        <v>18</v>
      </c>
      <c r="H392" s="9" t="s">
        <v>17</v>
      </c>
      <c r="I392" s="9" t="s">
        <v>17</v>
      </c>
      <c r="J392" s="62" t="s">
        <v>17</v>
      </c>
    </row>
    <row r="393" spans="1:20" ht="45">
      <c r="A393" s="396" t="s">
        <v>370</v>
      </c>
      <c r="B393" s="69">
        <v>1</v>
      </c>
      <c r="C393" s="63">
        <v>54</v>
      </c>
      <c r="D393" s="64">
        <f>(0.52*SQRT($B$377)*C393^0.9*$B$375^0.8)/1000</f>
        <v>6.974712508553587</v>
      </c>
      <c r="E393" s="64">
        <f>MIN(C393*$B$377*$B$379/1000,(2.3*SQRT($B$376*$B$379*$B$377))/1000+D393/4,C393*$B$377*$B$379/1000*(SQRT(2+4*$B$376/(C393^2*$B$377*$B$379))-1)+D393/4)</f>
        <v>5.8932746154210731</v>
      </c>
      <c r="F393" s="69">
        <v>2</v>
      </c>
      <c r="G393" s="63">
        <v>54</v>
      </c>
      <c r="H393" s="64">
        <f>(0.52*SQRT($B$377)*G393^0.9*$B$375^0.8)/1000</f>
        <v>6.974712508553587</v>
      </c>
      <c r="I393" s="64">
        <f>MIN(G393*$B$377*$B$379/1000,(2.3*SQRT($B$376*$B$379*$B$377))/1000+H393/4,G393*$B$377*$B$379/1000*(SQRT(2+4*$B$376/(G393^2*$B$377*$B$379))-1)+H393/4)</f>
        <v>5.8932746154210731</v>
      </c>
      <c r="J393" s="64">
        <f>E393*B393+F393*I393</f>
        <v>17.679823846263218</v>
      </c>
    </row>
    <row r="394" spans="1:20" ht="45">
      <c r="A394" s="396" t="s">
        <v>369</v>
      </c>
      <c r="B394" s="69">
        <v>1</v>
      </c>
      <c r="C394" s="63">
        <v>54</v>
      </c>
      <c r="D394" s="64">
        <f>(0.52*SQRT($B$377)*C394^0.9*$B$375^0.8)/1000</f>
        <v>6.974712508553587</v>
      </c>
      <c r="E394" s="64">
        <f>MIN(C394*$B$377*$B$379/1000,(2.3*SQRT($B$376*$B$379*$B$377))/1000+D394/4,C394*$B$377*$B$379/1000*(SQRT(2+4*$B$376/(C394^2*$B$377*$B$379))-1)+D394/4)</f>
        <v>5.8932746154210731</v>
      </c>
      <c r="F394" s="69">
        <v>3</v>
      </c>
      <c r="G394" s="63">
        <v>54</v>
      </c>
      <c r="H394" s="64">
        <f>(0.52*SQRT($B$377)*G394^0.9*$B$375^0.8)/1000</f>
        <v>6.974712508553587</v>
      </c>
      <c r="I394" s="64">
        <f>MIN(G394*$B$377*$B$379/1000,(2.3*SQRT($B$376*$B$379*$B$377))/1000+H394/4,G394*$B$377*$B$379/1000*(SQRT(2+4*$B$376/(G394^2*$B$377*$B$379))-1)+H394/4)</f>
        <v>5.8932746154210731</v>
      </c>
      <c r="J394" s="64">
        <f>E394*B394+F394*I394</f>
        <v>23.573098461684292</v>
      </c>
    </row>
    <row r="395" spans="1:20" ht="45">
      <c r="A395" s="396" t="s">
        <v>371</v>
      </c>
      <c r="B395" s="69">
        <v>1</v>
      </c>
      <c r="C395" s="63">
        <v>54</v>
      </c>
      <c r="D395" s="64">
        <f>(0.52*SQRT($B$377)*C395^0.9*$B$375^0.8)/1000</f>
        <v>6.974712508553587</v>
      </c>
      <c r="E395" s="64">
        <f>MIN(C395*$B$377*$B$379/1000,(2.3*SQRT($B$376*$B$379*$B$377))/1000+D395/4,C395*$B$377*$B$379/1000*(SQRT(2+4*$B$376/(C395^2*$B$377*$B$379))-1)+D395/4)</f>
        <v>5.8932746154210731</v>
      </c>
      <c r="F395" s="69">
        <v>5</v>
      </c>
      <c r="G395" s="63">
        <v>54</v>
      </c>
      <c r="H395" s="64">
        <f>(0.52*SQRT($B$377)*G395^0.9*$B$375^0.8)/1000</f>
        <v>6.974712508553587</v>
      </c>
      <c r="I395" s="64">
        <f>MIN(G395*$B$377*$B$379/1000,(2.3*SQRT($B$376*$B$379*$B$377))/1000+H395/4,G395*$B$377*$B$379/1000*(SQRT(2+4*$B$376/(G395^2*$B$377*$B$379))-1)+H395/4)</f>
        <v>5.8932746154210731</v>
      </c>
      <c r="J395" s="64">
        <f>E395*B395+F395*I395</f>
        <v>35.359647692526437</v>
      </c>
    </row>
    <row r="396" spans="1:20">
      <c r="A396" s="23"/>
      <c r="B396" s="77"/>
    </row>
    <row r="397" spans="1:20">
      <c r="A397" s="23"/>
      <c r="B397" s="77"/>
      <c r="F397" t="s">
        <v>72</v>
      </c>
      <c r="G397" s="3"/>
    </row>
    <row r="398" spans="1:20" ht="18">
      <c r="A398" s="4" t="s">
        <v>2</v>
      </c>
      <c r="B398" s="78" t="s">
        <v>61</v>
      </c>
      <c r="C398" s="78" t="s">
        <v>128</v>
      </c>
      <c r="D398" s="5" t="s">
        <v>129</v>
      </c>
      <c r="E398" s="78" t="s">
        <v>130</v>
      </c>
      <c r="F398" s="79" t="s">
        <v>131</v>
      </c>
      <c r="G398" s="80"/>
      <c r="O398" s="4" t="s">
        <v>2</v>
      </c>
      <c r="P398" s="682" t="s">
        <v>132</v>
      </c>
      <c r="Q398" s="683"/>
      <c r="R398" s="683"/>
      <c r="S398" s="683"/>
      <c r="T398" s="684"/>
    </row>
    <row r="399" spans="1:20">
      <c r="A399" s="8"/>
      <c r="B399" s="81" t="s">
        <v>17</v>
      </c>
      <c r="C399" s="82" t="s">
        <v>17</v>
      </c>
      <c r="D399" s="9" t="s">
        <v>78</v>
      </c>
      <c r="E399" s="82" t="s">
        <v>17</v>
      </c>
      <c r="F399" s="83" t="s">
        <v>17</v>
      </c>
      <c r="G399" s="84"/>
      <c r="O399" s="8"/>
      <c r="P399" s="95">
        <v>0.6</v>
      </c>
      <c r="Q399" s="95">
        <v>0.7</v>
      </c>
      <c r="R399" s="95">
        <v>0.8</v>
      </c>
      <c r="S399" s="95">
        <v>0.9</v>
      </c>
      <c r="T399" s="95">
        <v>1</v>
      </c>
    </row>
    <row r="400" spans="1:20" ht="45">
      <c r="A400" s="396" t="s">
        <v>370</v>
      </c>
      <c r="B400" s="64">
        <f>J384</f>
        <v>10.158867357960606</v>
      </c>
      <c r="C400" s="64">
        <v>12</v>
      </c>
      <c r="D400" s="85">
        <v>2.5499999999999998</v>
      </c>
      <c r="E400" s="64">
        <f>1/(SQRT((1/J393)^2+(1/(D400*D393))^2))</f>
        <v>12.538724423543149</v>
      </c>
      <c r="F400" s="406">
        <f>MIN(B400,E400)</f>
        <v>10.158867357960606</v>
      </c>
      <c r="G400" s="89"/>
      <c r="O400" s="396" t="s">
        <v>370</v>
      </c>
      <c r="P400" s="88">
        <f>MIN(P$399*$B400/1.3,$C400/1.25,P$399*$E400/1.3)</f>
        <v>4.6887080113664332</v>
      </c>
      <c r="Q400" s="88">
        <f>MIN(Q$399*$B400/1.3,$C400/1.25,Q$399*$E400/1.3)</f>
        <v>5.4701593465941718</v>
      </c>
      <c r="R400" s="88">
        <f>MIN(R$399*$B400/1.3,$C400/1.25,R$399*$E400/1.3)</f>
        <v>6.2516106818219113</v>
      </c>
      <c r="S400" s="88">
        <f>MIN(S$399*$B400/1.3,$C400/1.25,S$399*$E400/1.3)</f>
        <v>7.0330620170496498</v>
      </c>
      <c r="T400" s="88">
        <f>MIN(T$399*$B400/1.3,$C400/1.25,T$399*$E400/1.3)</f>
        <v>7.8145133522773893</v>
      </c>
    </row>
    <row r="401" spans="1:20" ht="45">
      <c r="A401" s="396" t="s">
        <v>369</v>
      </c>
      <c r="B401" s="64">
        <f>J385</f>
        <v>13.545156477280809</v>
      </c>
      <c r="C401" s="64">
        <v>12</v>
      </c>
      <c r="D401" s="85">
        <v>4.95</v>
      </c>
      <c r="E401" s="64">
        <f>1/(SQRT((1/J394)^2+(1/(D401*D394))^2))</f>
        <v>19.467956736265833</v>
      </c>
      <c r="F401" s="406">
        <f>MIN(B401,E401)</f>
        <v>13.545156477280809</v>
      </c>
      <c r="G401" s="89"/>
      <c r="O401" s="396" t="s">
        <v>369</v>
      </c>
      <c r="P401" s="88">
        <f t="shared" ref="P401:T402" si="87">MIN(P$399*$B401/1.3,$C401/1.25,P$399*$E401/1.3)</f>
        <v>6.2516106818219113</v>
      </c>
      <c r="Q401" s="88">
        <f t="shared" si="87"/>
        <v>7.293545795458896</v>
      </c>
      <c r="R401" s="88">
        <f t="shared" si="87"/>
        <v>8.3354809090958835</v>
      </c>
      <c r="S401" s="88">
        <f t="shared" si="87"/>
        <v>9.3774160227328682</v>
      </c>
      <c r="T401" s="88">
        <f t="shared" si="87"/>
        <v>9.6</v>
      </c>
    </row>
    <row r="402" spans="1:20" ht="45">
      <c r="A402" s="396" t="s">
        <v>371</v>
      </c>
      <c r="B402" s="64">
        <f>J386</f>
        <v>20.317734715921215</v>
      </c>
      <c r="C402" s="64">
        <v>12</v>
      </c>
      <c r="D402" s="85">
        <v>8.15</v>
      </c>
      <c r="E402" s="64">
        <f>1/(SQRT((1/J395)^2+(1/(D402*D395))^2))</f>
        <v>30.024686389656786</v>
      </c>
      <c r="F402" s="406">
        <f>MIN(B402,E402)</f>
        <v>20.317734715921215</v>
      </c>
      <c r="G402" s="89"/>
      <c r="O402" s="396" t="s">
        <v>371</v>
      </c>
      <c r="P402" s="88">
        <f t="shared" si="87"/>
        <v>9.3774160227328682</v>
      </c>
      <c r="Q402" s="88">
        <f t="shared" si="87"/>
        <v>9.6</v>
      </c>
      <c r="R402" s="88">
        <f t="shared" si="87"/>
        <v>9.6</v>
      </c>
      <c r="S402" s="88">
        <f t="shared" si="87"/>
        <v>9.6</v>
      </c>
      <c r="T402" s="88">
        <f t="shared" si="87"/>
        <v>9.6</v>
      </c>
    </row>
    <row r="403" spans="1:20">
      <c r="A403" s="23"/>
      <c r="B403" s="77"/>
      <c r="D403" s="99"/>
      <c r="P403"/>
      <c r="Q403"/>
      <c r="R403"/>
      <c r="S403"/>
    </row>
    <row r="404" spans="1:20">
      <c r="A404" s="23"/>
      <c r="B404" s="77"/>
      <c r="P404"/>
      <c r="Q404"/>
      <c r="R404"/>
      <c r="S404"/>
    </row>
    <row r="405" spans="1:20">
      <c r="A405" s="23"/>
      <c r="B405" s="77"/>
    </row>
    <row r="406" spans="1:20">
      <c r="A406" s="23"/>
      <c r="B406" s="77"/>
    </row>
    <row r="407" spans="1:20">
      <c r="A407" s="23"/>
      <c r="B407" s="77"/>
    </row>
    <row r="408" spans="1:20" ht="18.75">
      <c r="A408" s="56" t="s">
        <v>79</v>
      </c>
      <c r="B408" s="77"/>
    </row>
    <row r="410" spans="1:20">
      <c r="A410" s="21" t="s">
        <v>37</v>
      </c>
      <c r="B410" s="22" t="s">
        <v>25</v>
      </c>
    </row>
    <row r="411" spans="1:20" ht="18">
      <c r="A411" s="23" t="s">
        <v>39</v>
      </c>
      <c r="B411" s="24">
        <f>VLOOKUP(B410,$V$7:$W$16,2,FALSE)</f>
        <v>385</v>
      </c>
      <c r="C411" t="s">
        <v>40</v>
      </c>
    </row>
    <row r="412" spans="1:20" ht="18">
      <c r="A412" s="23" t="s">
        <v>62</v>
      </c>
      <c r="B412" s="90">
        <v>13400</v>
      </c>
      <c r="C412" s="90">
        <v>3900</v>
      </c>
      <c r="D412" t="s">
        <v>63</v>
      </c>
      <c r="P412"/>
      <c r="Q412"/>
      <c r="R412"/>
      <c r="S412"/>
    </row>
    <row r="413" spans="1:20">
      <c r="A413" s="23" t="s">
        <v>64</v>
      </c>
      <c r="B413" s="90">
        <v>8</v>
      </c>
      <c r="C413" s="90">
        <v>5</v>
      </c>
      <c r="D413" t="s">
        <v>65</v>
      </c>
      <c r="P413"/>
      <c r="Q413"/>
      <c r="R413"/>
      <c r="S413"/>
    </row>
    <row r="414" spans="1:20" ht="18">
      <c r="A414" s="23" t="s">
        <v>66</v>
      </c>
      <c r="B414" s="101">
        <f>0.033*$B$411*B413^-0.3</f>
        <v>6.808440920761802</v>
      </c>
      <c r="C414" s="101">
        <f>0.033*$B$411*C413^-0.3</f>
        <v>7.8394152258577217</v>
      </c>
      <c r="D414" t="s">
        <v>67</v>
      </c>
      <c r="P414"/>
      <c r="Q414"/>
      <c r="R414"/>
      <c r="S414"/>
    </row>
    <row r="415" spans="1:20" ht="18">
      <c r="A415" s="23" t="s">
        <v>68</v>
      </c>
      <c r="B415" s="102">
        <f>0.082*B413^-0.3*$B$411</f>
        <v>16.917944106135387</v>
      </c>
      <c r="C415" s="102">
        <f>0.082*C413^-0.3*$B$411</f>
        <v>19.479759046070704</v>
      </c>
      <c r="D415" t="s">
        <v>67</v>
      </c>
      <c r="P415"/>
      <c r="Q415"/>
      <c r="R415"/>
      <c r="S415"/>
    </row>
    <row r="416" spans="1:20">
      <c r="A416" s="23"/>
      <c r="B416" s="77"/>
      <c r="P416"/>
      <c r="Q416"/>
      <c r="R416"/>
      <c r="S416"/>
    </row>
    <row r="417" spans="1:19">
      <c r="A417" s="23"/>
      <c r="B417" s="77"/>
      <c r="P417"/>
      <c r="Q417"/>
      <c r="R417"/>
      <c r="S417"/>
    </row>
    <row r="418" spans="1:19" ht="18">
      <c r="A418" s="4" t="s">
        <v>2</v>
      </c>
      <c r="B418" s="5" t="s">
        <v>43</v>
      </c>
      <c r="C418" s="5" t="s">
        <v>9</v>
      </c>
      <c r="D418" s="5" t="s">
        <v>44</v>
      </c>
      <c r="E418" s="5" t="s">
        <v>59</v>
      </c>
      <c r="F418" s="5" t="s">
        <v>60</v>
      </c>
      <c r="G418" s="5" t="s">
        <v>43</v>
      </c>
      <c r="H418" s="5" t="s">
        <v>9</v>
      </c>
      <c r="I418" s="5" t="s">
        <v>44</v>
      </c>
      <c r="J418" s="5" t="s">
        <v>59</v>
      </c>
      <c r="K418" s="5" t="s">
        <v>60</v>
      </c>
      <c r="L418" s="5" t="s">
        <v>61</v>
      </c>
      <c r="P418"/>
      <c r="Q418"/>
      <c r="R418"/>
      <c r="S418"/>
    </row>
    <row r="419" spans="1:19">
      <c r="A419" s="8"/>
      <c r="B419" s="9" t="s">
        <v>19</v>
      </c>
      <c r="C419" s="9" t="s">
        <v>18</v>
      </c>
      <c r="D419" s="9" t="s">
        <v>18</v>
      </c>
      <c r="E419" s="9" t="s">
        <v>17</v>
      </c>
      <c r="F419" s="9" t="s">
        <v>17</v>
      </c>
      <c r="G419" s="9" t="s">
        <v>19</v>
      </c>
      <c r="H419" s="9" t="s">
        <v>18</v>
      </c>
      <c r="I419" s="9" t="s">
        <v>18</v>
      </c>
      <c r="J419" s="9" t="s">
        <v>17</v>
      </c>
      <c r="K419" s="9" t="s">
        <v>17</v>
      </c>
      <c r="L419" s="62" t="s">
        <v>17</v>
      </c>
      <c r="P419"/>
      <c r="Q419"/>
      <c r="R419"/>
      <c r="S419"/>
    </row>
    <row r="420" spans="1:19" ht="45">
      <c r="A420" s="396" t="s">
        <v>356</v>
      </c>
      <c r="B420" s="63">
        <v>1</v>
      </c>
      <c r="C420" s="63">
        <v>8</v>
      </c>
      <c r="D420" s="303">
        <v>65</v>
      </c>
      <c r="E420" s="64">
        <f>(0.3*0.52*SQRT($C420)*D420^0.9*$B$411^0.8)/1000</f>
        <v>2.2113638026311735</v>
      </c>
      <c r="F420" s="64">
        <f t="shared" ref="F420:F432" si="88">MIN($B$414*D420*C420/1000,(2.3*SQRT($B$412*$B$414*C420))/1000+(E420/4),$B$414*D420*C420/1000*(SQRT(2+4*$B$412/($B$414*D420^2*C420))-1)+E420/4)</f>
        <v>2.3028365309859833</v>
      </c>
      <c r="G420" s="63">
        <v>2</v>
      </c>
      <c r="H420" s="63">
        <v>5</v>
      </c>
      <c r="I420" s="303">
        <v>70</v>
      </c>
      <c r="J420" s="64">
        <f>(0.3*0.52*SQRT(H420)*I420^0.9*$B$411^0.8)/1000</f>
        <v>1.8688154683555778</v>
      </c>
      <c r="K420" s="64">
        <f t="shared" ref="K420:K432" si="89">MIN($C$414*I420*H420/1000,(2.3*SQRT($C$412*$C$414*H420))/1000+(J420/4),$C$414*I420*H420/1000*(SQRT(2+4*$C$412/($C$414*I420^2*H420))-1)+J420/4)</f>
        <v>1.3664673866555193</v>
      </c>
      <c r="L420" s="64">
        <f t="shared" ref="L420:L432" si="90">B420*F420+G420*K420</f>
        <v>5.0357713042970218</v>
      </c>
      <c r="P420"/>
      <c r="Q420"/>
      <c r="R420"/>
      <c r="S420"/>
    </row>
    <row r="421" spans="1:19" ht="45">
      <c r="A421" s="396" t="s">
        <v>360</v>
      </c>
      <c r="B421" s="63">
        <v>2</v>
      </c>
      <c r="C421" s="63">
        <v>8</v>
      </c>
      <c r="D421" s="303">
        <v>65</v>
      </c>
      <c r="E421" s="64">
        <f t="shared" ref="E421:E432" si="91">(0.3*0.52*SQRT($C421)*D421^0.9*$B$411^0.8)/1000</f>
        <v>2.2113638026311735</v>
      </c>
      <c r="F421" s="64">
        <f t="shared" si="88"/>
        <v>2.3028365309859833</v>
      </c>
      <c r="G421" s="63">
        <v>2</v>
      </c>
      <c r="H421" s="63">
        <v>5</v>
      </c>
      <c r="I421" s="303">
        <v>70</v>
      </c>
      <c r="J421" s="64">
        <f t="shared" ref="J421:J432" si="92">(0.3*0.52*SQRT(H421)*I421^0.9*$B$411^0.8)/1000</f>
        <v>1.8688154683555778</v>
      </c>
      <c r="K421" s="64">
        <f t="shared" si="89"/>
        <v>1.3664673866555193</v>
      </c>
      <c r="L421" s="64">
        <f t="shared" si="90"/>
        <v>7.3386078352830051</v>
      </c>
      <c r="P421"/>
      <c r="Q421"/>
      <c r="R421"/>
      <c r="S421"/>
    </row>
    <row r="422" spans="1:19" ht="45">
      <c r="A422" s="396" t="s">
        <v>357</v>
      </c>
      <c r="B422" s="63">
        <v>2</v>
      </c>
      <c r="C422" s="63">
        <v>8</v>
      </c>
      <c r="D422" s="303">
        <v>65</v>
      </c>
      <c r="E422" s="64">
        <f t="shared" si="91"/>
        <v>2.2113638026311735</v>
      </c>
      <c r="F422" s="64">
        <f t="shared" si="88"/>
        <v>2.3028365309859833</v>
      </c>
      <c r="G422" s="63">
        <v>4</v>
      </c>
      <c r="H422" s="63">
        <v>5</v>
      </c>
      <c r="I422" s="303">
        <v>70</v>
      </c>
      <c r="J422" s="64">
        <f t="shared" si="92"/>
        <v>1.8688154683555778</v>
      </c>
      <c r="K422" s="64">
        <f t="shared" si="89"/>
        <v>1.3664673866555193</v>
      </c>
      <c r="L422" s="64">
        <f t="shared" si="90"/>
        <v>10.071542608594044</v>
      </c>
      <c r="P422"/>
      <c r="Q422"/>
      <c r="R422"/>
      <c r="S422"/>
    </row>
    <row r="423" spans="1:19" ht="45">
      <c r="A423" s="396" t="s">
        <v>359</v>
      </c>
      <c r="B423" s="63">
        <v>2</v>
      </c>
      <c r="C423" s="63">
        <v>8</v>
      </c>
      <c r="D423" s="303">
        <v>65</v>
      </c>
      <c r="E423" s="64">
        <f t="shared" si="91"/>
        <v>2.2113638026311735</v>
      </c>
      <c r="F423" s="64">
        <f t="shared" si="88"/>
        <v>2.3028365309859833</v>
      </c>
      <c r="G423" s="63">
        <v>6</v>
      </c>
      <c r="H423" s="63">
        <v>5</v>
      </c>
      <c r="I423" s="303">
        <v>70</v>
      </c>
      <c r="J423" s="64">
        <f t="shared" si="92"/>
        <v>1.8688154683555778</v>
      </c>
      <c r="K423" s="64">
        <f t="shared" si="89"/>
        <v>1.3664673866555193</v>
      </c>
      <c r="L423" s="64">
        <f t="shared" si="90"/>
        <v>12.804477381905082</v>
      </c>
      <c r="P423"/>
      <c r="Q423"/>
      <c r="R423"/>
      <c r="S423"/>
    </row>
    <row r="424" spans="1:19" ht="45">
      <c r="A424" s="396" t="s">
        <v>358</v>
      </c>
      <c r="B424" s="63">
        <v>2</v>
      </c>
      <c r="C424" s="63">
        <v>8</v>
      </c>
      <c r="D424" s="303">
        <v>65</v>
      </c>
      <c r="E424" s="64">
        <f t="shared" si="91"/>
        <v>2.2113638026311735</v>
      </c>
      <c r="F424" s="64">
        <f t="shared" si="88"/>
        <v>2.3028365309859833</v>
      </c>
      <c r="G424" s="63">
        <v>8</v>
      </c>
      <c r="H424" s="63">
        <v>5</v>
      </c>
      <c r="I424" s="303">
        <v>70</v>
      </c>
      <c r="J424" s="64">
        <f t="shared" si="92"/>
        <v>1.8688154683555778</v>
      </c>
      <c r="K424" s="64">
        <f t="shared" si="89"/>
        <v>1.3664673866555193</v>
      </c>
      <c r="L424" s="64">
        <f t="shared" si="90"/>
        <v>15.537412155216121</v>
      </c>
      <c r="P424"/>
      <c r="Q424"/>
      <c r="R424"/>
      <c r="S424"/>
    </row>
    <row r="425" spans="1:19" ht="45">
      <c r="A425" s="396" t="s">
        <v>361</v>
      </c>
      <c r="B425" s="63">
        <v>2</v>
      </c>
      <c r="C425" s="63">
        <v>8</v>
      </c>
      <c r="D425" s="303">
        <v>65</v>
      </c>
      <c r="E425" s="64">
        <f t="shared" si="91"/>
        <v>2.2113638026311735</v>
      </c>
      <c r="F425" s="64">
        <f t="shared" si="88"/>
        <v>2.3028365309859833</v>
      </c>
      <c r="G425" s="63">
        <v>10</v>
      </c>
      <c r="H425" s="63">
        <v>5</v>
      </c>
      <c r="I425" s="303">
        <v>70</v>
      </c>
      <c r="J425" s="64">
        <f t="shared" si="92"/>
        <v>1.8688154683555778</v>
      </c>
      <c r="K425" s="64">
        <f t="shared" si="89"/>
        <v>1.3664673866555193</v>
      </c>
      <c r="L425" s="64">
        <f t="shared" si="90"/>
        <v>18.270346928527161</v>
      </c>
      <c r="P425"/>
      <c r="Q425"/>
      <c r="R425"/>
      <c r="S425"/>
    </row>
    <row r="426" spans="1:19" ht="45">
      <c r="A426" s="408" t="s">
        <v>362</v>
      </c>
      <c r="B426" s="63">
        <v>2</v>
      </c>
      <c r="C426" s="63">
        <v>8</v>
      </c>
      <c r="D426" s="303">
        <f>160-15</f>
        <v>145</v>
      </c>
      <c r="E426" s="64">
        <f>(0.3*0.52*SQRT($C426)*D426^0.9*$B$411^0.8)/1000</f>
        <v>4.5527036065307724</v>
      </c>
      <c r="F426" s="64">
        <f>MIN($B$414*D426*C426/1000,(2.3*SQRT($B$412*$B$414*C426))/1000+(E426/4),$B$414*D426*C426/1000*(SQRT(2+4*$B$412/($B$414*D426^2*C426))-1)+E426/4)</f>
        <v>3.1031148688459163</v>
      </c>
      <c r="G426" s="63">
        <v>8</v>
      </c>
      <c r="H426" s="63">
        <v>5</v>
      </c>
      <c r="I426" s="303">
        <v>70</v>
      </c>
      <c r="J426" s="64">
        <f>(0.3*0.52*SQRT(H426)*I426^0.9*$B$411^0.8)/1000</f>
        <v>1.8688154683555778</v>
      </c>
      <c r="K426" s="64">
        <f>MIN($C$414*I426*H426/1000,(2.3*SQRT($C$412*$C$414*H426))/1000+(J426/4),$C$414*I426*H426/1000*(SQRT(2+4*$C$412/($C$414*I426^2*H426))-1)+J426/4)</f>
        <v>1.3664673866555193</v>
      </c>
      <c r="L426" s="64">
        <f>B426*F426+G426*K426</f>
        <v>17.137968830935986</v>
      </c>
      <c r="P426"/>
      <c r="Q426"/>
      <c r="R426"/>
      <c r="S426"/>
    </row>
    <row r="427" spans="1:19" ht="45">
      <c r="A427" s="408" t="s">
        <v>363</v>
      </c>
      <c r="B427" s="63">
        <v>2</v>
      </c>
      <c r="C427" s="63">
        <v>8</v>
      </c>
      <c r="D427" s="303">
        <f>160-15</f>
        <v>145</v>
      </c>
      <c r="E427" s="64">
        <f>(0.3*0.52*SQRT($C427)*D427^0.9*$B$411^0.8)/1000</f>
        <v>4.5527036065307724</v>
      </c>
      <c r="F427" s="64">
        <f>MIN($B$414*D427*C427/1000,(2.3*SQRT($B$412*$B$414*C427))/1000+(E427/4),$B$414*D427*C427/1000*(SQRT(2+4*$B$412/($B$414*D427^2*C427))-1)+E427/4)</f>
        <v>3.1031148688459163</v>
      </c>
      <c r="G427" s="63">
        <v>10</v>
      </c>
      <c r="H427" s="63">
        <v>5</v>
      </c>
      <c r="I427" s="303">
        <v>70</v>
      </c>
      <c r="J427" s="64">
        <f>(0.3*0.52*SQRT(H427)*I427^0.9*$B$411^0.8)/1000</f>
        <v>1.8688154683555778</v>
      </c>
      <c r="K427" s="64">
        <f>MIN($C$414*I427*H427/1000,(2.3*SQRT($C$412*$C$414*H427))/1000+(J427/4),$C$414*I427*H427/1000*(SQRT(2+4*$C$412/($C$414*I427^2*H427))-1)+J427/4)</f>
        <v>1.3664673866555193</v>
      </c>
      <c r="L427" s="64">
        <f>B427*F427+G427*K427</f>
        <v>19.870903604247026</v>
      </c>
      <c r="P427"/>
      <c r="Q427"/>
      <c r="R427"/>
      <c r="S427"/>
    </row>
    <row r="428" spans="1:19" ht="45">
      <c r="A428" s="396" t="s">
        <v>364</v>
      </c>
      <c r="B428" s="63">
        <v>3</v>
      </c>
      <c r="C428" s="63">
        <v>8</v>
      </c>
      <c r="D428" s="303">
        <v>65</v>
      </c>
      <c r="E428" s="64">
        <f t="shared" si="91"/>
        <v>2.2113638026311735</v>
      </c>
      <c r="F428" s="64">
        <f t="shared" si="88"/>
        <v>2.3028365309859833</v>
      </c>
      <c r="G428" s="63">
        <v>4</v>
      </c>
      <c r="H428" s="63">
        <v>5</v>
      </c>
      <c r="I428" s="303">
        <v>70</v>
      </c>
      <c r="J428" s="64">
        <f t="shared" si="92"/>
        <v>1.8688154683555778</v>
      </c>
      <c r="K428" s="64">
        <f t="shared" si="89"/>
        <v>1.3664673866555193</v>
      </c>
      <c r="L428" s="64">
        <f t="shared" si="90"/>
        <v>12.374379139580027</v>
      </c>
      <c r="P428"/>
      <c r="Q428"/>
      <c r="R428"/>
      <c r="S428"/>
    </row>
    <row r="429" spans="1:19" ht="47.25" customHeight="1">
      <c r="A429" s="396" t="s">
        <v>365</v>
      </c>
      <c r="B429" s="63">
        <v>3</v>
      </c>
      <c r="C429" s="63">
        <v>8</v>
      </c>
      <c r="D429" s="303">
        <v>65</v>
      </c>
      <c r="E429" s="64">
        <f t="shared" si="91"/>
        <v>2.2113638026311735</v>
      </c>
      <c r="F429" s="64">
        <f t="shared" si="88"/>
        <v>2.3028365309859833</v>
      </c>
      <c r="G429" s="63">
        <v>8</v>
      </c>
      <c r="H429" s="63">
        <v>5</v>
      </c>
      <c r="I429" s="303">
        <v>70</v>
      </c>
      <c r="J429" s="64">
        <f t="shared" si="92"/>
        <v>1.8688154683555778</v>
      </c>
      <c r="K429" s="64">
        <f t="shared" si="89"/>
        <v>1.3664673866555193</v>
      </c>
      <c r="L429" s="64">
        <f t="shared" si="90"/>
        <v>17.840248686202102</v>
      </c>
      <c r="P429"/>
      <c r="Q429"/>
      <c r="R429"/>
      <c r="S429"/>
    </row>
    <row r="430" spans="1:19" ht="47.25" customHeight="1">
      <c r="A430" s="396" t="s">
        <v>366</v>
      </c>
      <c r="B430" s="63">
        <v>3</v>
      </c>
      <c r="C430" s="63">
        <v>8</v>
      </c>
      <c r="D430" s="303">
        <v>65</v>
      </c>
      <c r="E430" s="64">
        <f t="shared" si="91"/>
        <v>2.2113638026311735</v>
      </c>
      <c r="F430" s="64">
        <f t="shared" si="88"/>
        <v>2.3028365309859833</v>
      </c>
      <c r="G430" s="63">
        <v>12</v>
      </c>
      <c r="H430" s="63">
        <v>5</v>
      </c>
      <c r="I430" s="303">
        <v>70</v>
      </c>
      <c r="J430" s="64">
        <f t="shared" si="92"/>
        <v>1.8688154683555778</v>
      </c>
      <c r="K430" s="64">
        <f t="shared" si="89"/>
        <v>1.3664673866555193</v>
      </c>
      <c r="L430" s="64">
        <f t="shared" si="90"/>
        <v>23.306118232824183</v>
      </c>
    </row>
    <row r="431" spans="1:19" ht="47.25" customHeight="1">
      <c r="A431" s="396" t="s">
        <v>367</v>
      </c>
      <c r="B431" s="63">
        <v>3</v>
      </c>
      <c r="C431" s="63">
        <v>8</v>
      </c>
      <c r="D431" s="303">
        <v>65</v>
      </c>
      <c r="E431" s="64">
        <f t="shared" si="91"/>
        <v>2.2113638026311735</v>
      </c>
      <c r="F431" s="64">
        <f t="shared" si="88"/>
        <v>2.3028365309859833</v>
      </c>
      <c r="G431" s="63">
        <v>16</v>
      </c>
      <c r="H431" s="63">
        <v>5</v>
      </c>
      <c r="I431" s="303">
        <v>70</v>
      </c>
      <c r="J431" s="64">
        <f t="shared" si="92"/>
        <v>1.8688154683555778</v>
      </c>
      <c r="K431" s="64">
        <f t="shared" si="89"/>
        <v>1.3664673866555193</v>
      </c>
      <c r="L431" s="64">
        <f t="shared" si="90"/>
        <v>28.771987779446256</v>
      </c>
    </row>
    <row r="432" spans="1:19" ht="47.25" customHeight="1">
      <c r="A432" s="396" t="s">
        <v>368</v>
      </c>
      <c r="B432" s="63">
        <v>3</v>
      </c>
      <c r="C432" s="63">
        <v>8</v>
      </c>
      <c r="D432" s="303">
        <v>65</v>
      </c>
      <c r="E432" s="64">
        <f t="shared" si="91"/>
        <v>2.2113638026311735</v>
      </c>
      <c r="F432" s="64">
        <f t="shared" si="88"/>
        <v>2.3028365309859833</v>
      </c>
      <c r="G432" s="63">
        <v>20</v>
      </c>
      <c r="H432" s="63">
        <v>5</v>
      </c>
      <c r="I432" s="303">
        <v>70</v>
      </c>
      <c r="J432" s="64">
        <f t="shared" si="92"/>
        <v>1.8688154683555778</v>
      </c>
      <c r="K432" s="64">
        <f t="shared" si="89"/>
        <v>1.3664673866555193</v>
      </c>
      <c r="L432" s="64">
        <f t="shared" si="90"/>
        <v>34.237857326068337</v>
      </c>
    </row>
    <row r="433" spans="1:12">
      <c r="A433" s="91"/>
      <c r="B433" s="90"/>
      <c r="C433" s="90"/>
      <c r="D433" s="90"/>
      <c r="E433" s="90"/>
      <c r="F433" s="90"/>
      <c r="G433" s="90"/>
      <c r="H433" s="90"/>
      <c r="I433" s="90"/>
      <c r="J433" s="90"/>
      <c r="K433" s="90"/>
      <c r="L433" s="90"/>
    </row>
    <row r="434" spans="1:12">
      <c r="A434" s="3"/>
      <c r="B434" s="90"/>
      <c r="C434" s="90"/>
      <c r="D434" s="90"/>
      <c r="E434" s="90"/>
      <c r="F434" s="90"/>
      <c r="G434" s="90"/>
      <c r="H434" s="90"/>
      <c r="I434" s="90"/>
      <c r="J434" s="90"/>
      <c r="K434" s="90"/>
      <c r="L434" s="90"/>
    </row>
    <row r="435" spans="1:12" ht="18">
      <c r="A435" s="4" t="s">
        <v>2</v>
      </c>
      <c r="B435" s="113" t="s">
        <v>43</v>
      </c>
      <c r="C435" s="113" t="s">
        <v>9</v>
      </c>
      <c r="D435" s="113" t="s">
        <v>80</v>
      </c>
      <c r="E435" s="113" t="s">
        <v>81</v>
      </c>
      <c r="F435" s="113" t="s">
        <v>82</v>
      </c>
      <c r="G435" s="113" t="s">
        <v>43</v>
      </c>
      <c r="H435" s="113" t="s">
        <v>9</v>
      </c>
      <c r="I435" s="113" t="s">
        <v>80</v>
      </c>
      <c r="J435" s="113" t="s">
        <v>81</v>
      </c>
      <c r="K435" s="113" t="s">
        <v>82</v>
      </c>
      <c r="L435" s="113" t="s">
        <v>83</v>
      </c>
    </row>
    <row r="436" spans="1:12">
      <c r="A436" s="8"/>
      <c r="B436" s="47" t="s">
        <v>19</v>
      </c>
      <c r="C436" s="47" t="s">
        <v>18</v>
      </c>
      <c r="D436" s="47" t="s">
        <v>18</v>
      </c>
      <c r="E436" s="47" t="s">
        <v>17</v>
      </c>
      <c r="F436" s="47" t="s">
        <v>17</v>
      </c>
      <c r="G436" s="47" t="s">
        <v>19</v>
      </c>
      <c r="H436" s="47" t="s">
        <v>18</v>
      </c>
      <c r="I436" s="47" t="s">
        <v>18</v>
      </c>
      <c r="J436" s="47" t="s">
        <v>17</v>
      </c>
      <c r="K436" s="47" t="s">
        <v>17</v>
      </c>
      <c r="L436" s="124" t="s">
        <v>17</v>
      </c>
    </row>
    <row r="437" spans="1:12" ht="45">
      <c r="A437" s="396" t="s">
        <v>356</v>
      </c>
      <c r="B437" s="63">
        <v>1</v>
      </c>
      <c r="C437" s="63">
        <v>8</v>
      </c>
      <c r="D437" s="303">
        <v>35</v>
      </c>
      <c r="E437" s="64">
        <f t="shared" ref="E437:E449" si="93">(0.52*SQRT($C437)*35^0.9*$B$411^0.8)/1000</f>
        <v>4.2225826668958426</v>
      </c>
      <c r="F437" s="64">
        <f t="shared" ref="F437:F449" si="94">MIN($B$415*D437*C437/1000,(2.3*SQRT($B$412*$B$415*C437))/1000+(E437/4),$B$415*D437*C437/1000*(SQRT(2+4*$B$412/($B$415*D437^2*C437))-1)+E437/4)</f>
        <v>3.5389546758165444</v>
      </c>
      <c r="G437" s="63">
        <v>2</v>
      </c>
      <c r="H437" s="63">
        <v>5</v>
      </c>
      <c r="I437" s="303">
        <v>40</v>
      </c>
      <c r="J437" s="64">
        <f t="shared" ref="J437:J449" si="95">(0.52*SQRT(H437)*40^0.9*$B$411^0.8)/1000</f>
        <v>3.7645313796964266</v>
      </c>
      <c r="K437" s="64">
        <f t="shared" ref="K437:K449" si="96">MIN($C$415*I437*H437/1000,(2.3*SQRT($C$412*$C$415*H437))/1000+(J437/4),$C$415*I437*H437/1000*(SQRT(2+4*$C$412/($C$415*I437^2*H437))-1)+J437/4)</f>
        <v>2.3586780979574704</v>
      </c>
      <c r="L437" s="64">
        <f>B437*F437+G437*K437</f>
        <v>8.2563108717314861</v>
      </c>
    </row>
    <row r="438" spans="1:12" ht="45">
      <c r="A438" s="396" t="s">
        <v>360</v>
      </c>
      <c r="B438" s="63">
        <v>2</v>
      </c>
      <c r="C438" s="63">
        <v>8</v>
      </c>
      <c r="D438" s="303">
        <v>35</v>
      </c>
      <c r="E438" s="64">
        <f t="shared" si="93"/>
        <v>4.2225826668958426</v>
      </c>
      <c r="F438" s="64">
        <f t="shared" si="94"/>
        <v>3.5389546758165444</v>
      </c>
      <c r="G438" s="63">
        <v>2</v>
      </c>
      <c r="H438" s="63">
        <v>5</v>
      </c>
      <c r="I438" s="303">
        <v>40</v>
      </c>
      <c r="J438" s="64">
        <f t="shared" si="95"/>
        <v>3.7645313796964266</v>
      </c>
      <c r="K438" s="64">
        <f t="shared" si="96"/>
        <v>2.3586780979574704</v>
      </c>
      <c r="L438" s="64">
        <f t="shared" ref="L438:L449" si="97">B438*F438+G438*K438</f>
        <v>11.795265547548031</v>
      </c>
    </row>
    <row r="439" spans="1:12" ht="45">
      <c r="A439" s="396" t="s">
        <v>357</v>
      </c>
      <c r="B439" s="63">
        <v>2</v>
      </c>
      <c r="C439" s="63">
        <v>8</v>
      </c>
      <c r="D439" s="303">
        <v>35</v>
      </c>
      <c r="E439" s="64">
        <f t="shared" si="93"/>
        <v>4.2225826668958426</v>
      </c>
      <c r="F439" s="64">
        <f t="shared" si="94"/>
        <v>3.5389546758165444</v>
      </c>
      <c r="G439" s="63">
        <v>4</v>
      </c>
      <c r="H439" s="63">
        <v>5</v>
      </c>
      <c r="I439" s="303">
        <v>40</v>
      </c>
      <c r="J439" s="64">
        <f t="shared" si="95"/>
        <v>3.7645313796964266</v>
      </c>
      <c r="K439" s="64">
        <f t="shared" si="96"/>
        <v>2.3586780979574704</v>
      </c>
      <c r="L439" s="64">
        <f t="shared" si="97"/>
        <v>16.512621743462972</v>
      </c>
    </row>
    <row r="440" spans="1:12" ht="45">
      <c r="A440" s="396" t="s">
        <v>359</v>
      </c>
      <c r="B440" s="63">
        <v>2</v>
      </c>
      <c r="C440" s="63">
        <v>8</v>
      </c>
      <c r="D440" s="303">
        <v>35</v>
      </c>
      <c r="E440" s="64">
        <f t="shared" si="93"/>
        <v>4.2225826668958426</v>
      </c>
      <c r="F440" s="64">
        <f t="shared" si="94"/>
        <v>3.5389546758165444</v>
      </c>
      <c r="G440" s="63">
        <v>6</v>
      </c>
      <c r="H440" s="63">
        <v>5</v>
      </c>
      <c r="I440" s="303">
        <v>40</v>
      </c>
      <c r="J440" s="64">
        <f t="shared" si="95"/>
        <v>3.7645313796964266</v>
      </c>
      <c r="K440" s="64">
        <f t="shared" si="96"/>
        <v>2.3586780979574704</v>
      </c>
      <c r="L440" s="64">
        <f t="shared" si="97"/>
        <v>21.22997793937791</v>
      </c>
    </row>
    <row r="441" spans="1:12" ht="45">
      <c r="A441" s="396" t="s">
        <v>358</v>
      </c>
      <c r="B441" s="63">
        <v>2</v>
      </c>
      <c r="C441" s="63">
        <v>8</v>
      </c>
      <c r="D441" s="303">
        <v>35</v>
      </c>
      <c r="E441" s="64">
        <f t="shared" si="93"/>
        <v>4.2225826668958426</v>
      </c>
      <c r="F441" s="64">
        <f t="shared" si="94"/>
        <v>3.5389546758165444</v>
      </c>
      <c r="G441" s="63">
        <v>8</v>
      </c>
      <c r="H441" s="63">
        <v>5</v>
      </c>
      <c r="I441" s="303">
        <v>40</v>
      </c>
      <c r="J441" s="64">
        <f t="shared" si="95"/>
        <v>3.7645313796964266</v>
      </c>
      <c r="K441" s="64">
        <f t="shared" si="96"/>
        <v>2.3586780979574704</v>
      </c>
      <c r="L441" s="64">
        <f t="shared" si="97"/>
        <v>25.947334135292852</v>
      </c>
    </row>
    <row r="442" spans="1:12" ht="45">
      <c r="A442" s="396" t="s">
        <v>361</v>
      </c>
      <c r="B442" s="63">
        <v>2</v>
      </c>
      <c r="C442" s="63">
        <v>8</v>
      </c>
      <c r="D442" s="303">
        <v>35</v>
      </c>
      <c r="E442" s="64">
        <f t="shared" si="93"/>
        <v>4.2225826668958426</v>
      </c>
      <c r="F442" s="64">
        <f t="shared" si="94"/>
        <v>3.5389546758165444</v>
      </c>
      <c r="G442" s="63">
        <v>10</v>
      </c>
      <c r="H442" s="63">
        <v>5</v>
      </c>
      <c r="I442" s="303">
        <v>40</v>
      </c>
      <c r="J442" s="64">
        <f t="shared" si="95"/>
        <v>3.7645313796964266</v>
      </c>
      <c r="K442" s="64">
        <f t="shared" si="96"/>
        <v>2.3586780979574704</v>
      </c>
      <c r="L442" s="64">
        <f t="shared" si="97"/>
        <v>30.664690331207794</v>
      </c>
    </row>
    <row r="443" spans="1:12" ht="45">
      <c r="A443" s="408" t="s">
        <v>362</v>
      </c>
      <c r="B443" s="63">
        <v>2</v>
      </c>
      <c r="C443" s="63">
        <v>8</v>
      </c>
      <c r="D443" s="303">
        <v>35</v>
      </c>
      <c r="E443" s="64">
        <f t="shared" si="93"/>
        <v>4.2225826668958426</v>
      </c>
      <c r="F443" s="64">
        <f>MIN($B$415*D443*C443/1000,(2.3*SQRT($B$412*$B$415*C443))/1000+(E443/4),$B$415*D443*C443/1000*(SQRT(2+4*$B$412/($B$415*D443^2*C443))-1)+E443/4)</f>
        <v>3.5389546758165444</v>
      </c>
      <c r="G443" s="63">
        <v>8</v>
      </c>
      <c r="H443" s="63">
        <v>5</v>
      </c>
      <c r="I443" s="303">
        <v>70</v>
      </c>
      <c r="J443" s="64">
        <f>(0.52*SQRT(H443)*40^0.9*$B$411^0.8)/1000</f>
        <v>3.7645313796964266</v>
      </c>
      <c r="K443" s="64">
        <f>MIN($C$415*I443*H443/1000,(2.3*SQRT($C$412*$C$415*H443))/1000+(J443/4),$C$415*I443*H443/1000*(SQRT(2+4*$C$412/($C$415*I443^2*H443))-1)+J443/4)</f>
        <v>2.3586780979574704</v>
      </c>
      <c r="L443" s="64">
        <f>B443*F443+G443*K443</f>
        <v>25.947334135292852</v>
      </c>
    </row>
    <row r="444" spans="1:12" ht="45">
      <c r="A444" s="408" t="s">
        <v>363</v>
      </c>
      <c r="B444" s="63">
        <v>2</v>
      </c>
      <c r="C444" s="63">
        <v>8</v>
      </c>
      <c r="D444" s="303">
        <v>35</v>
      </c>
      <c r="E444" s="64">
        <f t="shared" si="93"/>
        <v>4.2225826668958426</v>
      </c>
      <c r="F444" s="64">
        <f>MIN($B$415*D444*C444/1000,(2.3*SQRT($B$412*$B$415*C444))/1000+(E444/4),$B$415*D444*C444/1000*(SQRT(2+4*$B$412/($B$415*D444^2*C444))-1)+E444/4)</f>
        <v>3.5389546758165444</v>
      </c>
      <c r="G444" s="63">
        <v>10</v>
      </c>
      <c r="H444" s="63">
        <v>5</v>
      </c>
      <c r="I444" s="303">
        <v>70</v>
      </c>
      <c r="J444" s="64">
        <f>(0.52*SQRT(H444)*40^0.9*$B$411^0.8)/1000</f>
        <v>3.7645313796964266</v>
      </c>
      <c r="K444" s="64">
        <f>MIN($C$415*I444*H444/1000,(2.3*SQRT($C$412*$C$415*H444))/1000+(J444/4),$C$415*I444*H444/1000*(SQRT(2+4*$C$412/($C$415*I444^2*H444))-1)+J444/4)</f>
        <v>2.3586780979574704</v>
      </c>
      <c r="L444" s="64">
        <f>B444*F444+G444*K444</f>
        <v>30.664690331207794</v>
      </c>
    </row>
    <row r="445" spans="1:12" ht="45">
      <c r="A445" s="396" t="s">
        <v>364</v>
      </c>
      <c r="B445" s="63">
        <v>3</v>
      </c>
      <c r="C445" s="63">
        <v>8</v>
      </c>
      <c r="D445" s="303">
        <v>35</v>
      </c>
      <c r="E445" s="64">
        <f t="shared" si="93"/>
        <v>4.2225826668958426</v>
      </c>
      <c r="F445" s="64">
        <f t="shared" si="94"/>
        <v>3.5389546758165444</v>
      </c>
      <c r="G445" s="63">
        <v>4</v>
      </c>
      <c r="H445" s="63">
        <v>5</v>
      </c>
      <c r="I445" s="303">
        <v>40</v>
      </c>
      <c r="J445" s="64">
        <f t="shared" si="95"/>
        <v>3.7645313796964266</v>
      </c>
      <c r="K445" s="64">
        <f t="shared" si="96"/>
        <v>2.3586780979574704</v>
      </c>
      <c r="L445" s="64">
        <f t="shared" si="97"/>
        <v>20.051576419279513</v>
      </c>
    </row>
    <row r="446" spans="1:12" ht="47.25" customHeight="1">
      <c r="A446" s="396" t="s">
        <v>365</v>
      </c>
      <c r="B446" s="63">
        <v>3</v>
      </c>
      <c r="C446" s="63">
        <v>8</v>
      </c>
      <c r="D446" s="303">
        <v>35</v>
      </c>
      <c r="E446" s="64">
        <f t="shared" si="93"/>
        <v>4.2225826668958426</v>
      </c>
      <c r="F446" s="64">
        <f t="shared" si="94"/>
        <v>3.5389546758165444</v>
      </c>
      <c r="G446" s="63">
        <v>8</v>
      </c>
      <c r="H446" s="63">
        <v>5</v>
      </c>
      <c r="I446" s="303">
        <v>40</v>
      </c>
      <c r="J446" s="64">
        <f t="shared" si="95"/>
        <v>3.7645313796964266</v>
      </c>
      <c r="K446" s="64">
        <f t="shared" si="96"/>
        <v>2.3586780979574704</v>
      </c>
      <c r="L446" s="64">
        <f t="shared" si="97"/>
        <v>29.486288811109397</v>
      </c>
    </row>
    <row r="447" spans="1:12" ht="47.25" customHeight="1">
      <c r="A447" s="396" t="s">
        <v>366</v>
      </c>
      <c r="B447" s="63">
        <v>3</v>
      </c>
      <c r="C447" s="63">
        <v>8</v>
      </c>
      <c r="D447" s="303">
        <v>35</v>
      </c>
      <c r="E447" s="64">
        <f t="shared" si="93"/>
        <v>4.2225826668958426</v>
      </c>
      <c r="F447" s="64">
        <f t="shared" si="94"/>
        <v>3.5389546758165444</v>
      </c>
      <c r="G447" s="63">
        <v>12</v>
      </c>
      <c r="H447" s="63">
        <v>5</v>
      </c>
      <c r="I447" s="303">
        <v>40</v>
      </c>
      <c r="J447" s="64">
        <f t="shared" si="95"/>
        <v>3.7645313796964266</v>
      </c>
      <c r="K447" s="64">
        <f t="shared" si="96"/>
        <v>2.3586780979574704</v>
      </c>
      <c r="L447" s="64">
        <f t="shared" si="97"/>
        <v>38.92100120293928</v>
      </c>
    </row>
    <row r="448" spans="1:12" ht="47.25" customHeight="1">
      <c r="A448" s="396" t="s">
        <v>367</v>
      </c>
      <c r="B448" s="63">
        <v>3</v>
      </c>
      <c r="C448" s="63">
        <v>8</v>
      </c>
      <c r="D448" s="303">
        <v>35</v>
      </c>
      <c r="E448" s="64">
        <f t="shared" si="93"/>
        <v>4.2225826668958426</v>
      </c>
      <c r="F448" s="64">
        <f t="shared" si="94"/>
        <v>3.5389546758165444</v>
      </c>
      <c r="G448" s="63">
        <v>16</v>
      </c>
      <c r="H448" s="63">
        <v>5</v>
      </c>
      <c r="I448" s="303">
        <v>40</v>
      </c>
      <c r="J448" s="64">
        <f t="shared" si="95"/>
        <v>3.7645313796964266</v>
      </c>
      <c r="K448" s="64">
        <f t="shared" si="96"/>
        <v>2.3586780979574704</v>
      </c>
      <c r="L448" s="64">
        <f t="shared" si="97"/>
        <v>48.355713594769156</v>
      </c>
    </row>
    <row r="449" spans="1:20" ht="47.25" customHeight="1">
      <c r="A449" s="396" t="s">
        <v>368</v>
      </c>
      <c r="B449" s="63">
        <v>3</v>
      </c>
      <c r="C449" s="63">
        <v>8</v>
      </c>
      <c r="D449" s="303">
        <v>35</v>
      </c>
      <c r="E449" s="64">
        <f t="shared" si="93"/>
        <v>4.2225826668958426</v>
      </c>
      <c r="F449" s="64">
        <f t="shared" si="94"/>
        <v>3.5389546758165444</v>
      </c>
      <c r="G449" s="63">
        <v>20</v>
      </c>
      <c r="H449" s="63">
        <v>5</v>
      </c>
      <c r="I449" s="303">
        <v>40</v>
      </c>
      <c r="J449" s="64">
        <f t="shared" si="95"/>
        <v>3.7645313796964266</v>
      </c>
      <c r="K449" s="64">
        <f t="shared" si="96"/>
        <v>2.3586780979574704</v>
      </c>
      <c r="L449" s="64">
        <f t="shared" si="97"/>
        <v>57.790425986599047</v>
      </c>
    </row>
    <row r="450" spans="1:20">
      <c r="A450" s="3"/>
      <c r="B450" s="90"/>
      <c r="C450" s="90"/>
      <c r="D450" s="90"/>
      <c r="E450" s="90"/>
      <c r="F450" s="90"/>
      <c r="G450" s="90"/>
      <c r="H450" s="90"/>
      <c r="I450" s="90"/>
      <c r="J450" s="90"/>
      <c r="K450" s="90"/>
      <c r="L450" s="90"/>
    </row>
    <row r="451" spans="1:20">
      <c r="A451" s="3"/>
      <c r="B451" s="102"/>
      <c r="C451" s="90"/>
      <c r="D451" s="90"/>
      <c r="E451" s="90"/>
      <c r="F451" s="90" t="s">
        <v>72</v>
      </c>
      <c r="G451" s="90" t="s">
        <v>133</v>
      </c>
      <c r="H451" s="90"/>
      <c r="I451" s="90"/>
      <c r="J451" s="90"/>
      <c r="K451" s="90"/>
      <c r="L451" s="90"/>
    </row>
    <row r="452" spans="1:20" ht="18">
      <c r="A452" s="4" t="s">
        <v>2</v>
      </c>
      <c r="B452" s="125" t="s">
        <v>134</v>
      </c>
      <c r="C452" s="125" t="s">
        <v>135</v>
      </c>
      <c r="D452" s="113" t="s">
        <v>136</v>
      </c>
      <c r="E452" s="125" t="s">
        <v>137</v>
      </c>
      <c r="F452" s="126" t="s">
        <v>138</v>
      </c>
      <c r="G452" s="126" t="s">
        <v>139</v>
      </c>
      <c r="H452" s="90"/>
      <c r="I452" s="90"/>
      <c r="J452" s="90"/>
      <c r="K452" s="90"/>
      <c r="L452" s="90"/>
      <c r="O452" s="4" t="s">
        <v>2</v>
      </c>
      <c r="P452" s="682" t="s">
        <v>140</v>
      </c>
      <c r="Q452" s="683"/>
      <c r="R452" s="683"/>
      <c r="S452" s="683"/>
      <c r="T452" s="684"/>
    </row>
    <row r="453" spans="1:20">
      <c r="A453" s="8"/>
      <c r="B453" s="127" t="s">
        <v>17</v>
      </c>
      <c r="C453" s="128" t="s">
        <v>17</v>
      </c>
      <c r="D453" s="47" t="s">
        <v>78</v>
      </c>
      <c r="E453" s="128" t="s">
        <v>17</v>
      </c>
      <c r="F453" s="129" t="s">
        <v>17</v>
      </c>
      <c r="G453" s="129" t="s">
        <v>17</v>
      </c>
      <c r="H453" s="90"/>
      <c r="I453" s="90"/>
      <c r="J453" s="90"/>
      <c r="K453" s="90"/>
      <c r="L453" s="90"/>
      <c r="O453" s="8"/>
      <c r="P453" s="95">
        <v>0.6</v>
      </c>
      <c r="Q453" s="95">
        <v>0.7</v>
      </c>
      <c r="R453" s="95">
        <v>0.8</v>
      </c>
      <c r="S453" s="95">
        <v>0.9</v>
      </c>
      <c r="T453" s="95">
        <v>1</v>
      </c>
    </row>
    <row r="454" spans="1:20" ht="45">
      <c r="A454" s="396" t="s">
        <v>356</v>
      </c>
      <c r="B454" s="64">
        <f t="shared" ref="B454:B459" si="98">L420</f>
        <v>5.0357713042970218</v>
      </c>
      <c r="C454" s="64">
        <v>2.7</v>
      </c>
      <c r="D454" s="85">
        <v>2.2999999999999998</v>
      </c>
      <c r="E454" s="64">
        <f t="shared" ref="E454:E459" si="99">1/(SQRT((1/L437)^2+(1/(D454*E437)^2)))</f>
        <v>6.2904365361145143</v>
      </c>
      <c r="F454" s="141">
        <f>MIN(B454,C454,E454)</f>
        <v>2.7</v>
      </c>
      <c r="G454" s="141">
        <v>2.5299999999999998</v>
      </c>
      <c r="H454" s="90"/>
      <c r="I454" s="90"/>
      <c r="J454" s="90"/>
      <c r="K454" s="90"/>
      <c r="L454" s="90"/>
      <c r="O454" s="396" t="s">
        <v>356</v>
      </c>
      <c r="P454" s="88">
        <f>MIN(P$453*$B454/1.3,$C454/1.25,P$453*$E454/1.3)</f>
        <v>2.16</v>
      </c>
      <c r="Q454" s="88">
        <f>MIN(Q$453*$B454/1.3,$C454/1.25,Q$453*$E454/1.3)</f>
        <v>2.16</v>
      </c>
      <c r="R454" s="88">
        <f>MIN(R$453*$B454/1.3,$C454/1.25,R$453*$E454/1.3)</f>
        <v>2.16</v>
      </c>
      <c r="S454" s="88">
        <f>MIN(S$453*$B454/1.3,$C454/1.25,S$453*$E454/1.3)</f>
        <v>2.16</v>
      </c>
      <c r="T454" s="88">
        <f>MIN(T$453*$B454/1.3,$C454/1.25,T$453*$E454/1.3)</f>
        <v>2.16</v>
      </c>
    </row>
    <row r="455" spans="1:20" ht="45">
      <c r="A455" s="396" t="s">
        <v>360</v>
      </c>
      <c r="B455" s="64">
        <f t="shared" si="98"/>
        <v>7.3386078352830051</v>
      </c>
      <c r="C455" s="64">
        <v>2.7</v>
      </c>
      <c r="D455" s="85">
        <v>5.09</v>
      </c>
      <c r="E455" s="64">
        <f t="shared" si="99"/>
        <v>10.34044741465582</v>
      </c>
      <c r="F455" s="141">
        <f t="shared" ref="F455:F466" si="100">MIN(B455,C455,E455)</f>
        <v>2.7</v>
      </c>
      <c r="G455" s="141">
        <v>2.5299999999999998</v>
      </c>
      <c r="H455" s="90"/>
      <c r="I455" s="90"/>
      <c r="J455" s="90"/>
      <c r="K455" s="90"/>
      <c r="L455" s="90"/>
      <c r="O455" s="396" t="s">
        <v>360</v>
      </c>
      <c r="P455" s="88">
        <f t="shared" ref="P455:T466" si="101">MIN(P$453*$B455/1.3,$C455/1.25,P$453*$E455/1.3)</f>
        <v>2.16</v>
      </c>
      <c r="Q455" s="88">
        <f t="shared" si="101"/>
        <v>2.16</v>
      </c>
      <c r="R455" s="88">
        <f t="shared" si="101"/>
        <v>2.16</v>
      </c>
      <c r="S455" s="88">
        <f t="shared" si="101"/>
        <v>2.16</v>
      </c>
      <c r="T455" s="88">
        <f t="shared" si="101"/>
        <v>2.16</v>
      </c>
    </row>
    <row r="456" spans="1:20" ht="45">
      <c r="A456" s="396" t="s">
        <v>357</v>
      </c>
      <c r="B456" s="64">
        <f t="shared" si="98"/>
        <v>10.071542608594044</v>
      </c>
      <c r="C456" s="64">
        <v>2.7</v>
      </c>
      <c r="D456" s="85">
        <v>10.9</v>
      </c>
      <c r="E456" s="64">
        <f t="shared" si="99"/>
        <v>15.542620745026749</v>
      </c>
      <c r="F456" s="141">
        <f t="shared" si="100"/>
        <v>2.7</v>
      </c>
      <c r="G456" s="141">
        <v>2.5299999999999998</v>
      </c>
      <c r="H456" s="90"/>
      <c r="I456" s="90"/>
      <c r="J456" s="90"/>
      <c r="K456" s="90"/>
      <c r="L456" s="90"/>
      <c r="O456" s="396" t="s">
        <v>357</v>
      </c>
      <c r="P456" s="88">
        <f t="shared" si="101"/>
        <v>2.16</v>
      </c>
      <c r="Q456" s="88">
        <f t="shared" si="101"/>
        <v>2.16</v>
      </c>
      <c r="R456" s="88">
        <f t="shared" si="101"/>
        <v>2.16</v>
      </c>
      <c r="S456" s="88">
        <f t="shared" si="101"/>
        <v>2.16</v>
      </c>
      <c r="T456" s="88">
        <f t="shared" si="101"/>
        <v>2.16</v>
      </c>
    </row>
    <row r="457" spans="1:20" ht="45">
      <c r="A457" s="396" t="s">
        <v>359</v>
      </c>
      <c r="B457" s="64">
        <f t="shared" si="98"/>
        <v>12.804477381905082</v>
      </c>
      <c r="C457" s="64">
        <v>2.7</v>
      </c>
      <c r="D457" s="85">
        <v>19.100000000000001</v>
      </c>
      <c r="E457" s="64">
        <f t="shared" si="99"/>
        <v>20.530598646371722</v>
      </c>
      <c r="F457" s="141">
        <f t="shared" si="100"/>
        <v>2.7</v>
      </c>
      <c r="G457" s="141">
        <v>2.5299999999999998</v>
      </c>
      <c r="H457" s="90"/>
      <c r="I457" s="90"/>
      <c r="J457" s="90"/>
      <c r="K457" s="90"/>
      <c r="L457" s="90"/>
      <c r="O457" s="396" t="s">
        <v>359</v>
      </c>
      <c r="P457" s="88">
        <f t="shared" si="101"/>
        <v>2.16</v>
      </c>
      <c r="Q457" s="88">
        <f t="shared" si="101"/>
        <v>2.16</v>
      </c>
      <c r="R457" s="88">
        <f t="shared" si="101"/>
        <v>2.16</v>
      </c>
      <c r="S457" s="88">
        <f t="shared" si="101"/>
        <v>2.16</v>
      </c>
      <c r="T457" s="88">
        <f t="shared" si="101"/>
        <v>2.16</v>
      </c>
    </row>
    <row r="458" spans="1:20" ht="45">
      <c r="A458" s="396" t="s">
        <v>358</v>
      </c>
      <c r="B458" s="64">
        <f t="shared" si="98"/>
        <v>15.537412155216121</v>
      </c>
      <c r="C458" s="64">
        <v>2.7</v>
      </c>
      <c r="D458" s="85">
        <v>29.6</v>
      </c>
      <c r="E458" s="64">
        <f t="shared" si="99"/>
        <v>25.405656567957546</v>
      </c>
      <c r="F458" s="141">
        <f t="shared" si="100"/>
        <v>2.7</v>
      </c>
      <c r="G458" s="141">
        <v>2.5299999999999998</v>
      </c>
      <c r="H458" s="90"/>
      <c r="I458" s="90"/>
      <c r="J458" s="90"/>
      <c r="K458" s="90"/>
      <c r="L458" s="90"/>
      <c r="O458" s="396" t="s">
        <v>358</v>
      </c>
      <c r="P458" s="88">
        <f t="shared" si="101"/>
        <v>2.16</v>
      </c>
      <c r="Q458" s="88">
        <f t="shared" si="101"/>
        <v>2.16</v>
      </c>
      <c r="R458" s="88">
        <f t="shared" si="101"/>
        <v>2.16</v>
      </c>
      <c r="S458" s="88">
        <f t="shared" si="101"/>
        <v>2.16</v>
      </c>
      <c r="T458" s="88">
        <f t="shared" si="101"/>
        <v>2.16</v>
      </c>
    </row>
    <row r="459" spans="1:20" ht="45">
      <c r="A459" s="396" t="s">
        <v>361</v>
      </c>
      <c r="B459" s="64">
        <f t="shared" si="98"/>
        <v>18.270346928527161</v>
      </c>
      <c r="C459" s="64">
        <v>2.7</v>
      </c>
      <c r="D459" s="85">
        <v>42.6</v>
      </c>
      <c r="E459" s="64">
        <f t="shared" si="99"/>
        <v>30.228608043850425</v>
      </c>
      <c r="F459" s="141">
        <f t="shared" si="100"/>
        <v>2.7</v>
      </c>
      <c r="G459" s="141">
        <v>2.5299999999999998</v>
      </c>
      <c r="H459" s="90"/>
      <c r="I459" s="90"/>
      <c r="J459" s="90"/>
      <c r="K459" s="90"/>
      <c r="L459" s="90"/>
      <c r="O459" s="396" t="s">
        <v>361</v>
      </c>
      <c r="P459" s="88">
        <f t="shared" si="101"/>
        <v>2.16</v>
      </c>
      <c r="Q459" s="88">
        <f t="shared" si="101"/>
        <v>2.16</v>
      </c>
      <c r="R459" s="88">
        <f t="shared" si="101"/>
        <v>2.16</v>
      </c>
      <c r="S459" s="88">
        <f t="shared" si="101"/>
        <v>2.16</v>
      </c>
      <c r="T459" s="88">
        <f t="shared" si="101"/>
        <v>2.16</v>
      </c>
    </row>
    <row r="460" spans="1:20" ht="45">
      <c r="A460" s="408" t="s">
        <v>362</v>
      </c>
      <c r="B460" s="64">
        <f t="shared" ref="B460:B466" si="102">L426</f>
        <v>17.137968830935986</v>
      </c>
      <c r="C460" s="64">
        <v>2.7</v>
      </c>
      <c r="D460" s="85">
        <v>29.6</v>
      </c>
      <c r="E460" s="64">
        <f t="shared" ref="E460:E466" si="103">1/(SQRT((1/L443)^2+(1/(D460*E443)^2)))</f>
        <v>25.405656567957546</v>
      </c>
      <c r="F460" s="141">
        <f t="shared" si="100"/>
        <v>2.7</v>
      </c>
      <c r="G460" s="141">
        <v>2.5299999999999998</v>
      </c>
      <c r="H460" s="90"/>
      <c r="I460" s="90"/>
      <c r="J460" s="90"/>
      <c r="K460" s="90"/>
      <c r="L460" s="90"/>
      <c r="O460" s="396" t="s">
        <v>362</v>
      </c>
      <c r="P460" s="88">
        <f t="shared" si="101"/>
        <v>2.16</v>
      </c>
      <c r="Q460" s="88">
        <f t="shared" si="101"/>
        <v>2.16</v>
      </c>
      <c r="R460" s="88">
        <f t="shared" si="101"/>
        <v>2.16</v>
      </c>
      <c r="S460" s="88">
        <f t="shared" si="101"/>
        <v>2.16</v>
      </c>
      <c r="T460" s="88">
        <f t="shared" si="101"/>
        <v>2.16</v>
      </c>
    </row>
    <row r="461" spans="1:20" ht="45">
      <c r="A461" s="408" t="s">
        <v>363</v>
      </c>
      <c r="B461" s="64">
        <f t="shared" si="102"/>
        <v>19.870903604247026</v>
      </c>
      <c r="C461" s="64">
        <v>2.7</v>
      </c>
      <c r="D461" s="85">
        <v>42.6</v>
      </c>
      <c r="E461" s="64">
        <f t="shared" si="103"/>
        <v>30.228608043850425</v>
      </c>
      <c r="F461" s="141">
        <f t="shared" si="100"/>
        <v>2.7</v>
      </c>
      <c r="G461" s="141">
        <v>2.5299999999999998</v>
      </c>
      <c r="H461" s="90"/>
      <c r="I461" s="90"/>
      <c r="J461" s="90"/>
      <c r="K461" s="90"/>
      <c r="L461" s="90"/>
      <c r="O461" s="396" t="s">
        <v>363</v>
      </c>
      <c r="P461" s="88">
        <f t="shared" si="101"/>
        <v>2.16</v>
      </c>
      <c r="Q461" s="88">
        <f t="shared" si="101"/>
        <v>2.16</v>
      </c>
      <c r="R461" s="88">
        <f t="shared" si="101"/>
        <v>2.16</v>
      </c>
      <c r="S461" s="88">
        <f t="shared" si="101"/>
        <v>2.16</v>
      </c>
      <c r="T461" s="88">
        <f t="shared" si="101"/>
        <v>2.16</v>
      </c>
    </row>
    <row r="462" spans="1:20" ht="45">
      <c r="A462" s="396" t="s">
        <v>364</v>
      </c>
      <c r="B462" s="64">
        <f t="shared" si="102"/>
        <v>12.374379139580027</v>
      </c>
      <c r="C462" s="64">
        <v>2.7</v>
      </c>
      <c r="D462" s="85">
        <v>27.6</v>
      </c>
      <c r="E462" s="64">
        <f t="shared" si="103"/>
        <v>19.761222649658258</v>
      </c>
      <c r="F462" s="141">
        <f t="shared" si="100"/>
        <v>2.7</v>
      </c>
      <c r="G462" s="141">
        <v>2.5299999999999998</v>
      </c>
      <c r="H462" s="90"/>
      <c r="I462" s="90"/>
      <c r="J462" s="90"/>
      <c r="K462" s="90"/>
      <c r="L462" s="90"/>
      <c r="O462" s="396" t="s">
        <v>364</v>
      </c>
      <c r="P462" s="88">
        <f t="shared" si="101"/>
        <v>2.16</v>
      </c>
      <c r="Q462" s="88">
        <f t="shared" si="101"/>
        <v>2.16</v>
      </c>
      <c r="R462" s="88">
        <f t="shared" si="101"/>
        <v>2.16</v>
      </c>
      <c r="S462" s="88">
        <f t="shared" si="101"/>
        <v>2.16</v>
      </c>
      <c r="T462" s="88">
        <f t="shared" si="101"/>
        <v>2.16</v>
      </c>
    </row>
    <row r="463" spans="1:20" ht="48" customHeight="1">
      <c r="A463" s="396" t="s">
        <v>365</v>
      </c>
      <c r="B463" s="64">
        <f t="shared" si="102"/>
        <v>17.840248686202102</v>
      </c>
      <c r="C463" s="64">
        <v>2.7</v>
      </c>
      <c r="D463" s="85">
        <v>56.5</v>
      </c>
      <c r="E463" s="64">
        <f t="shared" si="103"/>
        <v>29.26363190050586</v>
      </c>
      <c r="F463" s="141">
        <f t="shared" si="100"/>
        <v>2.7</v>
      </c>
      <c r="G463" s="141">
        <v>2.5299999999999998</v>
      </c>
      <c r="H463" s="90"/>
      <c r="I463" s="90"/>
      <c r="J463" s="90"/>
      <c r="K463" s="90"/>
      <c r="L463" s="90"/>
      <c r="O463" s="396" t="s">
        <v>365</v>
      </c>
      <c r="P463" s="88">
        <f t="shared" si="101"/>
        <v>2.16</v>
      </c>
      <c r="Q463" s="88">
        <f t="shared" si="101"/>
        <v>2.16</v>
      </c>
      <c r="R463" s="88">
        <f t="shared" si="101"/>
        <v>2.16</v>
      </c>
      <c r="S463" s="88">
        <f t="shared" si="101"/>
        <v>2.16</v>
      </c>
      <c r="T463" s="88">
        <f t="shared" si="101"/>
        <v>2.16</v>
      </c>
    </row>
    <row r="464" spans="1:20" ht="48" customHeight="1">
      <c r="A464" s="396" t="s">
        <v>366</v>
      </c>
      <c r="B464" s="64">
        <f t="shared" si="102"/>
        <v>23.306118232824183</v>
      </c>
      <c r="C464" s="64">
        <v>2.7</v>
      </c>
      <c r="D464" s="85">
        <v>94.8</v>
      </c>
      <c r="E464" s="64">
        <f t="shared" si="103"/>
        <v>38.73832454314239</v>
      </c>
      <c r="F464" s="141">
        <f t="shared" si="100"/>
        <v>2.7</v>
      </c>
      <c r="G464" s="141">
        <v>2.5299999999999998</v>
      </c>
      <c r="H464" s="90"/>
      <c r="I464" s="90"/>
      <c r="J464" s="90"/>
      <c r="K464" s="90"/>
      <c r="L464" s="90"/>
      <c r="O464" s="396" t="s">
        <v>366</v>
      </c>
      <c r="P464" s="88">
        <f t="shared" si="101"/>
        <v>2.16</v>
      </c>
      <c r="Q464" s="88">
        <f t="shared" si="101"/>
        <v>2.16</v>
      </c>
      <c r="R464" s="88">
        <f t="shared" si="101"/>
        <v>2.16</v>
      </c>
      <c r="S464" s="88">
        <f t="shared" si="101"/>
        <v>2.16</v>
      </c>
      <c r="T464" s="88">
        <f t="shared" si="101"/>
        <v>2.16</v>
      </c>
    </row>
    <row r="465" spans="1:20" ht="48" customHeight="1">
      <c r="A465" s="396" t="s">
        <v>367</v>
      </c>
      <c r="B465" s="64">
        <f t="shared" si="102"/>
        <v>28.771987779446256</v>
      </c>
      <c r="C465" s="64">
        <v>2.7</v>
      </c>
      <c r="D465" s="85">
        <v>94.8</v>
      </c>
      <c r="E465" s="64">
        <f t="shared" si="103"/>
        <v>48.006718847093246</v>
      </c>
      <c r="F465" s="141">
        <f t="shared" si="100"/>
        <v>2.7</v>
      </c>
      <c r="G465" s="141">
        <v>3.53</v>
      </c>
      <c r="H465" s="90"/>
      <c r="I465" s="90"/>
      <c r="J465" s="90"/>
      <c r="K465" s="90"/>
      <c r="L465" s="90"/>
      <c r="O465" s="396" t="s">
        <v>367</v>
      </c>
      <c r="P465" s="88">
        <f t="shared" si="101"/>
        <v>2.16</v>
      </c>
      <c r="Q465" s="88">
        <f t="shared" si="101"/>
        <v>2.16</v>
      </c>
      <c r="R465" s="88">
        <f t="shared" si="101"/>
        <v>2.16</v>
      </c>
      <c r="S465" s="88">
        <f t="shared" si="101"/>
        <v>2.16</v>
      </c>
      <c r="T465" s="88">
        <f t="shared" si="101"/>
        <v>2.16</v>
      </c>
    </row>
    <row r="466" spans="1:20" ht="48" customHeight="1">
      <c r="A466" s="396" t="s">
        <v>368</v>
      </c>
      <c r="B466" s="64">
        <f t="shared" si="102"/>
        <v>34.237857326068337</v>
      </c>
      <c r="C466" s="64">
        <v>2.7</v>
      </c>
      <c r="D466" s="85">
        <v>94.8</v>
      </c>
      <c r="E466" s="64">
        <f t="shared" si="103"/>
        <v>57.197446004414836</v>
      </c>
      <c r="F466" s="141">
        <f t="shared" si="100"/>
        <v>2.7</v>
      </c>
      <c r="G466" s="141">
        <v>4.53</v>
      </c>
      <c r="H466" s="90"/>
      <c r="I466" s="90"/>
      <c r="J466" s="90"/>
      <c r="K466" s="90"/>
      <c r="L466" s="90"/>
      <c r="O466" s="396" t="s">
        <v>368</v>
      </c>
      <c r="P466" s="88">
        <f t="shared" si="101"/>
        <v>2.16</v>
      </c>
      <c r="Q466" s="88">
        <f t="shared" si="101"/>
        <v>2.16</v>
      </c>
      <c r="R466" s="88">
        <f t="shared" si="101"/>
        <v>2.16</v>
      </c>
      <c r="S466" s="88">
        <f t="shared" si="101"/>
        <v>2.16</v>
      </c>
      <c r="T466" s="88">
        <f t="shared" si="101"/>
        <v>2.16</v>
      </c>
    </row>
    <row r="467" spans="1:20">
      <c r="H467" s="90"/>
      <c r="I467" s="90"/>
      <c r="J467" s="90"/>
      <c r="K467" s="90"/>
      <c r="L467" s="90"/>
      <c r="P467" s="682" t="s">
        <v>141</v>
      </c>
      <c r="Q467" s="683"/>
      <c r="R467" s="683"/>
      <c r="S467" s="683"/>
      <c r="T467" s="684"/>
    </row>
    <row r="468" spans="1:20" ht="45">
      <c r="A468" s="396" t="s">
        <v>356</v>
      </c>
      <c r="B468" s="64">
        <f t="shared" ref="B468:B473" si="104">L420</f>
        <v>5.0357713042970218</v>
      </c>
      <c r="C468" s="64">
        <f>2.7*2</f>
        <v>5.4</v>
      </c>
      <c r="D468" s="85">
        <v>2.2999999999999998</v>
      </c>
      <c r="E468" s="64">
        <f t="shared" ref="E468:E473" si="105">1/(SQRT((1/L437)^2+(1/(D468*E437)^2)))</f>
        <v>6.2904365361145143</v>
      </c>
      <c r="F468" s="141">
        <f>MIN(B468,C468,E468)</f>
        <v>5.0357713042970218</v>
      </c>
      <c r="G468" s="141">
        <f>2.53*2</f>
        <v>5.0599999999999996</v>
      </c>
      <c r="H468" s="90"/>
      <c r="I468" s="90"/>
      <c r="J468" s="90"/>
      <c r="K468" s="90"/>
      <c r="L468" s="90"/>
      <c r="O468" s="396" t="s">
        <v>356</v>
      </c>
      <c r="P468" s="88">
        <f t="shared" ref="P468:T480" si="106">MIN(P$453*$B468/1.3,$C468/1.25,P$453*$E468/1.3)</f>
        <v>2.324202140444779</v>
      </c>
      <c r="Q468" s="88">
        <f t="shared" si="106"/>
        <v>2.7115691638522423</v>
      </c>
      <c r="R468" s="88">
        <f t="shared" si="106"/>
        <v>3.0989361872597057</v>
      </c>
      <c r="S468" s="88">
        <f t="shared" si="106"/>
        <v>3.4863032106671694</v>
      </c>
      <c r="T468" s="88">
        <f t="shared" si="106"/>
        <v>3.8736702340746318</v>
      </c>
    </row>
    <row r="469" spans="1:20" ht="45">
      <c r="A469" s="396" t="s">
        <v>360</v>
      </c>
      <c r="B469" s="64">
        <f t="shared" si="104"/>
        <v>7.3386078352830051</v>
      </c>
      <c r="C469" s="64">
        <f t="shared" ref="C469:C480" si="107">2.7*2</f>
        <v>5.4</v>
      </c>
      <c r="D469" s="85">
        <v>5.09</v>
      </c>
      <c r="E469" s="64">
        <f t="shared" si="105"/>
        <v>10.34044741465582</v>
      </c>
      <c r="F469" s="141">
        <f t="shared" ref="F469:F480" si="108">MIN(B469,C469,E469)</f>
        <v>5.4</v>
      </c>
      <c r="G469" s="141">
        <f t="shared" ref="G469:G480" si="109">2.53*2</f>
        <v>5.0599999999999996</v>
      </c>
      <c r="H469" s="90"/>
      <c r="I469" s="90"/>
      <c r="J469" s="90"/>
      <c r="K469" s="90"/>
      <c r="L469" s="90"/>
      <c r="O469" s="396" t="s">
        <v>360</v>
      </c>
      <c r="P469" s="88">
        <f t="shared" si="106"/>
        <v>3.3870497701306173</v>
      </c>
      <c r="Q469" s="88">
        <f t="shared" si="106"/>
        <v>3.9515580651523869</v>
      </c>
      <c r="R469" s="88">
        <f t="shared" si="106"/>
        <v>4.32</v>
      </c>
      <c r="S469" s="88">
        <f t="shared" si="106"/>
        <v>4.32</v>
      </c>
      <c r="T469" s="88">
        <f t="shared" si="106"/>
        <v>4.32</v>
      </c>
    </row>
    <row r="470" spans="1:20" ht="45">
      <c r="A470" s="396" t="s">
        <v>357</v>
      </c>
      <c r="B470" s="64">
        <f t="shared" si="104"/>
        <v>10.071542608594044</v>
      </c>
      <c r="C470" s="64">
        <f t="shared" si="107"/>
        <v>5.4</v>
      </c>
      <c r="D470" s="85">
        <v>10.9</v>
      </c>
      <c r="E470" s="64">
        <f t="shared" si="105"/>
        <v>15.542620745026749</v>
      </c>
      <c r="F470" s="141">
        <f t="shared" si="108"/>
        <v>5.4</v>
      </c>
      <c r="G470" s="141">
        <f t="shared" si="109"/>
        <v>5.0599999999999996</v>
      </c>
      <c r="H470" s="90"/>
      <c r="I470" s="90"/>
      <c r="J470" s="90"/>
      <c r="K470" s="90"/>
      <c r="L470" s="90"/>
      <c r="O470" s="396" t="s">
        <v>357</v>
      </c>
      <c r="P470" s="88">
        <f t="shared" si="106"/>
        <v>4.32</v>
      </c>
      <c r="Q470" s="88">
        <f t="shared" si="106"/>
        <v>4.32</v>
      </c>
      <c r="R470" s="88">
        <f t="shared" si="106"/>
        <v>4.32</v>
      </c>
      <c r="S470" s="88">
        <f t="shared" si="106"/>
        <v>4.32</v>
      </c>
      <c r="T470" s="88">
        <f t="shared" si="106"/>
        <v>4.32</v>
      </c>
    </row>
    <row r="471" spans="1:20" ht="45">
      <c r="A471" s="396" t="s">
        <v>359</v>
      </c>
      <c r="B471" s="64">
        <f t="shared" si="104"/>
        <v>12.804477381905082</v>
      </c>
      <c r="C471" s="64">
        <f t="shared" si="107"/>
        <v>5.4</v>
      </c>
      <c r="D471" s="85">
        <v>19.100000000000001</v>
      </c>
      <c r="E471" s="64">
        <f t="shared" si="105"/>
        <v>20.530598646371722</v>
      </c>
      <c r="F471" s="141">
        <f t="shared" si="108"/>
        <v>5.4</v>
      </c>
      <c r="G471" s="141">
        <f t="shared" si="109"/>
        <v>5.0599999999999996</v>
      </c>
      <c r="H471" s="90"/>
      <c r="I471" s="90"/>
      <c r="J471" s="90"/>
      <c r="K471" s="90"/>
      <c r="L471" s="90"/>
      <c r="O471" s="396" t="s">
        <v>359</v>
      </c>
      <c r="P471" s="88">
        <f t="shared" si="106"/>
        <v>4.32</v>
      </c>
      <c r="Q471" s="88">
        <f t="shared" si="106"/>
        <v>4.32</v>
      </c>
      <c r="R471" s="88">
        <f t="shared" si="106"/>
        <v>4.32</v>
      </c>
      <c r="S471" s="88">
        <f t="shared" si="106"/>
        <v>4.32</v>
      </c>
      <c r="T471" s="88">
        <f t="shared" si="106"/>
        <v>4.32</v>
      </c>
    </row>
    <row r="472" spans="1:20" ht="45">
      <c r="A472" s="396" t="s">
        <v>358</v>
      </c>
      <c r="B472" s="64">
        <f t="shared" si="104"/>
        <v>15.537412155216121</v>
      </c>
      <c r="C472" s="64">
        <f t="shared" si="107"/>
        <v>5.4</v>
      </c>
      <c r="D472" s="85">
        <v>29.6</v>
      </c>
      <c r="E472" s="64">
        <f t="shared" si="105"/>
        <v>25.405656567957546</v>
      </c>
      <c r="F472" s="141">
        <f t="shared" si="108"/>
        <v>5.4</v>
      </c>
      <c r="G472" s="141">
        <f t="shared" si="109"/>
        <v>5.0599999999999996</v>
      </c>
      <c r="H472" s="90"/>
      <c r="I472" s="90"/>
      <c r="J472" s="90"/>
      <c r="K472" s="90"/>
      <c r="L472" s="90"/>
      <c r="O472" s="396" t="s">
        <v>358</v>
      </c>
      <c r="P472" s="88">
        <f t="shared" si="106"/>
        <v>4.32</v>
      </c>
      <c r="Q472" s="88">
        <f t="shared" si="106"/>
        <v>4.32</v>
      </c>
      <c r="R472" s="88">
        <f t="shared" si="106"/>
        <v>4.32</v>
      </c>
      <c r="S472" s="88">
        <f t="shared" si="106"/>
        <v>4.32</v>
      </c>
      <c r="T472" s="88">
        <f t="shared" si="106"/>
        <v>4.32</v>
      </c>
    </row>
    <row r="473" spans="1:20" ht="45">
      <c r="A473" s="396" t="s">
        <v>361</v>
      </c>
      <c r="B473" s="64">
        <f t="shared" si="104"/>
        <v>18.270346928527161</v>
      </c>
      <c r="C473" s="64">
        <f t="shared" si="107"/>
        <v>5.4</v>
      </c>
      <c r="D473" s="85">
        <v>42.6</v>
      </c>
      <c r="E473" s="64">
        <f t="shared" si="105"/>
        <v>30.228608043850425</v>
      </c>
      <c r="F473" s="141">
        <f t="shared" si="108"/>
        <v>5.4</v>
      </c>
      <c r="G473" s="141">
        <f t="shared" si="109"/>
        <v>5.0599999999999996</v>
      </c>
      <c r="H473" s="90"/>
      <c r="I473" s="90"/>
      <c r="J473" s="90"/>
      <c r="K473" s="90"/>
      <c r="L473" s="90"/>
      <c r="O473" s="396" t="s">
        <v>361</v>
      </c>
      <c r="P473" s="88">
        <f t="shared" si="106"/>
        <v>4.32</v>
      </c>
      <c r="Q473" s="88">
        <f t="shared" si="106"/>
        <v>4.32</v>
      </c>
      <c r="R473" s="88">
        <f t="shared" si="106"/>
        <v>4.32</v>
      </c>
      <c r="S473" s="88">
        <f t="shared" si="106"/>
        <v>4.32</v>
      </c>
      <c r="T473" s="88">
        <f t="shared" si="106"/>
        <v>4.32</v>
      </c>
    </row>
    <row r="474" spans="1:20" ht="45">
      <c r="A474" s="408" t="s">
        <v>362</v>
      </c>
      <c r="B474" s="64">
        <f t="shared" ref="B474:B480" si="110">L426</f>
        <v>17.137968830935986</v>
      </c>
      <c r="C474" s="64">
        <f t="shared" si="107"/>
        <v>5.4</v>
      </c>
      <c r="D474" s="85">
        <v>29.6</v>
      </c>
      <c r="E474" s="64">
        <f t="shared" ref="E474:E480" si="111">1/(SQRT((1/L443)^2+(1/(D474*E443)^2)))</f>
        <v>25.405656567957546</v>
      </c>
      <c r="F474" s="141">
        <f>MIN(B474,C474,E474)</f>
        <v>5.4</v>
      </c>
      <c r="G474" s="141">
        <f t="shared" si="109"/>
        <v>5.0599999999999996</v>
      </c>
      <c r="H474" s="90"/>
      <c r="I474" s="90"/>
      <c r="J474" s="90"/>
      <c r="K474" s="90"/>
      <c r="L474" s="90"/>
      <c r="O474" s="408" t="s">
        <v>362</v>
      </c>
      <c r="P474" s="88">
        <f t="shared" si="106"/>
        <v>4.32</v>
      </c>
      <c r="Q474" s="88">
        <f t="shared" si="106"/>
        <v>4.32</v>
      </c>
      <c r="R474" s="88">
        <f t="shared" si="106"/>
        <v>4.32</v>
      </c>
      <c r="S474" s="88">
        <f t="shared" si="106"/>
        <v>4.32</v>
      </c>
      <c r="T474" s="88">
        <f t="shared" si="106"/>
        <v>4.32</v>
      </c>
    </row>
    <row r="475" spans="1:20" ht="45">
      <c r="A475" s="408" t="s">
        <v>363</v>
      </c>
      <c r="B475" s="64">
        <f t="shared" si="110"/>
        <v>19.870903604247026</v>
      </c>
      <c r="C475" s="64">
        <f t="shared" si="107"/>
        <v>5.4</v>
      </c>
      <c r="D475" s="85">
        <v>42.6</v>
      </c>
      <c r="E475" s="64">
        <f t="shared" si="111"/>
        <v>30.228608043850425</v>
      </c>
      <c r="F475" s="141">
        <f>MIN(B475,C475,E475)</f>
        <v>5.4</v>
      </c>
      <c r="G475" s="141">
        <f t="shared" si="109"/>
        <v>5.0599999999999996</v>
      </c>
      <c r="H475" s="90"/>
      <c r="I475" s="90"/>
      <c r="J475" s="90"/>
      <c r="K475" s="90"/>
      <c r="L475" s="90"/>
      <c r="O475" s="408" t="s">
        <v>363</v>
      </c>
      <c r="P475" s="88">
        <f t="shared" si="106"/>
        <v>4.32</v>
      </c>
      <c r="Q475" s="88">
        <f t="shared" si="106"/>
        <v>4.32</v>
      </c>
      <c r="R475" s="88">
        <f t="shared" si="106"/>
        <v>4.32</v>
      </c>
      <c r="S475" s="88">
        <f t="shared" si="106"/>
        <v>4.32</v>
      </c>
      <c r="T475" s="88">
        <f t="shared" si="106"/>
        <v>4.32</v>
      </c>
    </row>
    <row r="476" spans="1:20" ht="45">
      <c r="A476" s="396" t="s">
        <v>364</v>
      </c>
      <c r="B476" s="64">
        <f t="shared" si="110"/>
        <v>12.374379139580027</v>
      </c>
      <c r="C476" s="64">
        <f t="shared" si="107"/>
        <v>5.4</v>
      </c>
      <c r="D476" s="85">
        <v>27.6</v>
      </c>
      <c r="E476" s="64">
        <f t="shared" si="111"/>
        <v>19.761222649658258</v>
      </c>
      <c r="F476" s="141">
        <f t="shared" si="108"/>
        <v>5.4</v>
      </c>
      <c r="G476" s="141">
        <f t="shared" si="109"/>
        <v>5.0599999999999996</v>
      </c>
      <c r="H476" s="90"/>
      <c r="I476" s="90"/>
      <c r="J476" s="90"/>
      <c r="K476" s="90"/>
      <c r="L476" s="90"/>
      <c r="O476" s="396" t="s">
        <v>364</v>
      </c>
      <c r="P476" s="88">
        <f t="shared" si="106"/>
        <v>4.32</v>
      </c>
      <c r="Q476" s="88">
        <f t="shared" si="106"/>
        <v>4.32</v>
      </c>
      <c r="R476" s="88">
        <f t="shared" si="106"/>
        <v>4.32</v>
      </c>
      <c r="S476" s="88">
        <f t="shared" si="106"/>
        <v>4.32</v>
      </c>
      <c r="T476" s="88">
        <f t="shared" si="106"/>
        <v>4.32</v>
      </c>
    </row>
    <row r="477" spans="1:20" ht="45" customHeight="1">
      <c r="A477" s="396" t="s">
        <v>365</v>
      </c>
      <c r="B477" s="64">
        <f t="shared" si="110"/>
        <v>17.840248686202102</v>
      </c>
      <c r="C477" s="64">
        <f t="shared" si="107"/>
        <v>5.4</v>
      </c>
      <c r="D477" s="85">
        <v>56.5</v>
      </c>
      <c r="E477" s="64">
        <f t="shared" si="111"/>
        <v>29.26363190050586</v>
      </c>
      <c r="F477" s="141">
        <f t="shared" si="108"/>
        <v>5.4</v>
      </c>
      <c r="G477" s="141">
        <f t="shared" si="109"/>
        <v>5.0599999999999996</v>
      </c>
      <c r="H477" s="90"/>
      <c r="I477" s="90"/>
      <c r="J477" s="90"/>
      <c r="K477" s="90"/>
      <c r="L477" s="90"/>
      <c r="O477" s="396" t="s">
        <v>365</v>
      </c>
      <c r="P477" s="88">
        <f t="shared" si="106"/>
        <v>4.32</v>
      </c>
      <c r="Q477" s="88">
        <f t="shared" si="106"/>
        <v>4.32</v>
      </c>
      <c r="R477" s="88">
        <f t="shared" si="106"/>
        <v>4.32</v>
      </c>
      <c r="S477" s="88">
        <f t="shared" si="106"/>
        <v>4.32</v>
      </c>
      <c r="T477" s="88">
        <f t="shared" si="106"/>
        <v>4.32</v>
      </c>
    </row>
    <row r="478" spans="1:20" ht="45" customHeight="1">
      <c r="A478" s="396" t="s">
        <v>366</v>
      </c>
      <c r="B478" s="64">
        <f t="shared" si="110"/>
        <v>23.306118232824183</v>
      </c>
      <c r="C478" s="64">
        <f t="shared" si="107"/>
        <v>5.4</v>
      </c>
      <c r="D478" s="85">
        <v>94.8</v>
      </c>
      <c r="E478" s="64">
        <f t="shared" si="111"/>
        <v>38.73832454314239</v>
      </c>
      <c r="F478" s="141">
        <f t="shared" si="108"/>
        <v>5.4</v>
      </c>
      <c r="G478" s="141">
        <f t="shared" si="109"/>
        <v>5.0599999999999996</v>
      </c>
      <c r="O478" s="396" t="s">
        <v>366</v>
      </c>
      <c r="P478" s="88">
        <f t="shared" si="106"/>
        <v>4.32</v>
      </c>
      <c r="Q478" s="88">
        <f t="shared" si="106"/>
        <v>4.32</v>
      </c>
      <c r="R478" s="88">
        <f t="shared" si="106"/>
        <v>4.32</v>
      </c>
      <c r="S478" s="88">
        <f t="shared" si="106"/>
        <v>4.32</v>
      </c>
      <c r="T478" s="88">
        <f t="shared" si="106"/>
        <v>4.32</v>
      </c>
    </row>
    <row r="479" spans="1:20" ht="45" customHeight="1">
      <c r="A479" s="396" t="s">
        <v>367</v>
      </c>
      <c r="B479" s="64">
        <f t="shared" si="110"/>
        <v>28.771987779446256</v>
      </c>
      <c r="C479" s="64">
        <f t="shared" si="107"/>
        <v>5.4</v>
      </c>
      <c r="D479" s="85">
        <v>94.8</v>
      </c>
      <c r="E479" s="64">
        <f t="shared" si="111"/>
        <v>48.006718847093246</v>
      </c>
      <c r="F479" s="141">
        <f t="shared" si="108"/>
        <v>5.4</v>
      </c>
      <c r="G479" s="141">
        <f t="shared" si="109"/>
        <v>5.0599999999999996</v>
      </c>
      <c r="O479" s="396" t="s">
        <v>367</v>
      </c>
      <c r="P479" s="88">
        <f t="shared" si="106"/>
        <v>4.32</v>
      </c>
      <c r="Q479" s="88">
        <f t="shared" si="106"/>
        <v>4.32</v>
      </c>
      <c r="R479" s="88">
        <f t="shared" si="106"/>
        <v>4.32</v>
      </c>
      <c r="S479" s="88">
        <f t="shared" si="106"/>
        <v>4.32</v>
      </c>
      <c r="T479" s="88">
        <f t="shared" si="106"/>
        <v>4.32</v>
      </c>
    </row>
    <row r="480" spans="1:20" ht="45" customHeight="1">
      <c r="A480" s="396" t="s">
        <v>368</v>
      </c>
      <c r="B480" s="64">
        <f t="shared" si="110"/>
        <v>34.237857326068337</v>
      </c>
      <c r="C480" s="64">
        <f t="shared" si="107"/>
        <v>5.4</v>
      </c>
      <c r="D480" s="85">
        <v>94.8</v>
      </c>
      <c r="E480" s="64">
        <f t="shared" si="111"/>
        <v>57.197446004414836</v>
      </c>
      <c r="F480" s="141">
        <f t="shared" si="108"/>
        <v>5.4</v>
      </c>
      <c r="G480" s="141">
        <f t="shared" si="109"/>
        <v>5.0599999999999996</v>
      </c>
      <c r="O480" s="396" t="s">
        <v>368</v>
      </c>
      <c r="P480" s="88">
        <f t="shared" si="106"/>
        <v>4.32</v>
      </c>
      <c r="Q480" s="88">
        <f t="shared" si="106"/>
        <v>4.32</v>
      </c>
      <c r="R480" s="88">
        <f t="shared" si="106"/>
        <v>4.32</v>
      </c>
      <c r="S480" s="88">
        <f t="shared" si="106"/>
        <v>4.32</v>
      </c>
      <c r="T480" s="88">
        <f t="shared" si="106"/>
        <v>4.32</v>
      </c>
    </row>
    <row r="481" spans="1:19">
      <c r="A481" s="3"/>
      <c r="D481" s="100"/>
    </row>
    <row r="482" spans="1:19" ht="18.75">
      <c r="A482" s="56" t="s">
        <v>84</v>
      </c>
      <c r="D482" s="100"/>
    </row>
    <row r="483" spans="1:19">
      <c r="A483" s="21" t="s">
        <v>37</v>
      </c>
      <c r="B483" s="22" t="s">
        <v>25</v>
      </c>
      <c r="D483" s="100"/>
    </row>
    <row r="484" spans="1:19" ht="18">
      <c r="A484" s="23" t="s">
        <v>39</v>
      </c>
      <c r="B484" s="24">
        <f>VLOOKUP(B483,$V$7:$W$16,2,FALSE)</f>
        <v>385</v>
      </c>
      <c r="C484" t="s">
        <v>40</v>
      </c>
      <c r="P484"/>
      <c r="Q484"/>
      <c r="R484"/>
      <c r="S484"/>
    </row>
    <row r="485" spans="1:19" ht="18">
      <c r="A485" s="23" t="s">
        <v>62</v>
      </c>
      <c r="B485" s="90">
        <v>35000</v>
      </c>
      <c r="C485" s="90">
        <v>20000</v>
      </c>
      <c r="D485" t="s">
        <v>63</v>
      </c>
      <c r="P485"/>
      <c r="Q485"/>
      <c r="R485"/>
      <c r="S485"/>
    </row>
    <row r="486" spans="1:19">
      <c r="A486" s="23" t="s">
        <v>64</v>
      </c>
      <c r="B486" s="90">
        <v>10</v>
      </c>
      <c r="C486" s="90">
        <v>8</v>
      </c>
      <c r="D486" t="s">
        <v>65</v>
      </c>
      <c r="P486"/>
      <c r="Q486"/>
      <c r="R486"/>
      <c r="S486"/>
    </row>
    <row r="487" spans="1:19" ht="18">
      <c r="A487" s="23" t="s">
        <v>66</v>
      </c>
      <c r="B487" s="101">
        <f>0.033*$B$484*B486^-0.3</f>
        <v>6.3675838032344938</v>
      </c>
      <c r="C487" s="101">
        <f>0.033*$B$484*C486^-0.3</f>
        <v>6.808440920761802</v>
      </c>
      <c r="D487" t="s">
        <v>67</v>
      </c>
      <c r="P487"/>
      <c r="Q487"/>
      <c r="R487"/>
      <c r="S487"/>
    </row>
    <row r="488" spans="1:19" ht="18">
      <c r="A488" s="23" t="s">
        <v>68</v>
      </c>
      <c r="B488" s="102">
        <f>0.082*B486^-0.3*$B$484</f>
        <v>15.822480965612984</v>
      </c>
      <c r="C488" s="102">
        <f>0.082*C486^-0.3*$B$484</f>
        <v>16.917944106135387</v>
      </c>
      <c r="D488" t="s">
        <v>67</v>
      </c>
      <c r="P488"/>
      <c r="Q488"/>
      <c r="R488"/>
      <c r="S488"/>
    </row>
    <row r="490" spans="1:19">
      <c r="A490" s="3"/>
      <c r="D490" s="100"/>
      <c r="P490"/>
      <c r="Q490"/>
      <c r="R490"/>
      <c r="S490"/>
    </row>
    <row r="491" spans="1:19">
      <c r="A491" s="3"/>
      <c r="P491"/>
      <c r="Q491"/>
      <c r="R491"/>
      <c r="S491"/>
    </row>
    <row r="492" spans="1:19" ht="18">
      <c r="A492" s="4" t="s">
        <v>2</v>
      </c>
      <c r="B492" s="5" t="s">
        <v>43</v>
      </c>
      <c r="C492" s="5" t="s">
        <v>9</v>
      </c>
      <c r="D492" s="5" t="s">
        <v>44</v>
      </c>
      <c r="E492" s="5" t="s">
        <v>59</v>
      </c>
      <c r="F492" s="180" t="s">
        <v>60</v>
      </c>
      <c r="G492" s="5" t="s">
        <v>61</v>
      </c>
      <c r="H492" s="165"/>
      <c r="I492" s="165"/>
      <c r="J492" s="165"/>
      <c r="K492" s="165"/>
      <c r="P492"/>
      <c r="Q492"/>
      <c r="R492"/>
      <c r="S492"/>
    </row>
    <row r="493" spans="1:19">
      <c r="A493" s="8"/>
      <c r="B493" s="9" t="s">
        <v>19</v>
      </c>
      <c r="C493" s="9" t="s">
        <v>18</v>
      </c>
      <c r="D493" s="9" t="s">
        <v>18</v>
      </c>
      <c r="E493" s="9" t="s">
        <v>17</v>
      </c>
      <c r="F493" s="182" t="s">
        <v>17</v>
      </c>
      <c r="G493" s="62" t="s">
        <v>17</v>
      </c>
      <c r="H493" s="165"/>
      <c r="I493" s="165"/>
      <c r="J493" s="165"/>
      <c r="K493" s="165"/>
      <c r="P493"/>
      <c r="Q493"/>
      <c r="R493"/>
      <c r="S493"/>
    </row>
    <row r="494" spans="1:19" hidden="1">
      <c r="A494" s="14" t="s">
        <v>29</v>
      </c>
      <c r="B494" s="66">
        <v>1</v>
      </c>
      <c r="C494" s="66">
        <v>8</v>
      </c>
      <c r="D494" s="34">
        <v>137</v>
      </c>
      <c r="E494" s="65">
        <f>(0.3*0.52*SQRT(C494)*D494^0.9*$B$484^0.8)/1000</f>
        <v>4.3260017012857244</v>
      </c>
      <c r="F494" s="426">
        <f>MIN($C$487*$C$486*D494/1000,(2.3*SQRT($C$485*$C$486*$C$487))/1000+(E494/4),$C$487*$C$486*D494/1000*(SQRT(2+4*$C$485/($C$487*$C$486*D494^2))-1)+E494/4)</f>
        <v>3.482055443506348</v>
      </c>
      <c r="G494" s="65" t="e">
        <f>B494*F494+#REF!*K494</f>
        <v>#REF!</v>
      </c>
      <c r="H494" s="122">
        <v>8</v>
      </c>
      <c r="I494" s="314">
        <f>160-10</f>
        <v>150</v>
      </c>
      <c r="J494" s="123">
        <f>0.3*0.52*SQRT(H494)*I494^0.9*$B$484^0.8/1000</f>
        <v>4.6937538287484974</v>
      </c>
      <c r="K494" s="123">
        <f>MIN($C$487*$C$486*I494/1000,(2.3*SQRT($C$485*$C$486*$C$487))/1000+(J494/4),$C$487*$C$486*I494/1000*(SQRT(2+4*$C$485/($C$487*$C$486*I494^2))-1)+J494/4)</f>
        <v>3.573993475372041</v>
      </c>
      <c r="P494"/>
      <c r="Q494"/>
      <c r="R494"/>
      <c r="S494"/>
    </row>
    <row r="495" spans="1:19" hidden="1">
      <c r="A495" s="44" t="s">
        <v>30</v>
      </c>
      <c r="B495" s="66">
        <v>1</v>
      </c>
      <c r="C495" s="66">
        <v>8</v>
      </c>
      <c r="D495" s="34">
        <v>137</v>
      </c>
      <c r="E495" s="65">
        <f t="shared" ref="E495:E501" si="112">(0.3*0.52*SQRT(C495)*D495^0.9*$B$484^0.8)/1000</f>
        <v>4.3260017012857244</v>
      </c>
      <c r="F495" s="426">
        <f>MIN($C$487*$C$486*D495/1000,(2.3*SQRT($C$485*$C$486*$C$487))/1000+(E495/4),$C$487*$C$486*D495/1000*(SQRT(2+4*$C$485/($C$487*$C$486*D495^2))-1)+E495/4)</f>
        <v>3.482055443506348</v>
      </c>
      <c r="G495" s="65" t="e">
        <f>B495*F495+#REF!*K495</f>
        <v>#REF!</v>
      </c>
      <c r="H495" s="122">
        <v>8</v>
      </c>
      <c r="I495" s="314">
        <f>160-10</f>
        <v>150</v>
      </c>
      <c r="J495" s="123">
        <f t="shared" ref="J495:J501" si="113">0.3*0.52*SQRT(H495)*I495^0.9*$B$484^0.8/1000</f>
        <v>4.6937538287484974</v>
      </c>
      <c r="K495" s="123">
        <f>MIN($C$487*$C$486*I495/1000,(2.3*SQRT($C$485*$C$486*$C$487))/1000+(J495/4),$C$487*$C$486*I495/1000*(SQRT(2+4*$C$485/($C$487*$C$486*I495^2))-1)+J495/4)</f>
        <v>3.573993475372041</v>
      </c>
      <c r="P495"/>
      <c r="Q495"/>
      <c r="R495"/>
      <c r="S495"/>
    </row>
    <row r="496" spans="1:19" hidden="1">
      <c r="A496" s="14" t="s">
        <v>31</v>
      </c>
      <c r="B496" s="66">
        <v>1</v>
      </c>
      <c r="C496" s="66">
        <v>8</v>
      </c>
      <c r="D496" s="34">
        <v>137</v>
      </c>
      <c r="E496" s="65">
        <f t="shared" si="112"/>
        <v>4.3260017012857244</v>
      </c>
      <c r="F496" s="426">
        <f>MIN($C$487*$C$486*D496/1000,(2.3*SQRT($C$485*$C$486*$C$487))/1000+(E496/4),$C$487*$C$486*D496/1000*(SQRT(2+4*$C$485/($C$487*$C$486*D496^2))-1)+E496/4)</f>
        <v>3.482055443506348</v>
      </c>
      <c r="G496" s="65" t="e">
        <f>B496*F496+#REF!*K496</f>
        <v>#REF!</v>
      </c>
      <c r="H496" s="122">
        <v>8</v>
      </c>
      <c r="I496" s="314">
        <f>160-10</f>
        <v>150</v>
      </c>
      <c r="J496" s="123">
        <f t="shared" si="113"/>
        <v>4.6937538287484974</v>
      </c>
      <c r="K496" s="123">
        <f>MIN($C$487*$C$486*I496/1000,(2.3*SQRT($C$485*$C$486*$C$487))/1000+(J496/4),$C$487*$C$486*I496/1000*(SQRT(2+4*$C$485/($C$487*$C$486*I496^2))-1)+J496/4)</f>
        <v>3.573993475372041</v>
      </c>
      <c r="P496"/>
      <c r="Q496"/>
      <c r="R496"/>
      <c r="S496"/>
    </row>
    <row r="497" spans="1:19" hidden="1">
      <c r="A497" s="44" t="s">
        <v>32</v>
      </c>
      <c r="B497" s="66">
        <v>1</v>
      </c>
      <c r="C497" s="66">
        <v>8</v>
      </c>
      <c r="D497" s="34">
        <v>137</v>
      </c>
      <c r="E497" s="65">
        <f t="shared" si="112"/>
        <v>4.3260017012857244</v>
      </c>
      <c r="F497" s="426">
        <f>MIN($C$487*$C$486*D497/1000,(2.3*SQRT($C$485*$C$486*$C$487))/1000+(E497/4),$C$487*$C$486*D497/1000*(SQRT(2+4*$C$485/($C$487*$C$486*D497^2))-1)+E497/4)</f>
        <v>3.482055443506348</v>
      </c>
      <c r="G497" s="65" t="e">
        <f>B497*F497+#REF!*K497</f>
        <v>#REF!</v>
      </c>
      <c r="H497" s="122">
        <v>8</v>
      </c>
      <c r="I497" s="314">
        <f>160-10</f>
        <v>150</v>
      </c>
      <c r="J497" s="123">
        <f t="shared" si="113"/>
        <v>4.6937538287484974</v>
      </c>
      <c r="K497" s="123">
        <f>MIN($C$487*$C$486*I497/1000,(2.3*SQRT($C$485*$C$486*$C$487))/1000+(J497/4),$C$487*$C$486*I497/1000*(SQRT(2+4*$C$485/($C$487*$C$486*I497^2))-1)+J497/4)</f>
        <v>3.573993475372041</v>
      </c>
      <c r="P497"/>
      <c r="Q497"/>
      <c r="R497"/>
      <c r="S497"/>
    </row>
    <row r="498" spans="1:19" hidden="1">
      <c r="A498" s="14" t="s">
        <v>33</v>
      </c>
      <c r="B498" s="66">
        <v>1</v>
      </c>
      <c r="C498" s="66">
        <v>10</v>
      </c>
      <c r="D498" s="34">
        <v>175</v>
      </c>
      <c r="E498" s="65">
        <f t="shared" si="112"/>
        <v>6.0287520940422592</v>
      </c>
      <c r="F498" s="426">
        <f>MIN($B$487*$B$486*D498/1000,(2.3*SQRT($B$485*$B$486*$B$487))/1000+(E498/4),$B$487*$B$486*D498/1000*(SQRT(2+4*$B$485/($B$487*$B$486*D498^2))-1)+E498/4)</f>
        <v>4.9407840119298001</v>
      </c>
      <c r="G498" s="65" t="e">
        <f>B498*F498+#REF!*K498</f>
        <v>#REF!</v>
      </c>
      <c r="H498" s="122">
        <v>10</v>
      </c>
      <c r="I498" s="314">
        <v>190</v>
      </c>
      <c r="J498" s="123">
        <f t="shared" si="113"/>
        <v>6.4918940417166029</v>
      </c>
      <c r="K498" s="123">
        <f>MIN($B$487*$B$486*I498/1000,(2.3*SQRT($B$485*$B$486*$B$487))/1000+(J498/4),$B$487*$B$486*I498/1000*(SQRT(2+4*$B$485/($B$487*$B$486*I498^2))-1)+J498/4)</f>
        <v>5.0565694988483862</v>
      </c>
      <c r="P498"/>
      <c r="Q498"/>
      <c r="R498"/>
      <c r="S498"/>
    </row>
    <row r="499" spans="1:19" hidden="1">
      <c r="A499" s="44" t="s">
        <v>34</v>
      </c>
      <c r="B499" s="66">
        <v>1</v>
      </c>
      <c r="C499" s="66">
        <v>10</v>
      </c>
      <c r="D499" s="34">
        <v>175</v>
      </c>
      <c r="E499" s="65">
        <f t="shared" si="112"/>
        <v>6.0287520940422592</v>
      </c>
      <c r="F499" s="426">
        <f>MIN($B$487*$B$486*D499/1000,(2.3*SQRT($B$485*$B$486*$B$487))/1000+(E499/4),$B$487*$B$486*D499/1000*(SQRT(2+4*$B$485/($B$487*$B$486*D499^2))-1)+E499/4)</f>
        <v>4.9407840119298001</v>
      </c>
      <c r="G499" s="65" t="e">
        <f>B499*F499+#REF!*K499</f>
        <v>#REF!</v>
      </c>
      <c r="H499" s="122">
        <v>10</v>
      </c>
      <c r="I499" s="314">
        <v>190</v>
      </c>
      <c r="J499" s="123">
        <f t="shared" si="113"/>
        <v>6.4918940417166029</v>
      </c>
      <c r="K499" s="123">
        <f>MIN($B$487*$B$486*I499/1000,(2.3*SQRT($B$485*$B$486*$B$487))/1000+(J499/4),$B$487*$B$486*I499/1000*(SQRT(2+4*$B$485/($B$487*$B$486*I499^2))-1)+J499/4)</f>
        <v>5.0565694988483862</v>
      </c>
      <c r="P499"/>
      <c r="Q499"/>
      <c r="R499"/>
      <c r="S499"/>
    </row>
    <row r="500" spans="1:19" hidden="1">
      <c r="A500" s="44" t="s">
        <v>35</v>
      </c>
      <c r="B500" s="66">
        <v>1</v>
      </c>
      <c r="C500" s="66">
        <v>10</v>
      </c>
      <c r="D500" s="34">
        <v>175</v>
      </c>
      <c r="E500" s="65">
        <f t="shared" si="112"/>
        <v>6.0287520940422592</v>
      </c>
      <c r="F500" s="426">
        <f>MIN($B$487*$B$486*D500/1000,(2.3*SQRT($B$485*$B$486*$B$487))/1000+(E500/4),$B$487*$B$486*D500/1000*(SQRT(2+4*$B$485/($B$487*$B$486*D500^2))-1)+E500/4)</f>
        <v>4.9407840119298001</v>
      </c>
      <c r="G500" s="65" t="e">
        <f>B500*F500+#REF!*K500</f>
        <v>#REF!</v>
      </c>
      <c r="H500" s="122">
        <v>10</v>
      </c>
      <c r="I500" s="314">
        <v>190</v>
      </c>
      <c r="J500" s="123">
        <f t="shared" si="113"/>
        <v>6.4918940417166029</v>
      </c>
      <c r="K500" s="123">
        <f>MIN($B$487*$B$486*I500/1000,(2.3*SQRT($B$485*$B$486*$B$487))/1000+(J500/4),$B$487*$B$486*I500/1000*(SQRT(2+4*$B$485/($B$487*$B$486*I500^2))-1)+J500/4)</f>
        <v>5.0565694988483862</v>
      </c>
      <c r="P500"/>
      <c r="Q500"/>
      <c r="R500"/>
      <c r="S500"/>
    </row>
    <row r="501" spans="1:19" hidden="1">
      <c r="A501" s="14" t="s">
        <v>36</v>
      </c>
      <c r="B501" s="66">
        <v>1</v>
      </c>
      <c r="C501" s="66">
        <v>10</v>
      </c>
      <c r="D501" s="34">
        <v>175</v>
      </c>
      <c r="E501" s="65">
        <f t="shared" si="112"/>
        <v>6.0287520940422592</v>
      </c>
      <c r="F501" s="426">
        <f>MIN($B$487*$B$486*D501/1000,(2.3*SQRT($B$485*$B$486*$B$487))/1000+(E501/4),$B$487*$B$486*D501/1000*(SQRT(2+4*$B$485/($B$487*$B$486*D501^2))-1)+E501/4)</f>
        <v>4.9407840119298001</v>
      </c>
      <c r="G501" s="65" t="e">
        <f>B501*F501+#REF!*K501</f>
        <v>#REF!</v>
      </c>
      <c r="H501" s="122">
        <v>10</v>
      </c>
      <c r="I501" s="314">
        <v>190</v>
      </c>
      <c r="J501" s="123">
        <f t="shared" si="113"/>
        <v>6.4918940417166029</v>
      </c>
      <c r="K501" s="123">
        <f>MIN($B$487*$B$486*I501/1000,(2.3*SQRT($B$485*$B$486*$B$487))/1000+(J501/4),$B$487*$B$486*I501/1000*(SQRT(2+4*$B$485/($B$487*$B$486*I501^2))-1)+J501/4)</f>
        <v>5.0565694988483862</v>
      </c>
      <c r="P501"/>
      <c r="Q501"/>
      <c r="R501"/>
      <c r="S501"/>
    </row>
    <row r="502" spans="1:19" ht="30">
      <c r="A502" s="424" t="s">
        <v>377</v>
      </c>
      <c r="B502" s="66">
        <v>10</v>
      </c>
      <c r="C502" s="66">
        <v>8</v>
      </c>
      <c r="D502" s="34">
        <v>150</v>
      </c>
      <c r="E502" s="65">
        <f t="shared" ref="E502:E507" si="114">($E$508*0.52*SQRT(C502)*D502^0.9*$B$484^0.8)/1000</f>
        <v>4.6937538287484974</v>
      </c>
      <c r="F502" s="426">
        <f>MIN($C$487*$C$486*D502/1000,(2.3*SQRT($C$485*$C$486*$C$487))/1000+(E502/4),$C$487*$C$486*D502/1000*(SQRT(2+4*$C$485/($C$487*$C$486*D502^2))-1)+E502/4)</f>
        <v>3.573993475372041</v>
      </c>
      <c r="G502" s="65">
        <f t="shared" ref="G502:G507" si="115">B502^0.9*F502</f>
        <v>28.389239282083743</v>
      </c>
      <c r="H502" s="122"/>
      <c r="I502" s="314"/>
      <c r="J502" s="123"/>
      <c r="K502" s="123"/>
      <c r="P502"/>
      <c r="Q502"/>
      <c r="R502"/>
      <c r="S502"/>
    </row>
    <row r="503" spans="1:19" ht="30">
      <c r="A503" s="342" t="s">
        <v>379</v>
      </c>
      <c r="B503" s="66">
        <v>10</v>
      </c>
      <c r="C503" s="66">
        <v>8</v>
      </c>
      <c r="D503" s="34">
        <v>230</v>
      </c>
      <c r="E503" s="65">
        <f t="shared" si="114"/>
        <v>6.8959360897190116</v>
      </c>
      <c r="F503" s="426">
        <f>MIN($C$487*$C$486*D503/1000,(2.3*SQRT($C$485*$C$486*$C$487))/1000+(E503/4),$C$487*$C$486*D503/1000*(SQRT(2+4*$C$485/($C$487*$C$486*D503^2))-1)+E503/4)</f>
        <v>4.1245390406146694</v>
      </c>
      <c r="G503" s="65">
        <f t="shared" si="115"/>
        <v>32.762378151828329</v>
      </c>
      <c r="H503" s="122"/>
      <c r="I503" s="314"/>
      <c r="J503" s="123"/>
      <c r="K503" s="123"/>
      <c r="P503"/>
      <c r="Q503"/>
      <c r="R503"/>
      <c r="S503"/>
    </row>
    <row r="504" spans="1:19" ht="30">
      <c r="A504" s="342" t="s">
        <v>380</v>
      </c>
      <c r="B504" s="66">
        <v>16</v>
      </c>
      <c r="C504" s="66">
        <v>8</v>
      </c>
      <c r="D504" s="34">
        <v>150</v>
      </c>
      <c r="E504" s="65">
        <f t="shared" si="114"/>
        <v>4.6937538287484974</v>
      </c>
      <c r="F504" s="426">
        <f>MIN($C$487*$C$486*D504/1000,(2.3*SQRT($C$485*$C$486*$C$487))/1000+(E504/4),$C$487*$C$486*D504/1000*(SQRT(2+4*$C$485/($C$487*$C$486*D504^2))-1)+E504/4)</f>
        <v>3.573993475372041</v>
      </c>
      <c r="G504" s="65">
        <f t="shared" si="115"/>
        <v>43.337288953771797</v>
      </c>
      <c r="H504" s="122"/>
      <c r="I504" s="314"/>
      <c r="J504" s="123"/>
      <c r="K504" s="123"/>
      <c r="P504"/>
      <c r="Q504"/>
      <c r="R504"/>
      <c r="S504"/>
    </row>
    <row r="505" spans="1:19" ht="30">
      <c r="A505" s="342" t="s">
        <v>381</v>
      </c>
      <c r="B505" s="66">
        <v>16</v>
      </c>
      <c r="C505" s="66">
        <v>8</v>
      </c>
      <c r="D505" s="34">
        <v>230</v>
      </c>
      <c r="E505" s="65">
        <f t="shared" si="114"/>
        <v>6.8959360897190116</v>
      </c>
      <c r="F505" s="426">
        <f>MIN($C$487*$C$486*D505/1000,(2.3*SQRT($C$485*$C$486*$C$487))/1000+(E505/4),$C$487*$C$486*D505/1000*(SQRT(2+4*$C$485/($C$487*$C$486*D505^2))-1)+E505/4)</f>
        <v>4.1245390406146694</v>
      </c>
      <c r="G505" s="65">
        <f t="shared" si="115"/>
        <v>50.013057224628461</v>
      </c>
      <c r="H505" s="122"/>
      <c r="I505" s="314"/>
      <c r="J505" s="123"/>
      <c r="K505" s="123"/>
      <c r="P505"/>
      <c r="Q505"/>
      <c r="R505"/>
      <c r="S505"/>
    </row>
    <row r="506" spans="1:19" ht="30">
      <c r="A506" s="342" t="s">
        <v>383</v>
      </c>
      <c r="B506" s="66">
        <v>16</v>
      </c>
      <c r="C506" s="66">
        <v>10</v>
      </c>
      <c r="D506" s="34">
        <v>190</v>
      </c>
      <c r="E506" s="65">
        <f t="shared" si="114"/>
        <v>6.4918940417166029</v>
      </c>
      <c r="F506" s="426">
        <f>MIN($B$487*$B$486*D506/1000,(2.3*SQRT($B$485*$B$486*$B$487))/1000+(E506/4),$B$487*$B$486*D506/1000*(SQRT(2+4*$B$485/($B$487*$B$486*D506^2))-1)+E506/4)</f>
        <v>5.0565694988483862</v>
      </c>
      <c r="G506" s="65">
        <f t="shared" si="115"/>
        <v>61.314609272925438</v>
      </c>
      <c r="H506" s="122"/>
      <c r="I506" s="314"/>
      <c r="J506" s="123"/>
      <c r="K506" s="123"/>
      <c r="P506"/>
      <c r="Q506"/>
      <c r="R506"/>
      <c r="S506"/>
    </row>
    <row r="507" spans="1:19" ht="30">
      <c r="A507" s="342" t="s">
        <v>382</v>
      </c>
      <c r="B507" s="66">
        <v>25</v>
      </c>
      <c r="C507" s="66">
        <v>10</v>
      </c>
      <c r="D507" s="34">
        <v>190</v>
      </c>
      <c r="E507" s="65">
        <f t="shared" si="114"/>
        <v>6.4918940417166029</v>
      </c>
      <c r="F507" s="426">
        <f>MIN($B$487*$B$486*D507/1000,(2.3*SQRT($B$485*$B$486*$B$487))/1000+(E507/4),$B$487*$B$486*D507/1000*(SQRT(2+4*$B$485/($B$487*$B$486*D507^2))-1)+E507/4)</f>
        <v>5.0565694988483862</v>
      </c>
      <c r="G507" s="65">
        <f t="shared" si="115"/>
        <v>91.622468518455676</v>
      </c>
      <c r="H507" s="122"/>
      <c r="I507" s="314"/>
      <c r="J507" s="123"/>
      <c r="K507" s="123"/>
      <c r="P507"/>
      <c r="Q507"/>
      <c r="R507"/>
      <c r="S507"/>
    </row>
    <row r="508" spans="1:19">
      <c r="B508" s="90"/>
      <c r="C508" s="90"/>
      <c r="D508" s="133" t="s">
        <v>355</v>
      </c>
      <c r="E508" s="369">
        <v>0.3</v>
      </c>
      <c r="F508" s="90"/>
      <c r="G508" s="90"/>
      <c r="H508" s="90"/>
      <c r="I508" s="90"/>
      <c r="J508" s="90"/>
      <c r="K508" s="90"/>
      <c r="L508" s="90"/>
      <c r="P508"/>
      <c r="Q508"/>
      <c r="R508"/>
      <c r="S508"/>
    </row>
    <row r="509" spans="1:19">
      <c r="B509" s="90"/>
      <c r="C509" s="90"/>
      <c r="D509" s="90"/>
      <c r="E509" s="90"/>
      <c r="F509" s="90"/>
      <c r="G509" s="90"/>
      <c r="H509" s="90"/>
      <c r="I509" s="90"/>
      <c r="J509" s="90"/>
      <c r="K509" s="90"/>
      <c r="L509" s="90"/>
      <c r="P509"/>
      <c r="Q509"/>
      <c r="R509"/>
      <c r="S509"/>
    </row>
    <row r="510" spans="1:19" ht="18">
      <c r="A510" s="4" t="s">
        <v>2</v>
      </c>
      <c r="B510" s="113" t="s">
        <v>43</v>
      </c>
      <c r="C510" s="113" t="s">
        <v>9</v>
      </c>
      <c r="D510" s="113" t="s">
        <v>80</v>
      </c>
      <c r="E510" s="113" t="s">
        <v>81</v>
      </c>
      <c r="F510" s="427" t="s">
        <v>82</v>
      </c>
      <c r="G510" s="113" t="s">
        <v>83</v>
      </c>
      <c r="H510" s="121"/>
      <c r="I510" s="121"/>
      <c r="J510" s="121"/>
      <c r="K510" s="121"/>
      <c r="P510"/>
      <c r="Q510"/>
      <c r="R510"/>
      <c r="S510"/>
    </row>
    <row r="511" spans="1:19">
      <c r="A511" s="8"/>
      <c r="B511" s="47" t="s">
        <v>19</v>
      </c>
      <c r="C511" s="47" t="s">
        <v>18</v>
      </c>
      <c r="D511" s="47" t="s">
        <v>18</v>
      </c>
      <c r="E511" s="47" t="s">
        <v>17</v>
      </c>
      <c r="F511" s="428" t="s">
        <v>17</v>
      </c>
      <c r="G511" s="124" t="s">
        <v>17</v>
      </c>
      <c r="H511" s="121"/>
      <c r="I511" s="121"/>
      <c r="J511" s="121"/>
      <c r="K511" s="121"/>
      <c r="P511"/>
      <c r="Q511"/>
      <c r="R511"/>
      <c r="S511"/>
    </row>
    <row r="512" spans="1:19" hidden="1">
      <c r="A512" s="14" t="s">
        <v>29</v>
      </c>
      <c r="B512" s="66">
        <v>1</v>
      </c>
      <c r="C512" s="66">
        <v>8</v>
      </c>
      <c r="D512" s="34">
        <f>80-23</f>
        <v>57</v>
      </c>
      <c r="E512" s="65">
        <f t="shared" ref="E512:E525" si="116">(0.52*SQRT(C512)*D512^0.9*$B$484^0.8)/1000</f>
        <v>6.5494418543005892</v>
      </c>
      <c r="F512" s="426">
        <f>MIN($C$488*$C$486*D512/1000,(2.3*SQRT($C$485*$C$486*$C$488))/1000+(E512/4),$C$488*$C$486*D512/1000*(SQRT(2+4*$C$485/($C$488*$C$486*D512^2))-1)+E512/4)</f>
        <v>5.3182617456072272</v>
      </c>
      <c r="G512" s="65" t="e">
        <f>B512*F512+#REF!*K512</f>
        <v>#REF!</v>
      </c>
      <c r="H512" s="122"/>
      <c r="I512" s="314"/>
      <c r="J512" s="123"/>
      <c r="K512" s="123"/>
      <c r="P512"/>
      <c r="Q512"/>
      <c r="R512"/>
      <c r="S512"/>
    </row>
    <row r="513" spans="1:19" hidden="1">
      <c r="A513" s="44" t="s">
        <v>30</v>
      </c>
      <c r="B513" s="66">
        <v>1</v>
      </c>
      <c r="C513" s="66">
        <v>8</v>
      </c>
      <c r="D513" s="34">
        <f>80-23</f>
        <v>57</v>
      </c>
      <c r="E513" s="65">
        <f t="shared" si="116"/>
        <v>6.5494418543005892</v>
      </c>
      <c r="F513" s="426">
        <f>MIN($C$488*$C$486*D513/1000,(2.3*SQRT($C$485*$C$486*$C$488))/1000+(E513/4),$C$488*$C$486*D513/1000*(SQRT(2+4*$C$485/($C$488*$C$486*D513^2))-1)+E513/4)</f>
        <v>5.3182617456072272</v>
      </c>
      <c r="G513" s="65" t="e">
        <f>B513*F513+#REF!*K513</f>
        <v>#REF!</v>
      </c>
      <c r="H513" s="122"/>
      <c r="I513" s="314"/>
      <c r="J513" s="123"/>
      <c r="K513" s="123"/>
      <c r="P513"/>
      <c r="Q513"/>
      <c r="R513"/>
      <c r="S513"/>
    </row>
    <row r="514" spans="1:19" hidden="1">
      <c r="A514" s="14" t="s">
        <v>31</v>
      </c>
      <c r="B514" s="66">
        <v>1</v>
      </c>
      <c r="C514" s="66">
        <v>8</v>
      </c>
      <c r="D514" s="34">
        <f>80-23</f>
        <v>57</v>
      </c>
      <c r="E514" s="65">
        <f t="shared" si="116"/>
        <v>6.5494418543005892</v>
      </c>
      <c r="F514" s="426">
        <f>MIN($C$488*$C$486*D514/1000,(2.3*SQRT($C$485*$C$486*$C$488))/1000+(E514/4),$C$488*$C$486*D514/1000*(SQRT(2+4*$C$485/($C$488*$C$486*D514^2))-1)+E514/4)</f>
        <v>5.3182617456072272</v>
      </c>
      <c r="G514" s="65" t="e">
        <f>B514*F514+#REF!*K514</f>
        <v>#REF!</v>
      </c>
      <c r="H514" s="122"/>
      <c r="I514" s="314"/>
      <c r="J514" s="123"/>
      <c r="K514" s="123"/>
      <c r="P514"/>
      <c r="Q514"/>
      <c r="R514"/>
      <c r="S514"/>
    </row>
    <row r="515" spans="1:19" hidden="1">
      <c r="A515" s="44" t="s">
        <v>32</v>
      </c>
      <c r="B515" s="66">
        <v>1</v>
      </c>
      <c r="C515" s="66">
        <v>8</v>
      </c>
      <c r="D515" s="34">
        <f>80-23</f>
        <v>57</v>
      </c>
      <c r="E515" s="65">
        <f t="shared" si="116"/>
        <v>6.5494418543005892</v>
      </c>
      <c r="F515" s="426">
        <f>MIN($C$488*$C$486*D515/1000,(2.3*SQRT($C$485*$C$486*$C$488))/1000+(E515/4),$C$488*$C$486*D515/1000*(SQRT(2+4*$C$485/($C$488*$C$486*D515^2))-1)+E515/4)</f>
        <v>5.3182617456072272</v>
      </c>
      <c r="G515" s="65" t="e">
        <f>B515*F515+#REF!*K515</f>
        <v>#REF!</v>
      </c>
      <c r="H515" s="122"/>
      <c r="I515" s="314"/>
      <c r="J515" s="123"/>
      <c r="K515" s="123"/>
      <c r="P515"/>
      <c r="Q515"/>
      <c r="R515"/>
      <c r="S515"/>
    </row>
    <row r="516" spans="1:19" hidden="1">
      <c r="A516" s="14" t="s">
        <v>33</v>
      </c>
      <c r="B516" s="66">
        <v>1</v>
      </c>
      <c r="C516" s="66">
        <v>10</v>
      </c>
      <c r="D516" s="34">
        <f>100-25</f>
        <v>75</v>
      </c>
      <c r="E516" s="65">
        <f t="shared" si="116"/>
        <v>9.3740456535592109</v>
      </c>
      <c r="F516" s="426">
        <f>MIN($B$488*$B$486*D516/1000,(2.3*SQRT($B$485*$B$486*$B$488))/1000+(E516/4),$B$488*$B$486*D516/1000*(SQRT(2+4*$B$485/($B$488*$B$486*D516^2))-1)+E516/4)</f>
        <v>7.7560268644377199</v>
      </c>
      <c r="G516" s="65" t="e">
        <f>B516*F516+#REF!*K516</f>
        <v>#REF!</v>
      </c>
      <c r="H516" s="122"/>
      <c r="I516" s="314"/>
      <c r="J516" s="123"/>
      <c r="K516" s="123"/>
      <c r="P516"/>
      <c r="Q516"/>
      <c r="R516"/>
      <c r="S516"/>
    </row>
    <row r="517" spans="1:19" hidden="1">
      <c r="A517" s="44" t="s">
        <v>34</v>
      </c>
      <c r="B517" s="66">
        <v>1</v>
      </c>
      <c r="C517" s="66">
        <v>10</v>
      </c>
      <c r="D517" s="34">
        <f>100-25</f>
        <v>75</v>
      </c>
      <c r="E517" s="65">
        <f t="shared" si="116"/>
        <v>9.3740456535592109</v>
      </c>
      <c r="F517" s="426">
        <f>MIN($B$488*$B$486*D517/1000,(2.3*SQRT($B$485*$B$486*$B$488))/1000+(E517/4),$B$488*$B$486*D517/1000*(SQRT(2+4*$B$485/($B$488*$B$486*D517^2))-1)+E517/4)</f>
        <v>7.7560268644377199</v>
      </c>
      <c r="G517" s="65" t="e">
        <f>B517*F517+#REF!*K517</f>
        <v>#REF!</v>
      </c>
      <c r="H517" s="122"/>
      <c r="I517" s="314"/>
      <c r="J517" s="123"/>
      <c r="K517" s="123"/>
      <c r="P517"/>
      <c r="Q517"/>
      <c r="R517"/>
      <c r="S517"/>
    </row>
    <row r="518" spans="1:19" hidden="1">
      <c r="A518" s="44" t="s">
        <v>35</v>
      </c>
      <c r="B518" s="66">
        <v>1</v>
      </c>
      <c r="C518" s="66">
        <v>10</v>
      </c>
      <c r="D518" s="34">
        <f>100-25</f>
        <v>75</v>
      </c>
      <c r="E518" s="65">
        <f t="shared" si="116"/>
        <v>9.3740456535592109</v>
      </c>
      <c r="F518" s="426">
        <f>MIN($B$488*$B$486*D518/1000,(2.3*SQRT($B$485*$B$486*$B$488))/1000+(E518/4),$B$488*$B$486*D518/1000*(SQRT(2+4*$B$485/($B$488*$B$486*D518^2))-1)+E518/4)</f>
        <v>7.7560268644377199</v>
      </c>
      <c r="G518" s="65" t="e">
        <f>B518*F518+#REF!*K518</f>
        <v>#REF!</v>
      </c>
      <c r="H518" s="122"/>
      <c r="I518" s="314"/>
      <c r="J518" s="123"/>
      <c r="K518" s="123"/>
      <c r="P518"/>
      <c r="Q518"/>
      <c r="R518"/>
      <c r="S518"/>
    </row>
    <row r="519" spans="1:19" hidden="1">
      <c r="A519" s="14" t="s">
        <v>36</v>
      </c>
      <c r="B519" s="66">
        <v>1</v>
      </c>
      <c r="C519" s="66">
        <v>10</v>
      </c>
      <c r="D519" s="34">
        <f>100-25</f>
        <v>75</v>
      </c>
      <c r="E519" s="65">
        <f t="shared" si="116"/>
        <v>9.3740456535592109</v>
      </c>
      <c r="F519" s="426">
        <f>MIN($B$488*$B$486*D519/1000,(2.3*SQRT($B$485*$B$486*$B$488))/1000+(E519/4),$B$488*$B$486*D519/1000*(SQRT(2+4*$B$485/($B$488*$B$486*D519^2))-1)+E519/4)</f>
        <v>7.7560268644377199</v>
      </c>
      <c r="G519" s="65" t="e">
        <f>B519*F519+#REF!*K519</f>
        <v>#REF!</v>
      </c>
      <c r="H519" s="122"/>
      <c r="I519" s="314"/>
      <c r="J519" s="123"/>
      <c r="K519" s="123"/>
      <c r="P519"/>
      <c r="Q519"/>
      <c r="R519"/>
      <c r="S519"/>
    </row>
    <row r="520" spans="1:19" ht="30">
      <c r="A520" s="424" t="s">
        <v>377</v>
      </c>
      <c r="B520" s="66">
        <v>10</v>
      </c>
      <c r="C520" s="66">
        <v>8</v>
      </c>
      <c r="D520" s="34">
        <v>70</v>
      </c>
      <c r="E520" s="65">
        <f t="shared" si="116"/>
        <v>7.8796178754106014</v>
      </c>
      <c r="F520" s="426">
        <f>MIN($C$488*$C$486*D520/1000,(2.3*SQRT($C$485*$C$486*$C$488))/1000+(E520/4),$C$488*$C$486*D520/1000*(SQRT(2+4*$C$485/($C$488*$C$486*D520^2))-1)+E520/4)</f>
        <v>5.7539958910348616</v>
      </c>
      <c r="G520" s="65">
        <f t="shared" ref="G520:G525" si="117">B520^0.9*F520</f>
        <v>45.70561398736492</v>
      </c>
      <c r="H520" s="122"/>
      <c r="I520" s="314"/>
      <c r="J520" s="123"/>
      <c r="K520" s="123"/>
      <c r="P520"/>
      <c r="Q520"/>
      <c r="R520"/>
      <c r="S520"/>
    </row>
    <row r="521" spans="1:19" ht="30">
      <c r="A521" s="342" t="s">
        <v>379</v>
      </c>
      <c r="B521" s="66">
        <v>10</v>
      </c>
      <c r="C521" s="66">
        <v>8</v>
      </c>
      <c r="D521" s="34">
        <v>70</v>
      </c>
      <c r="E521" s="65">
        <f t="shared" si="116"/>
        <v>7.8796178754106014</v>
      </c>
      <c r="F521" s="426">
        <f>MIN($C$488*$C$486*D521/1000,(2.3*SQRT($C$485*$C$486*$C$488))/1000+(E521/4),$C$488*$C$486*D521/1000*(SQRT(2+4*$C$485/($C$488*$C$486*D521^2))-1)+E521/4)</f>
        <v>5.7539958910348616</v>
      </c>
      <c r="G521" s="65">
        <f t="shared" si="117"/>
        <v>45.70561398736492</v>
      </c>
      <c r="H521" s="122"/>
      <c r="I521" s="314"/>
      <c r="J521" s="123"/>
      <c r="K521" s="123"/>
      <c r="P521"/>
      <c r="Q521"/>
      <c r="R521"/>
      <c r="S521"/>
    </row>
    <row r="522" spans="1:19" ht="30">
      <c r="A522" s="342" t="s">
        <v>380</v>
      </c>
      <c r="B522" s="66">
        <v>16</v>
      </c>
      <c r="C522" s="66">
        <v>8</v>
      </c>
      <c r="D522" s="34">
        <v>70</v>
      </c>
      <c r="E522" s="65">
        <f t="shared" si="116"/>
        <v>7.8796178754106014</v>
      </c>
      <c r="F522" s="426">
        <f>MIN($C$488*$C$486*D522/1000,(2.3*SQRT($C$485*$C$486*$C$488))/1000+(E522/4),$C$488*$C$486*D522/1000*(SQRT(2+4*$C$485/($C$488*$C$486*D522^2))-1)+E522/4)</f>
        <v>5.7539958910348616</v>
      </c>
      <c r="G522" s="65">
        <f t="shared" si="117"/>
        <v>69.771415165394387</v>
      </c>
      <c r="H522" s="122"/>
      <c r="I522" s="314"/>
      <c r="J522" s="123"/>
      <c r="K522" s="123"/>
      <c r="P522"/>
      <c r="Q522"/>
      <c r="R522"/>
      <c r="S522"/>
    </row>
    <row r="523" spans="1:19" ht="30">
      <c r="A523" s="342" t="s">
        <v>381</v>
      </c>
      <c r="B523" s="66">
        <v>16</v>
      </c>
      <c r="C523" s="66">
        <v>8</v>
      </c>
      <c r="D523" s="34">
        <v>70</v>
      </c>
      <c r="E523" s="65">
        <f t="shared" si="116"/>
        <v>7.8796178754106014</v>
      </c>
      <c r="F523" s="426">
        <f>MIN($C$488*$C$486*D523/1000,(2.3*SQRT($C$485*$C$486*$C$488))/1000+(E523/4),$C$488*$C$486*D523/1000*(SQRT(2+4*$C$485/($C$488*$C$486*D523^2))-1)+E523/4)</f>
        <v>5.7539958910348616</v>
      </c>
      <c r="G523" s="65">
        <f t="shared" si="117"/>
        <v>69.771415165394387</v>
      </c>
      <c r="H523" s="122"/>
      <c r="I523" s="314"/>
      <c r="J523" s="123"/>
      <c r="K523" s="123"/>
      <c r="P523"/>
      <c r="Q523"/>
      <c r="R523"/>
      <c r="S523"/>
    </row>
    <row r="524" spans="1:19" ht="30">
      <c r="A524" s="342" t="s">
        <v>383</v>
      </c>
      <c r="B524" s="66">
        <v>16</v>
      </c>
      <c r="C524" s="66">
        <v>10</v>
      </c>
      <c r="D524" s="34">
        <v>90</v>
      </c>
      <c r="E524" s="65">
        <f t="shared" si="116"/>
        <v>11.045622226154116</v>
      </c>
      <c r="F524" s="426">
        <f>MIN($B$488*$B$486*D524/1000,(2.3*SQRT($B$485*$B$486*$B$488))/1000+(E524/4),$B$488*$B$486*D524/1000*(SQRT(2+4*$B$485/($B$488*$B$486*D524^2))-1)+E524/4)</f>
        <v>8.173921007586447</v>
      </c>
      <c r="G524" s="65">
        <f t="shared" si="117"/>
        <v>99.114779876369141</v>
      </c>
      <c r="H524" s="122"/>
      <c r="I524" s="314"/>
      <c r="J524" s="123"/>
      <c r="K524" s="123"/>
      <c r="P524"/>
      <c r="Q524"/>
      <c r="R524"/>
      <c r="S524"/>
    </row>
    <row r="525" spans="1:19" ht="30">
      <c r="A525" s="342" t="s">
        <v>382</v>
      </c>
      <c r="B525" s="66">
        <v>25</v>
      </c>
      <c r="C525" s="66">
        <v>10</v>
      </c>
      <c r="D525" s="34">
        <v>90</v>
      </c>
      <c r="E525" s="65">
        <f t="shared" si="116"/>
        <v>11.045622226154116</v>
      </c>
      <c r="F525" s="426">
        <f>MIN($B$488*$B$486*D525/1000,(2.3*SQRT($B$485*$B$486*$B$488))/1000+(E525/4),$B$488*$B$486*D525/1000*(SQRT(2+4*$B$485/($B$488*$B$486*D525^2))-1)+E525/4)</f>
        <v>8.173921007586447</v>
      </c>
      <c r="G525" s="65">
        <f t="shared" si="117"/>
        <v>148.10729297016388</v>
      </c>
      <c r="H525" s="122"/>
      <c r="I525" s="314"/>
      <c r="J525" s="123"/>
      <c r="K525" s="123"/>
      <c r="P525"/>
      <c r="Q525"/>
      <c r="R525"/>
      <c r="S525"/>
    </row>
    <row r="528" spans="1:19">
      <c r="A528" s="3"/>
      <c r="B528" s="77"/>
      <c r="F528" t="s">
        <v>72</v>
      </c>
    </row>
    <row r="529" spans="1:20" ht="18">
      <c r="A529" s="4" t="s">
        <v>2</v>
      </c>
      <c r="B529" s="78" t="s">
        <v>61</v>
      </c>
      <c r="C529" s="78" t="s">
        <v>128</v>
      </c>
      <c r="D529" s="5" t="s">
        <v>129</v>
      </c>
      <c r="E529" s="78" t="s">
        <v>130</v>
      </c>
      <c r="F529" s="79" t="s">
        <v>131</v>
      </c>
      <c r="G529" s="80"/>
      <c r="O529" s="4" t="s">
        <v>2</v>
      </c>
      <c r="P529" s="682" t="s">
        <v>132</v>
      </c>
      <c r="Q529" s="683"/>
      <c r="R529" s="683"/>
      <c r="S529" s="683"/>
      <c r="T529" s="684"/>
    </row>
    <row r="530" spans="1:20">
      <c r="A530" s="8"/>
      <c r="B530" s="81" t="s">
        <v>17</v>
      </c>
      <c r="C530" s="82" t="s">
        <v>17</v>
      </c>
      <c r="D530" s="9" t="s">
        <v>78</v>
      </c>
      <c r="E530" s="82" t="s">
        <v>17</v>
      </c>
      <c r="F530" s="83" t="s">
        <v>17</v>
      </c>
      <c r="G530" s="84"/>
      <c r="O530" s="8"/>
      <c r="P530" s="95">
        <v>0.6</v>
      </c>
      <c r="Q530" s="95">
        <v>0.7</v>
      </c>
      <c r="R530" s="95">
        <v>0.8</v>
      </c>
      <c r="S530" s="95">
        <v>0.9</v>
      </c>
      <c r="T530" s="95">
        <v>1</v>
      </c>
    </row>
    <row r="531" spans="1:20" hidden="1">
      <c r="A531" s="14" t="s">
        <v>29</v>
      </c>
      <c r="B531" s="65" t="e">
        <f t="shared" ref="B531:B544" si="118">G494</f>
        <v>#REF!</v>
      </c>
      <c r="C531" s="65">
        <v>18</v>
      </c>
      <c r="D531" s="106">
        <v>10.7</v>
      </c>
      <c r="E531" s="65" t="e">
        <f t="shared" ref="E531:E544" si="119">1/SQRT((1/G512)^2+(1/(D531*E512))^2)</f>
        <v>#REF!</v>
      </c>
      <c r="F531" s="107" t="e">
        <f>MIN(B531,C531,E531)</f>
        <v>#REF!</v>
      </c>
      <c r="G531" s="87"/>
      <c r="O531" s="14" t="s">
        <v>29</v>
      </c>
      <c r="P531" s="88" t="e">
        <f>MIN(P$530*$B531/1.3,$C531/1.25,P$530*$E531/1.3)</f>
        <v>#REF!</v>
      </c>
      <c r="Q531" s="88" t="e">
        <f>MIN(Q$530*$B531/1.3,$C531/1.25,Q$530*$E531/1.3)</f>
        <v>#REF!</v>
      </c>
      <c r="R531" s="88" t="e">
        <f>MIN(R$530*$B531/1.3,$C531/1.25,R$530*$E531/1.3)</f>
        <v>#REF!</v>
      </c>
      <c r="S531" s="88" t="e">
        <f>MIN(S$530*$B531/1.3,$C531/1.25,S$530*$E531/1.3)</f>
        <v>#REF!</v>
      </c>
      <c r="T531" s="88" t="e">
        <f>MIN(T$530*$B531/1.3,$C531/1.25,T$530*$E531/1.3)</f>
        <v>#REF!</v>
      </c>
    </row>
    <row r="532" spans="1:20" hidden="1">
      <c r="A532" s="44" t="s">
        <v>30</v>
      </c>
      <c r="B532" s="65" t="e">
        <f t="shared" si="118"/>
        <v>#REF!</v>
      </c>
      <c r="C532" s="65">
        <v>18</v>
      </c>
      <c r="D532" s="106">
        <v>18.3</v>
      </c>
      <c r="E532" s="65" t="e">
        <f t="shared" si="119"/>
        <v>#REF!</v>
      </c>
      <c r="F532" s="107" t="e">
        <f t="shared" ref="F532:F544" si="120">MIN(B532,C532,E532)</f>
        <v>#REF!</v>
      </c>
      <c r="G532" s="87"/>
      <c r="O532" s="44" t="s">
        <v>30</v>
      </c>
      <c r="P532" s="88" t="e">
        <f t="shared" ref="P532:T544" si="121">MIN(P$530*$B532/1.3,$C532/1.25,P$530*$E532/1.3)</f>
        <v>#REF!</v>
      </c>
      <c r="Q532" s="88" t="e">
        <f t="shared" si="121"/>
        <v>#REF!</v>
      </c>
      <c r="R532" s="88" t="e">
        <f t="shared" si="121"/>
        <v>#REF!</v>
      </c>
      <c r="S532" s="88" t="e">
        <f t="shared" si="121"/>
        <v>#REF!</v>
      </c>
      <c r="T532" s="88" t="e">
        <f t="shared" si="121"/>
        <v>#REF!</v>
      </c>
    </row>
    <row r="533" spans="1:20" hidden="1">
      <c r="A533" s="14" t="s">
        <v>31</v>
      </c>
      <c r="B533" s="65" t="e">
        <f t="shared" si="118"/>
        <v>#REF!</v>
      </c>
      <c r="C533" s="65">
        <v>18</v>
      </c>
      <c r="D533" s="106">
        <v>27.8</v>
      </c>
      <c r="E533" s="65" t="e">
        <f t="shared" si="119"/>
        <v>#REF!</v>
      </c>
      <c r="F533" s="107" t="e">
        <f t="shared" si="120"/>
        <v>#REF!</v>
      </c>
      <c r="G533" s="87"/>
      <c r="O533" s="14" t="s">
        <v>31</v>
      </c>
      <c r="P533" s="88" t="e">
        <f t="shared" si="121"/>
        <v>#REF!</v>
      </c>
      <c r="Q533" s="88" t="e">
        <f t="shared" si="121"/>
        <v>#REF!</v>
      </c>
      <c r="R533" s="88" t="e">
        <f t="shared" si="121"/>
        <v>#REF!</v>
      </c>
      <c r="S533" s="88" t="e">
        <f t="shared" si="121"/>
        <v>#REF!</v>
      </c>
      <c r="T533" s="88" t="e">
        <f t="shared" si="121"/>
        <v>#REF!</v>
      </c>
    </row>
    <row r="534" spans="1:20" hidden="1">
      <c r="A534" s="44" t="s">
        <v>32</v>
      </c>
      <c r="B534" s="65" t="e">
        <f t="shared" si="118"/>
        <v>#REF!</v>
      </c>
      <c r="C534" s="65">
        <v>18</v>
      </c>
      <c r="D534" s="106">
        <v>39.299999999999997</v>
      </c>
      <c r="E534" s="65" t="e">
        <f t="shared" si="119"/>
        <v>#REF!</v>
      </c>
      <c r="F534" s="107" t="e">
        <f t="shared" si="120"/>
        <v>#REF!</v>
      </c>
      <c r="G534" s="87"/>
      <c r="O534" s="44" t="s">
        <v>32</v>
      </c>
      <c r="P534" s="88" t="e">
        <f t="shared" si="121"/>
        <v>#REF!</v>
      </c>
      <c r="Q534" s="88" t="e">
        <f t="shared" si="121"/>
        <v>#REF!</v>
      </c>
      <c r="R534" s="88" t="e">
        <f t="shared" si="121"/>
        <v>#REF!</v>
      </c>
      <c r="S534" s="88" t="e">
        <f t="shared" si="121"/>
        <v>#REF!</v>
      </c>
      <c r="T534" s="88" t="e">
        <f t="shared" si="121"/>
        <v>#REF!</v>
      </c>
    </row>
    <row r="535" spans="1:20" hidden="1">
      <c r="A535" s="14" t="s">
        <v>33</v>
      </c>
      <c r="B535" s="65" t="e">
        <f t="shared" si="118"/>
        <v>#REF!</v>
      </c>
      <c r="C535" s="65">
        <v>18</v>
      </c>
      <c r="D535" s="106">
        <v>27.8</v>
      </c>
      <c r="E535" s="65" t="e">
        <f t="shared" si="119"/>
        <v>#REF!</v>
      </c>
      <c r="F535" s="107" t="e">
        <f t="shared" si="120"/>
        <v>#REF!</v>
      </c>
      <c r="G535" s="87"/>
      <c r="O535" s="14" t="s">
        <v>33</v>
      </c>
      <c r="P535" s="88" t="e">
        <f t="shared" si="121"/>
        <v>#REF!</v>
      </c>
      <c r="Q535" s="88" t="e">
        <f t="shared" si="121"/>
        <v>#REF!</v>
      </c>
      <c r="R535" s="88" t="e">
        <f t="shared" si="121"/>
        <v>#REF!</v>
      </c>
      <c r="S535" s="88" t="e">
        <f t="shared" si="121"/>
        <v>#REF!</v>
      </c>
      <c r="T535" s="88" t="e">
        <f t="shared" si="121"/>
        <v>#REF!</v>
      </c>
    </row>
    <row r="536" spans="1:20" hidden="1">
      <c r="A536" s="44" t="s">
        <v>34</v>
      </c>
      <c r="B536" s="65" t="e">
        <f t="shared" si="118"/>
        <v>#REF!</v>
      </c>
      <c r="C536" s="65">
        <v>18</v>
      </c>
      <c r="D536" s="106">
        <v>39.299999999999997</v>
      </c>
      <c r="E536" s="65" t="e">
        <f t="shared" si="119"/>
        <v>#REF!</v>
      </c>
      <c r="F536" s="107" t="e">
        <f t="shared" si="120"/>
        <v>#REF!</v>
      </c>
      <c r="G536" s="87"/>
      <c r="O536" s="44" t="s">
        <v>34</v>
      </c>
      <c r="P536" s="88" t="e">
        <f t="shared" si="121"/>
        <v>#REF!</v>
      </c>
      <c r="Q536" s="88" t="e">
        <f t="shared" si="121"/>
        <v>#REF!</v>
      </c>
      <c r="R536" s="88" t="e">
        <f t="shared" si="121"/>
        <v>#REF!</v>
      </c>
      <c r="S536" s="88" t="e">
        <f t="shared" si="121"/>
        <v>#REF!</v>
      </c>
      <c r="T536" s="88" t="e">
        <f t="shared" si="121"/>
        <v>#REF!</v>
      </c>
    </row>
    <row r="537" spans="1:20" hidden="1">
      <c r="A537" s="44" t="s">
        <v>35</v>
      </c>
      <c r="B537" s="65" t="e">
        <f t="shared" si="118"/>
        <v>#REF!</v>
      </c>
      <c r="C537" s="65">
        <v>18</v>
      </c>
      <c r="D537" s="106">
        <v>52.9</v>
      </c>
      <c r="E537" s="65" t="e">
        <f t="shared" si="119"/>
        <v>#REF!</v>
      </c>
      <c r="F537" s="107" t="e">
        <f t="shared" si="120"/>
        <v>#REF!</v>
      </c>
      <c r="G537" s="87"/>
      <c r="O537" s="44" t="s">
        <v>35</v>
      </c>
      <c r="P537" s="88" t="e">
        <f t="shared" si="121"/>
        <v>#REF!</v>
      </c>
      <c r="Q537" s="88" t="e">
        <f t="shared" si="121"/>
        <v>#REF!</v>
      </c>
      <c r="R537" s="88" t="e">
        <f t="shared" si="121"/>
        <v>#REF!</v>
      </c>
      <c r="S537" s="88" t="e">
        <f t="shared" si="121"/>
        <v>#REF!</v>
      </c>
      <c r="T537" s="88" t="e">
        <f t="shared" si="121"/>
        <v>#REF!</v>
      </c>
    </row>
    <row r="538" spans="1:20" hidden="1">
      <c r="A538" s="14" t="s">
        <v>36</v>
      </c>
      <c r="B538" s="65" t="e">
        <f t="shared" si="118"/>
        <v>#REF!</v>
      </c>
      <c r="C538" s="65">
        <v>18</v>
      </c>
      <c r="D538" s="106">
        <v>68.400000000000006</v>
      </c>
      <c r="E538" s="65" t="e">
        <f t="shared" si="119"/>
        <v>#REF!</v>
      </c>
      <c r="F538" s="107" t="e">
        <f t="shared" si="120"/>
        <v>#REF!</v>
      </c>
      <c r="G538" s="87"/>
      <c r="O538" s="14" t="s">
        <v>36</v>
      </c>
      <c r="P538" s="88" t="e">
        <f t="shared" si="121"/>
        <v>#REF!</v>
      </c>
      <c r="Q538" s="88" t="e">
        <f t="shared" si="121"/>
        <v>#REF!</v>
      </c>
      <c r="R538" s="88" t="e">
        <f t="shared" si="121"/>
        <v>#REF!</v>
      </c>
      <c r="S538" s="88" t="e">
        <f t="shared" si="121"/>
        <v>#REF!</v>
      </c>
      <c r="T538" s="88" t="e">
        <f t="shared" si="121"/>
        <v>#REF!</v>
      </c>
    </row>
    <row r="539" spans="1:20" ht="30">
      <c r="A539" s="424" t="s">
        <v>377</v>
      </c>
      <c r="B539" s="65">
        <f t="shared" si="118"/>
        <v>28.389239282083743</v>
      </c>
      <c r="C539" s="65">
        <v>18</v>
      </c>
      <c r="D539" s="106">
        <v>10.7</v>
      </c>
      <c r="E539" s="65">
        <f t="shared" si="119"/>
        <v>40.18125965399701</v>
      </c>
      <c r="F539" s="107">
        <f t="shared" si="120"/>
        <v>18</v>
      </c>
      <c r="G539" s="87"/>
      <c r="O539" s="424" t="s">
        <v>377</v>
      </c>
      <c r="P539" s="88">
        <f t="shared" si="121"/>
        <v>13.102725822500188</v>
      </c>
      <c r="Q539" s="88">
        <f t="shared" si="121"/>
        <v>14.4</v>
      </c>
      <c r="R539" s="88">
        <f t="shared" si="121"/>
        <v>14.4</v>
      </c>
      <c r="S539" s="88">
        <f t="shared" si="121"/>
        <v>14.4</v>
      </c>
      <c r="T539" s="88">
        <f t="shared" si="121"/>
        <v>14.4</v>
      </c>
    </row>
    <row r="540" spans="1:20" ht="30">
      <c r="A540" s="342" t="s">
        <v>379</v>
      </c>
      <c r="B540" s="65">
        <f t="shared" si="118"/>
        <v>32.762378151828329</v>
      </c>
      <c r="C540" s="65">
        <v>18</v>
      </c>
      <c r="D540" s="106">
        <v>10.7</v>
      </c>
      <c r="E540" s="65">
        <f t="shared" si="119"/>
        <v>40.18125965399701</v>
      </c>
      <c r="F540" s="107">
        <f t="shared" si="120"/>
        <v>18</v>
      </c>
      <c r="G540" s="87"/>
      <c r="O540" s="342" t="s">
        <v>379</v>
      </c>
      <c r="P540" s="88">
        <f t="shared" si="121"/>
        <v>14.4</v>
      </c>
      <c r="Q540" s="88">
        <f t="shared" si="121"/>
        <v>14.4</v>
      </c>
      <c r="R540" s="88">
        <f t="shared" si="121"/>
        <v>14.4</v>
      </c>
      <c r="S540" s="88">
        <f t="shared" si="121"/>
        <v>14.4</v>
      </c>
      <c r="T540" s="88">
        <f t="shared" si="121"/>
        <v>14.4</v>
      </c>
    </row>
    <row r="541" spans="1:20" ht="30">
      <c r="A541" s="342" t="s">
        <v>380</v>
      </c>
      <c r="B541" s="65">
        <f t="shared" si="118"/>
        <v>43.337288953771797</v>
      </c>
      <c r="C541" s="65">
        <v>18</v>
      </c>
      <c r="D541" s="106">
        <v>27.8</v>
      </c>
      <c r="E541" s="65">
        <f t="shared" si="119"/>
        <v>66.480609906200655</v>
      </c>
      <c r="F541" s="107">
        <f t="shared" si="120"/>
        <v>18</v>
      </c>
      <c r="G541" s="87"/>
      <c r="O541" s="342" t="s">
        <v>380</v>
      </c>
      <c r="P541" s="88">
        <f t="shared" si="121"/>
        <v>14.4</v>
      </c>
      <c r="Q541" s="88">
        <f t="shared" si="121"/>
        <v>14.4</v>
      </c>
      <c r="R541" s="88">
        <f t="shared" si="121"/>
        <v>14.4</v>
      </c>
      <c r="S541" s="88">
        <f t="shared" si="121"/>
        <v>14.4</v>
      </c>
      <c r="T541" s="88">
        <f t="shared" si="121"/>
        <v>14.4</v>
      </c>
    </row>
    <row r="542" spans="1:20" ht="30">
      <c r="A542" s="342" t="s">
        <v>381</v>
      </c>
      <c r="B542" s="65">
        <f t="shared" si="118"/>
        <v>50.013057224628461</v>
      </c>
      <c r="C542" s="65">
        <v>18</v>
      </c>
      <c r="D542" s="106">
        <v>27.8</v>
      </c>
      <c r="E542" s="65">
        <f t="shared" si="119"/>
        <v>66.480609906200655</v>
      </c>
      <c r="F542" s="107">
        <f t="shared" si="120"/>
        <v>18</v>
      </c>
      <c r="G542" s="87"/>
      <c r="O542" s="342" t="s">
        <v>381</v>
      </c>
      <c r="P542" s="88">
        <f t="shared" si="121"/>
        <v>14.4</v>
      </c>
      <c r="Q542" s="88">
        <f t="shared" si="121"/>
        <v>14.4</v>
      </c>
      <c r="R542" s="88">
        <f t="shared" si="121"/>
        <v>14.4</v>
      </c>
      <c r="S542" s="88">
        <f t="shared" si="121"/>
        <v>14.4</v>
      </c>
      <c r="T542" s="88">
        <f t="shared" si="121"/>
        <v>14.4</v>
      </c>
    </row>
    <row r="543" spans="1:20" ht="30">
      <c r="A543" s="342" t="s">
        <v>383</v>
      </c>
      <c r="B543" s="65">
        <f t="shared" si="118"/>
        <v>61.314609272925438</v>
      </c>
      <c r="C543" s="65">
        <v>18</v>
      </c>
      <c r="D543" s="106">
        <v>27.8</v>
      </c>
      <c r="E543" s="65">
        <f t="shared" si="119"/>
        <v>94.32295972718326</v>
      </c>
      <c r="F543" s="107">
        <f t="shared" si="120"/>
        <v>18</v>
      </c>
      <c r="G543" s="87"/>
      <c r="O543" s="342" t="s">
        <v>383</v>
      </c>
      <c r="P543" s="88">
        <f t="shared" si="121"/>
        <v>14.4</v>
      </c>
      <c r="Q543" s="88">
        <f t="shared" si="121"/>
        <v>14.4</v>
      </c>
      <c r="R543" s="88">
        <f t="shared" si="121"/>
        <v>14.4</v>
      </c>
      <c r="S543" s="88">
        <f t="shared" si="121"/>
        <v>14.4</v>
      </c>
      <c r="T543" s="88">
        <f t="shared" si="121"/>
        <v>14.4</v>
      </c>
    </row>
    <row r="544" spans="1:20" ht="30">
      <c r="A544" s="342" t="s">
        <v>382</v>
      </c>
      <c r="B544" s="65">
        <f t="shared" si="118"/>
        <v>91.622468518455676</v>
      </c>
      <c r="C544" s="65">
        <v>18</v>
      </c>
      <c r="D544" s="106">
        <v>68.400000000000006</v>
      </c>
      <c r="E544" s="65">
        <f t="shared" si="119"/>
        <v>145.34095763932373</v>
      </c>
      <c r="F544" s="107">
        <f t="shared" si="120"/>
        <v>18</v>
      </c>
      <c r="G544" s="87"/>
      <c r="O544" s="342" t="s">
        <v>382</v>
      </c>
      <c r="P544" s="88">
        <f t="shared" si="121"/>
        <v>14.4</v>
      </c>
      <c r="Q544" s="88">
        <f t="shared" si="121"/>
        <v>14.4</v>
      </c>
      <c r="R544" s="88">
        <f t="shared" si="121"/>
        <v>14.4</v>
      </c>
      <c r="S544" s="88">
        <f t="shared" si="121"/>
        <v>14.4</v>
      </c>
      <c r="T544" s="88">
        <f t="shared" si="121"/>
        <v>14.4</v>
      </c>
    </row>
    <row r="545" spans="1:33">
      <c r="P545" s="116"/>
      <c r="Q545" s="116"/>
      <c r="R545" s="116"/>
      <c r="S545" s="116"/>
    </row>
    <row r="546" spans="1:33" ht="15.75" thickBot="1">
      <c r="P546" s="116"/>
      <c r="Q546" s="116"/>
      <c r="R546" s="116"/>
      <c r="S546" s="116"/>
    </row>
    <row r="547" spans="1:33">
      <c r="W547" s="733" t="s">
        <v>94</v>
      </c>
      <c r="X547" s="734"/>
      <c r="Y547" s="734"/>
      <c r="Z547" s="734"/>
      <c r="AA547" s="734"/>
      <c r="AB547" s="25"/>
      <c r="AC547" s="130" t="s">
        <v>95</v>
      </c>
      <c r="AD547" s="130"/>
      <c r="AE547" s="130"/>
      <c r="AF547" s="130"/>
      <c r="AG547" s="131"/>
    </row>
    <row r="548" spans="1:33" ht="18.75">
      <c r="A548" s="56" t="s">
        <v>86</v>
      </c>
      <c r="W548" s="26"/>
      <c r="X548" s="27">
        <v>0.6</v>
      </c>
      <c r="Y548" s="27">
        <v>0.7</v>
      </c>
      <c r="Z548" s="27">
        <v>0.8</v>
      </c>
      <c r="AA548" s="27">
        <v>0.9</v>
      </c>
      <c r="AB548" s="28"/>
      <c r="AC548" s="28"/>
      <c r="AD548" s="27">
        <v>0.6</v>
      </c>
      <c r="AE548" s="27">
        <v>0.7</v>
      </c>
      <c r="AF548" s="27">
        <v>0.8</v>
      </c>
      <c r="AG548" s="29">
        <v>0.9</v>
      </c>
    </row>
    <row r="549" spans="1:33">
      <c r="L549" s="3"/>
      <c r="W549" s="26">
        <v>350</v>
      </c>
      <c r="X549" s="30">
        <v>2.7416359384615387</v>
      </c>
      <c r="Y549" s="30">
        <v>3.1985752615384619</v>
      </c>
      <c r="Z549" s="30">
        <v>3.6555145846153856</v>
      </c>
      <c r="AA549" s="30">
        <v>4</v>
      </c>
      <c r="AB549" s="28"/>
      <c r="AC549" s="28">
        <v>350</v>
      </c>
      <c r="AD549" s="30">
        <v>3.2757208615384621</v>
      </c>
      <c r="AE549" s="30">
        <v>3.8216743384615386</v>
      </c>
      <c r="AF549" s="30">
        <v>4</v>
      </c>
      <c r="AG549" s="31">
        <v>4</v>
      </c>
    </row>
    <row r="550" spans="1:33" ht="18">
      <c r="A550" s="112" t="s">
        <v>2</v>
      </c>
      <c r="B550" s="113" t="s">
        <v>43</v>
      </c>
      <c r="C550" s="113" t="s">
        <v>142</v>
      </c>
      <c r="D550" s="113" t="s">
        <v>143</v>
      </c>
      <c r="E550" s="113" t="s">
        <v>144</v>
      </c>
      <c r="F550" s="113" t="s">
        <v>145</v>
      </c>
      <c r="G550" s="90"/>
      <c r="H550" s="90"/>
      <c r="I550" s="105" t="s">
        <v>91</v>
      </c>
      <c r="L550" s="108"/>
      <c r="W550" s="26">
        <v>380</v>
      </c>
      <c r="X550" s="30">
        <v>2.9766333046153846</v>
      </c>
      <c r="Y550" s="30">
        <v>3.4727388553846152</v>
      </c>
      <c r="Z550" s="30">
        <v>3.9688444061538473</v>
      </c>
      <c r="AA550" s="30">
        <v>4</v>
      </c>
      <c r="AB550" s="28"/>
      <c r="AC550" s="28">
        <v>380</v>
      </c>
      <c r="AD550" s="30">
        <v>3.5564969353846152</v>
      </c>
      <c r="AE550" s="30">
        <v>4</v>
      </c>
      <c r="AF550" s="30">
        <v>4</v>
      </c>
      <c r="AG550" s="31">
        <v>4</v>
      </c>
    </row>
    <row r="551" spans="1:33">
      <c r="A551" s="45"/>
      <c r="B551" s="47" t="s">
        <v>19</v>
      </c>
      <c r="C551" s="47" t="s">
        <v>18</v>
      </c>
      <c r="D551" s="47" t="s">
        <v>18</v>
      </c>
      <c r="E551" s="47" t="s">
        <v>92</v>
      </c>
      <c r="F551" s="47" t="s">
        <v>17</v>
      </c>
      <c r="G551" s="90"/>
      <c r="H551" s="90"/>
      <c r="I551" s="105" t="s">
        <v>93</v>
      </c>
      <c r="L551" s="108"/>
      <c r="W551" s="26">
        <v>410</v>
      </c>
      <c r="X551" s="30">
        <v>3.2116306707692313</v>
      </c>
      <c r="Y551" s="30">
        <v>3.7469024492307694</v>
      </c>
      <c r="Z551" s="30">
        <v>4</v>
      </c>
      <c r="AA551" s="30">
        <v>4</v>
      </c>
      <c r="AB551" s="28"/>
      <c r="AC551" s="28">
        <v>410</v>
      </c>
      <c r="AD551" s="30">
        <v>3.8372730092307696</v>
      </c>
      <c r="AE551" s="30">
        <v>4</v>
      </c>
      <c r="AF551" s="30">
        <v>4</v>
      </c>
      <c r="AG551" s="31">
        <v>4</v>
      </c>
    </row>
    <row r="552" spans="1:33">
      <c r="A552" s="33" t="s">
        <v>146</v>
      </c>
      <c r="B552" s="35">
        <v>1</v>
      </c>
      <c r="C552" s="66">
        <v>12</v>
      </c>
      <c r="D552" s="66">
        <f>I52</f>
        <v>49</v>
      </c>
      <c r="E552" s="65">
        <f>0.082*(1-0.01*C552)*$B$561/(1.35+0.015*C552)</f>
        <v>16.507189542483658</v>
      </c>
      <c r="F552" s="65">
        <f>MIN(0.4*B552*C552*D552*E552/1000,B552*(1.15*SQRT(2*I552*E552*C552)/1000+((0.52*SQRT(C552)*D552^0.9*$B$561^0.8)/1000)/4))</f>
        <v>3.8824909803921575</v>
      </c>
      <c r="G552" s="90"/>
      <c r="H552" s="90"/>
      <c r="I552" s="109">
        <f>0.15*600*C552^2.6</f>
        <v>57559.067465202104</v>
      </c>
      <c r="L552" s="108"/>
      <c r="W552" s="26">
        <v>430</v>
      </c>
      <c r="X552" s="30">
        <v>3.3682955815384616</v>
      </c>
      <c r="Y552" s="30">
        <v>3.9296781784615389</v>
      </c>
      <c r="Z552" s="30">
        <v>4</v>
      </c>
      <c r="AA552" s="30">
        <v>4</v>
      </c>
      <c r="AB552" s="28"/>
      <c r="AC552" s="28">
        <v>430</v>
      </c>
      <c r="AD552" s="30">
        <v>4</v>
      </c>
      <c r="AE552" s="30">
        <v>4</v>
      </c>
      <c r="AF552" s="30">
        <v>4</v>
      </c>
      <c r="AG552" s="31">
        <v>4</v>
      </c>
    </row>
    <row r="553" spans="1:33">
      <c r="A553" s="33" t="s">
        <v>147</v>
      </c>
      <c r="B553" s="35">
        <v>1</v>
      </c>
      <c r="C553" s="66">
        <v>16</v>
      </c>
      <c r="D553" s="66">
        <f>I54</f>
        <v>46</v>
      </c>
      <c r="E553" s="65">
        <f>0.082*(1-0.01*C553)*$B$561/(1.35+0.015*C553)</f>
        <v>15.162264150943395</v>
      </c>
      <c r="F553" s="65">
        <f>MIN(0.4*B553*C553*D553*E553/1000,B553*(1.15*SQRT(2*I553*E553*C553)/1000+((0.52*SQRT(C553)*D553^0.9*$B$561^0.8)/1000)/4))</f>
        <v>4.463770566037736</v>
      </c>
      <c r="G553" s="90"/>
      <c r="H553" s="90"/>
      <c r="I553" s="109">
        <f>0.15*600*C553^2.6</f>
        <v>121605.84905682993</v>
      </c>
      <c r="L553" s="108"/>
      <c r="W553" s="26">
        <v>450</v>
      </c>
      <c r="X553" s="30">
        <v>3.5249604923076929</v>
      </c>
      <c r="Y553" s="30">
        <v>4</v>
      </c>
      <c r="Z553" s="30">
        <v>4</v>
      </c>
      <c r="AA553" s="30">
        <v>4</v>
      </c>
      <c r="AB553" s="28"/>
      <c r="AC553" s="28">
        <v>450</v>
      </c>
      <c r="AD553" s="30">
        <v>4</v>
      </c>
      <c r="AE553" s="30">
        <v>4</v>
      </c>
      <c r="AF553" s="30">
        <v>4</v>
      </c>
      <c r="AG553" s="31">
        <v>4</v>
      </c>
    </row>
    <row r="554" spans="1:33">
      <c r="A554" s="111"/>
      <c r="B554" s="90"/>
      <c r="C554" s="90"/>
      <c r="D554" s="90"/>
      <c r="E554" s="90"/>
      <c r="F554" s="90"/>
      <c r="G554" s="90"/>
      <c r="H554" s="90"/>
      <c r="L554" s="3"/>
      <c r="W554" s="26">
        <v>400</v>
      </c>
      <c r="X554" s="30">
        <v>3.1332982153846158</v>
      </c>
      <c r="Y554" s="30">
        <v>3.6555145846153847</v>
      </c>
      <c r="Z554" s="30">
        <v>4</v>
      </c>
      <c r="AA554" s="30">
        <v>4</v>
      </c>
      <c r="AB554" s="28"/>
      <c r="AC554" s="28">
        <v>400</v>
      </c>
      <c r="AD554" s="30">
        <v>3.7436809846153851</v>
      </c>
      <c r="AE554" s="30">
        <v>4</v>
      </c>
      <c r="AF554" s="30">
        <v>4</v>
      </c>
      <c r="AG554" s="31">
        <v>4</v>
      </c>
    </row>
    <row r="555" spans="1:33" ht="18">
      <c r="A555" s="112" t="s">
        <v>2</v>
      </c>
      <c r="B555" s="113" t="s">
        <v>43</v>
      </c>
      <c r="C555" s="113" t="s">
        <v>9</v>
      </c>
      <c r="D555" s="113" t="s">
        <v>111</v>
      </c>
      <c r="E555" s="113" t="s">
        <v>112</v>
      </c>
      <c r="F555" s="113" t="s">
        <v>80</v>
      </c>
      <c r="G555" s="113" t="s">
        <v>113</v>
      </c>
      <c r="H555" s="113" t="s">
        <v>114</v>
      </c>
      <c r="W555" s="709" t="s">
        <v>107</v>
      </c>
      <c r="X555" s="710"/>
      <c r="Y555" s="710"/>
      <c r="Z555" s="710"/>
      <c r="AA555" s="710"/>
      <c r="AB555" s="28"/>
      <c r="AC555" s="710" t="s">
        <v>108</v>
      </c>
      <c r="AD555" s="710"/>
      <c r="AE555" s="710"/>
      <c r="AF555" s="710"/>
      <c r="AG555" s="711"/>
    </row>
    <row r="556" spans="1:33">
      <c r="A556" s="45"/>
      <c r="B556" s="47" t="s">
        <v>19</v>
      </c>
      <c r="C556" s="47" t="s">
        <v>18</v>
      </c>
      <c r="D556" s="47" t="s">
        <v>93</v>
      </c>
      <c r="E556" s="47" t="s">
        <v>92</v>
      </c>
      <c r="F556" s="47" t="s">
        <v>18</v>
      </c>
      <c r="G556" s="47" t="s">
        <v>17</v>
      </c>
      <c r="H556" s="47" t="s">
        <v>17</v>
      </c>
      <c r="W556" s="26">
        <v>350</v>
      </c>
      <c r="X556" s="30">
        <v>2.466435080370649</v>
      </c>
      <c r="Y556" s="30">
        <v>2.877507593765757</v>
      </c>
      <c r="Z556" s="30">
        <v>3.288580107160866</v>
      </c>
      <c r="AA556" s="30">
        <v>3.6996526205559737</v>
      </c>
      <c r="AB556" s="28"/>
      <c r="AC556" s="28">
        <v>350</v>
      </c>
      <c r="AD556" s="30">
        <v>3.2757208615384621</v>
      </c>
      <c r="AE556" s="30">
        <v>3.8216743384615386</v>
      </c>
      <c r="AF556" s="30">
        <v>4</v>
      </c>
      <c r="AG556" s="31">
        <v>4</v>
      </c>
    </row>
    <row r="557" spans="1:33">
      <c r="A557" s="33" t="s">
        <v>146</v>
      </c>
      <c r="B557" s="35">
        <v>3</v>
      </c>
      <c r="C557" s="66">
        <v>6</v>
      </c>
      <c r="D557" s="66">
        <v>6300</v>
      </c>
      <c r="E557" s="65">
        <f>(0.033+0.049)*$B$561*C557^-0.3</f>
        <v>16.766272546647741</v>
      </c>
      <c r="F557" s="66">
        <v>44</v>
      </c>
      <c r="G557" s="65">
        <f>(0.52*SQRT(C557)*44^0.9*$B$561^0.8)/1000</f>
        <v>4.1633297814663335</v>
      </c>
      <c r="H557" s="65">
        <f>B557*MIN(2.3*SQRT(C557*D557*E557)/1000+G557/4,E557*C557*F557/1000,E557*C557*F557/1000*(SQRT(2+4*D557/(E557*C557*F557^2))-1)+G557/4)</f>
        <v>8.6155435327701344</v>
      </c>
      <c r="W557" s="26">
        <v>380</v>
      </c>
      <c r="X557" s="30">
        <v>2.6625242828383633</v>
      </c>
      <c r="Y557" s="30">
        <v>3.1062783299780903</v>
      </c>
      <c r="Z557" s="30">
        <v>3.5500323771178182</v>
      </c>
      <c r="AA557" s="30">
        <v>3.9937864242575456</v>
      </c>
      <c r="AB557" s="28"/>
      <c r="AC557" s="28">
        <v>380</v>
      </c>
      <c r="AD557" s="30">
        <v>3.5564969353846152</v>
      </c>
      <c r="AE557" s="30">
        <v>4</v>
      </c>
      <c r="AF557" s="30">
        <v>4</v>
      </c>
      <c r="AG557" s="31">
        <v>4</v>
      </c>
    </row>
    <row r="558" spans="1:33">
      <c r="A558" s="33" t="s">
        <v>147</v>
      </c>
      <c r="B558" s="35">
        <v>3</v>
      </c>
      <c r="C558" s="66">
        <v>10</v>
      </c>
      <c r="D558" s="66">
        <v>23900</v>
      </c>
      <c r="E558" s="65">
        <f>(0.033+0.049)*$B$561*C558^-0.3</f>
        <v>14.384073605102715</v>
      </c>
      <c r="F558" s="66">
        <v>54</v>
      </c>
      <c r="G558" s="65">
        <f>(0.52*SQRT(C558)*50^0.9*$B$561^0.8)/1000</f>
        <v>6.0301870404833755</v>
      </c>
      <c r="H558" s="65">
        <f>B558*MIN(2.3*SQRT(C558*D558*E558)/1000+G558/4,E558*C558*F558/1000,E558*C558*F558/1000*(SQRT(2+4*D558/(E558*C558*F558^2))-1)+G558/4)</f>
        <v>16.001837621666112</v>
      </c>
      <c r="W558" s="26">
        <v>410</v>
      </c>
      <c r="X558" s="30">
        <v>2.8311444965563237</v>
      </c>
      <c r="Y558" s="30">
        <v>3.303001912649044</v>
      </c>
      <c r="Z558" s="30">
        <v>3.7748593287417651</v>
      </c>
      <c r="AA558" s="30">
        <v>4</v>
      </c>
      <c r="AB558" s="28"/>
      <c r="AC558" s="28">
        <v>410</v>
      </c>
      <c r="AD558" s="30">
        <v>3.8372730092307696</v>
      </c>
      <c r="AE558" s="30">
        <v>4</v>
      </c>
      <c r="AF558" s="30">
        <v>4</v>
      </c>
      <c r="AG558" s="31">
        <v>4</v>
      </c>
    </row>
    <row r="559" spans="1:33">
      <c r="A559" s="132"/>
      <c r="B559" s="121"/>
      <c r="C559" s="122"/>
      <c r="D559" s="122"/>
      <c r="E559" s="123"/>
      <c r="F559" s="122"/>
      <c r="G559" s="123"/>
      <c r="H559" s="123"/>
      <c r="W559" s="26"/>
      <c r="X559" s="30"/>
      <c r="Y559" s="30"/>
      <c r="Z559" s="30"/>
      <c r="AA559" s="30"/>
      <c r="AB559" s="28"/>
      <c r="AC559" s="28"/>
      <c r="AD559" s="30"/>
      <c r="AE559" s="30"/>
      <c r="AF559" s="30"/>
      <c r="AG559" s="31"/>
    </row>
    <row r="560" spans="1:33">
      <c r="A560" s="21" t="s">
        <v>37</v>
      </c>
      <c r="B560" s="22" t="s">
        <v>22</v>
      </c>
      <c r="D560" s="122"/>
      <c r="E560" s="123"/>
      <c r="F560" s="123"/>
      <c r="G560" s="90"/>
      <c r="H560" s="90"/>
      <c r="W560" s="26">
        <v>430</v>
      </c>
      <c r="X560" s="30">
        <v>2.9428539145083121</v>
      </c>
      <c r="Y560" s="30">
        <v>3.4333295669263642</v>
      </c>
      <c r="Z560" s="30">
        <v>3.9238052193444162</v>
      </c>
      <c r="AA560" s="30">
        <v>4</v>
      </c>
      <c r="AB560" s="28"/>
      <c r="AC560" s="28">
        <v>430</v>
      </c>
      <c r="AD560" s="30">
        <v>4</v>
      </c>
      <c r="AE560" s="30">
        <v>4</v>
      </c>
      <c r="AF560" s="30">
        <v>4</v>
      </c>
      <c r="AG560" s="31">
        <v>4</v>
      </c>
    </row>
    <row r="561" spans="1:33" ht="18">
      <c r="A561" s="23" t="s">
        <v>39</v>
      </c>
      <c r="B561" s="24">
        <f>VLOOKUP(B560,$V$7:$W$16,2,FALSE)</f>
        <v>350</v>
      </c>
      <c r="C561" t="s">
        <v>40</v>
      </c>
      <c r="D561" s="90"/>
      <c r="E561" s="90"/>
      <c r="F561" s="90"/>
      <c r="G561" s="90"/>
      <c r="H561" s="90"/>
      <c r="I561" s="24"/>
      <c r="J561" s="24"/>
      <c r="K561" s="24"/>
      <c r="W561" s="26">
        <v>450</v>
      </c>
      <c r="X561" s="30">
        <v>3.0540399285736144</v>
      </c>
      <c r="Y561" s="30">
        <v>3.5630465833358831</v>
      </c>
      <c r="Z561" s="30">
        <v>4</v>
      </c>
      <c r="AA561" s="30">
        <v>4</v>
      </c>
      <c r="AB561" s="28"/>
      <c r="AC561" s="28">
        <v>450</v>
      </c>
      <c r="AD561" s="30">
        <v>4</v>
      </c>
      <c r="AE561" s="30">
        <v>4</v>
      </c>
      <c r="AF561" s="30">
        <v>4</v>
      </c>
      <c r="AG561" s="31">
        <v>4</v>
      </c>
    </row>
    <row r="562" spans="1:33">
      <c r="A562" s="133"/>
      <c r="B562" s="90"/>
      <c r="C562" s="90"/>
      <c r="D562" s="90"/>
      <c r="E562" s="90"/>
      <c r="F562" s="90"/>
      <c r="G562" s="90"/>
      <c r="H562" s="90"/>
      <c r="I562" s="24"/>
      <c r="J562" s="24"/>
      <c r="K562" s="24"/>
      <c r="W562" s="26">
        <v>400</v>
      </c>
      <c r="X562" s="30">
        <v>2.7750831585268934</v>
      </c>
      <c r="Y562" s="30">
        <v>3.237597018281376</v>
      </c>
      <c r="Z562" s="30">
        <v>3.7001108780358587</v>
      </c>
      <c r="AA562" s="30">
        <v>4</v>
      </c>
      <c r="AB562" s="28"/>
      <c r="AC562" s="28">
        <v>400</v>
      </c>
      <c r="AD562" s="30">
        <v>3.7436809846153851</v>
      </c>
      <c r="AE562" s="30">
        <v>4</v>
      </c>
      <c r="AF562" s="30">
        <v>4</v>
      </c>
      <c r="AG562" s="31">
        <v>4</v>
      </c>
    </row>
    <row r="563" spans="1:33">
      <c r="A563" s="133"/>
      <c r="B563" s="102"/>
      <c r="C563" s="90"/>
      <c r="D563" s="90"/>
      <c r="E563" s="90"/>
      <c r="F563" s="90" t="s">
        <v>72</v>
      </c>
      <c r="G563" s="90" t="s">
        <v>148</v>
      </c>
      <c r="H563" s="90"/>
      <c r="I563" s="24"/>
      <c r="J563" s="24"/>
      <c r="K563" s="24"/>
      <c r="W563" s="709" t="s">
        <v>117</v>
      </c>
      <c r="X563" s="710"/>
      <c r="Y563" s="710"/>
      <c r="Z563" s="710"/>
      <c r="AA563" s="710"/>
      <c r="AB563" s="28"/>
      <c r="AC563" s="710" t="s">
        <v>118</v>
      </c>
      <c r="AD563" s="710"/>
      <c r="AE563" s="710"/>
      <c r="AF563" s="710"/>
      <c r="AG563" s="711"/>
    </row>
    <row r="564" spans="1:33" ht="18">
      <c r="A564" s="112" t="s">
        <v>2</v>
      </c>
      <c r="B564" s="125" t="s">
        <v>149</v>
      </c>
      <c r="C564" s="125" t="s">
        <v>135</v>
      </c>
      <c r="D564" s="113" t="s">
        <v>150</v>
      </c>
      <c r="E564" s="125" t="s">
        <v>151</v>
      </c>
      <c r="F564" s="126" t="s">
        <v>152</v>
      </c>
      <c r="G564" s="126" t="s">
        <v>139</v>
      </c>
      <c r="H564" s="90"/>
      <c r="I564" s="24"/>
      <c r="J564" s="24"/>
      <c r="K564" s="24"/>
      <c r="O564" s="112" t="s">
        <v>2</v>
      </c>
      <c r="P564" s="682" t="s">
        <v>132</v>
      </c>
      <c r="Q564" s="683"/>
      <c r="R564" s="683"/>
      <c r="S564" s="683"/>
      <c r="T564" s="684"/>
      <c r="W564" s="26">
        <v>350</v>
      </c>
      <c r="X564" s="30">
        <v>1.7919189140271494</v>
      </c>
      <c r="Y564" s="30">
        <v>2.0905720663650076</v>
      </c>
      <c r="Z564" s="30">
        <v>2.3892252187028662</v>
      </c>
      <c r="AA564" s="30">
        <v>2.6878783710407244</v>
      </c>
      <c r="AB564" s="28"/>
      <c r="AC564" s="28">
        <v>350</v>
      </c>
      <c r="AD564" s="30">
        <v>2.0602017997097244</v>
      </c>
      <c r="AE564" s="30">
        <v>2.4035687663280116</v>
      </c>
      <c r="AF564" s="30">
        <v>2.7469357329462993</v>
      </c>
      <c r="AG564" s="31">
        <v>3.0903026995645866</v>
      </c>
    </row>
    <row r="565" spans="1:33">
      <c r="A565" s="45"/>
      <c r="B565" s="127" t="s">
        <v>17</v>
      </c>
      <c r="C565" s="128" t="s">
        <v>17</v>
      </c>
      <c r="D565" s="47" t="s">
        <v>78</v>
      </c>
      <c r="E565" s="128" t="s">
        <v>17</v>
      </c>
      <c r="F565" s="129" t="s">
        <v>17</v>
      </c>
      <c r="G565" s="129" t="s">
        <v>17</v>
      </c>
      <c r="H565" s="90"/>
      <c r="I565" s="24"/>
      <c r="J565" s="24"/>
      <c r="K565" s="24"/>
      <c r="O565" s="45"/>
      <c r="P565" s="95">
        <v>0.6</v>
      </c>
      <c r="Q565" s="95">
        <v>0.7</v>
      </c>
      <c r="R565" s="95">
        <v>0.8</v>
      </c>
      <c r="S565" s="95">
        <v>0.9</v>
      </c>
      <c r="T565" s="95">
        <v>1</v>
      </c>
      <c r="W565" s="26">
        <v>380</v>
      </c>
      <c r="X565" s="30">
        <v>1.9455119638009055</v>
      </c>
      <c r="Y565" s="30">
        <v>2.2697639577677231</v>
      </c>
      <c r="Z565" s="30">
        <v>2.5940159517345407</v>
      </c>
      <c r="AA565" s="30">
        <v>2.9182679457013583</v>
      </c>
      <c r="AB565" s="28"/>
      <c r="AC565" s="28">
        <v>380</v>
      </c>
      <c r="AD565" s="30">
        <v>2.2367905253991291</v>
      </c>
      <c r="AE565" s="30">
        <v>2.6095889462989836</v>
      </c>
      <c r="AF565" s="30">
        <v>2.982387367198839</v>
      </c>
      <c r="AG565" s="31">
        <v>3.3551857880986939</v>
      </c>
    </row>
    <row r="566" spans="1:33">
      <c r="A566" s="33" t="s">
        <v>146</v>
      </c>
      <c r="B566" s="65">
        <f>F552</f>
        <v>3.8824909803921575</v>
      </c>
      <c r="C566" s="65">
        <v>5</v>
      </c>
      <c r="D566" s="134">
        <v>0</v>
      </c>
      <c r="E566" s="65">
        <f>H557</f>
        <v>8.6155435327701344</v>
      </c>
      <c r="F566" s="135">
        <f>MIN(B566,C566,E566)</f>
        <v>3.8824909803921575</v>
      </c>
      <c r="G566" s="107">
        <v>4</v>
      </c>
      <c r="H566" s="90"/>
      <c r="O566" s="33" t="s">
        <v>146</v>
      </c>
      <c r="P566" s="88">
        <f t="shared" ref="P566:T567" si="122">MIN(P$565*$B566/1.3,$C566/1.25,P$565*$E566/1.3)</f>
        <v>1.7919189140271494</v>
      </c>
      <c r="Q566" s="88">
        <f t="shared" si="122"/>
        <v>2.0905720663650076</v>
      </c>
      <c r="R566" s="88">
        <f t="shared" si="122"/>
        <v>2.3892252187028662</v>
      </c>
      <c r="S566" s="88">
        <f t="shared" si="122"/>
        <v>2.6878783710407244</v>
      </c>
      <c r="T566" s="88">
        <f t="shared" si="122"/>
        <v>2.9865315233785825</v>
      </c>
      <c r="W566" s="26">
        <v>410</v>
      </c>
      <c r="X566" s="30">
        <v>2.0991050135746607</v>
      </c>
      <c r="Y566" s="30">
        <v>2.4489558491704377</v>
      </c>
      <c r="Z566" s="30">
        <v>2.7988066847662147</v>
      </c>
      <c r="AA566" s="30">
        <v>3.1486575203619913</v>
      </c>
      <c r="AB566" s="28"/>
      <c r="AC566" s="28">
        <v>410</v>
      </c>
      <c r="AD566" s="30">
        <v>2.4133792510885339</v>
      </c>
      <c r="AE566" s="30">
        <v>2.8156091262699561</v>
      </c>
      <c r="AF566" s="30">
        <v>3.2178390014513791</v>
      </c>
      <c r="AG566" s="31">
        <v>3.6200688766328009</v>
      </c>
    </row>
    <row r="567" spans="1:33">
      <c r="A567" s="33" t="s">
        <v>147</v>
      </c>
      <c r="B567" s="65">
        <f>F553</f>
        <v>4.463770566037736</v>
      </c>
      <c r="C567" s="65">
        <v>5</v>
      </c>
      <c r="D567" s="134">
        <v>0</v>
      </c>
      <c r="E567" s="65">
        <f>H558</f>
        <v>16.001837621666112</v>
      </c>
      <c r="F567" s="135">
        <f>MIN(B567,C567,E567)</f>
        <v>4.463770566037736</v>
      </c>
      <c r="G567" s="107">
        <v>4</v>
      </c>
      <c r="H567" s="121"/>
      <c r="I567" s="108"/>
      <c r="J567" s="108"/>
      <c r="K567" s="3"/>
      <c r="L567" s="3"/>
      <c r="O567" s="33" t="s">
        <v>147</v>
      </c>
      <c r="P567" s="88">
        <f t="shared" si="122"/>
        <v>2.0602017997097244</v>
      </c>
      <c r="Q567" s="88">
        <f t="shared" si="122"/>
        <v>2.4035687663280116</v>
      </c>
      <c r="R567" s="88">
        <f t="shared" si="122"/>
        <v>2.7469357329462993</v>
      </c>
      <c r="S567" s="88">
        <f t="shared" si="122"/>
        <v>3.0903026995645866</v>
      </c>
      <c r="T567" s="88">
        <f t="shared" si="122"/>
        <v>3.4336696661828738</v>
      </c>
      <c r="W567" s="26">
        <v>430</v>
      </c>
      <c r="X567" s="30">
        <v>2.2015003800904984</v>
      </c>
      <c r="Y567" s="30">
        <v>2.5684171101055813</v>
      </c>
      <c r="Z567" s="30">
        <v>2.9353338401206646</v>
      </c>
      <c r="AA567" s="30">
        <v>3.3022505701357474</v>
      </c>
      <c r="AB567" s="28"/>
      <c r="AC567" s="28">
        <v>430</v>
      </c>
      <c r="AD567" s="30">
        <v>2.5311050682148037</v>
      </c>
      <c r="AE567" s="30">
        <v>2.9529559129172713</v>
      </c>
      <c r="AF567" s="30">
        <v>3.3748067576197389</v>
      </c>
      <c r="AG567" s="31">
        <v>3.7966576023222061</v>
      </c>
    </row>
    <row r="568" spans="1:33">
      <c r="A568" s="3"/>
      <c r="B568" s="100"/>
      <c r="C568" s="100"/>
      <c r="D568" s="136"/>
      <c r="E568" s="100"/>
      <c r="F568" s="115"/>
      <c r="G568" s="115"/>
      <c r="H568" s="108"/>
      <c r="I568" s="108"/>
      <c r="J568" s="108"/>
      <c r="K568" s="3"/>
      <c r="L568" s="3"/>
      <c r="W568" s="26">
        <v>450</v>
      </c>
      <c r="X568" s="30">
        <v>2.3038957466063352</v>
      </c>
      <c r="Y568" s="30">
        <v>2.6878783710407244</v>
      </c>
      <c r="Z568" s="30">
        <v>3.0718609954751135</v>
      </c>
      <c r="AA568" s="30">
        <v>3.4558436199095031</v>
      </c>
      <c r="AB568" s="28"/>
      <c r="AC568" s="28">
        <v>450</v>
      </c>
      <c r="AD568" s="30">
        <v>2.648830885341074</v>
      </c>
      <c r="AE568" s="30">
        <v>3.0903026995645861</v>
      </c>
      <c r="AF568" s="30">
        <v>3.5317745137880991</v>
      </c>
      <c r="AG568" s="31">
        <v>3.9732463280116108</v>
      </c>
    </row>
    <row r="569" spans="1:33">
      <c r="A569" s="3"/>
      <c r="B569" s="108"/>
      <c r="C569" s="118"/>
      <c r="D569" s="100"/>
      <c r="E569" s="100"/>
      <c r="F569" s="108"/>
      <c r="G569" s="118"/>
      <c r="H569" s="100"/>
      <c r="I569" s="100"/>
      <c r="J569" s="100"/>
      <c r="K569" s="3"/>
      <c r="L569" s="3"/>
      <c r="W569" s="26">
        <v>400</v>
      </c>
      <c r="X569" s="30">
        <v>2.0479073303167423</v>
      </c>
      <c r="Y569" s="30">
        <v>2.3892252187028657</v>
      </c>
      <c r="Z569" s="30">
        <v>2.7305431070889901</v>
      </c>
      <c r="AA569" s="30">
        <v>3.0718609954751135</v>
      </c>
      <c r="AB569" s="28"/>
      <c r="AC569" s="28">
        <v>400</v>
      </c>
      <c r="AD569" s="30">
        <v>2.354516342525399</v>
      </c>
      <c r="AE569" s="30">
        <v>2.7469357329462989</v>
      </c>
      <c r="AF569" s="30">
        <v>3.1393551233671988</v>
      </c>
      <c r="AG569" s="31">
        <v>3.5317745137880991</v>
      </c>
    </row>
    <row r="570" spans="1:33">
      <c r="A570" s="3"/>
      <c r="B570" s="108"/>
      <c r="C570" s="118"/>
      <c r="D570" s="100"/>
      <c r="E570" s="100"/>
      <c r="F570" s="108"/>
      <c r="G570" s="118"/>
      <c r="H570" s="100"/>
      <c r="I570" s="100"/>
      <c r="J570" s="100"/>
      <c r="K570" s="3"/>
      <c r="L570" s="3"/>
      <c r="W570" s="709" t="s">
        <v>124</v>
      </c>
      <c r="X570" s="710"/>
      <c r="Y570" s="710"/>
      <c r="Z570" s="710"/>
      <c r="AA570" s="710"/>
      <c r="AB570" s="28"/>
      <c r="AC570" s="710" t="s">
        <v>125</v>
      </c>
      <c r="AD570" s="710"/>
      <c r="AE570" s="710"/>
      <c r="AF570" s="710"/>
      <c r="AG570" s="711"/>
    </row>
    <row r="571" spans="1:33">
      <c r="A571" s="3"/>
      <c r="B571" s="108"/>
      <c r="C571" s="118"/>
      <c r="D571" s="100"/>
      <c r="E571" s="100"/>
      <c r="F571" s="108"/>
      <c r="G571" s="118"/>
      <c r="H571" s="100"/>
      <c r="I571" s="100"/>
      <c r="J571" s="100"/>
      <c r="K571" s="3"/>
      <c r="L571" s="3"/>
      <c r="W571" s="26">
        <v>350</v>
      </c>
      <c r="X571" s="30">
        <v>1.7919189140271494</v>
      </c>
      <c r="Y571" s="30">
        <v>2.0905720663650076</v>
      </c>
      <c r="Z571" s="30">
        <v>2.3892252187028662</v>
      </c>
      <c r="AA571" s="30">
        <v>2.6878783710407244</v>
      </c>
      <c r="AB571" s="28"/>
      <c r="AC571" s="28">
        <v>350</v>
      </c>
      <c r="AD571" s="30">
        <v>2.0602017997097244</v>
      </c>
      <c r="AE571" s="30">
        <v>2.4035687663280116</v>
      </c>
      <c r="AF571" s="30">
        <v>2.7469357329462993</v>
      </c>
      <c r="AG571" s="31">
        <v>3.0903026995645866</v>
      </c>
    </row>
    <row r="572" spans="1:33">
      <c r="A572" s="119"/>
      <c r="B572" s="120"/>
      <c r="C572" s="3"/>
      <c r="D572" s="3"/>
      <c r="E572" s="3"/>
      <c r="F572" s="3"/>
      <c r="G572" s="3"/>
      <c r="H572" s="3"/>
      <c r="I572" s="3"/>
      <c r="J572" s="3"/>
      <c r="K572" s="3"/>
      <c r="L572" s="3"/>
      <c r="W572" s="26">
        <v>380</v>
      </c>
      <c r="X572" s="30">
        <v>1.9455119638009055</v>
      </c>
      <c r="Y572" s="30">
        <v>2.2697639577677231</v>
      </c>
      <c r="Z572" s="30">
        <v>2.5940159517345407</v>
      </c>
      <c r="AA572" s="30">
        <v>2.9182679457013583</v>
      </c>
      <c r="AB572" s="28"/>
      <c r="AC572" s="28">
        <v>380</v>
      </c>
      <c r="AD572" s="30">
        <v>2.2367905253991291</v>
      </c>
      <c r="AE572" s="30">
        <v>2.6095889462989836</v>
      </c>
      <c r="AF572" s="30">
        <v>2.982387367198839</v>
      </c>
      <c r="AG572" s="31">
        <v>3.3551857880986939</v>
      </c>
    </row>
    <row r="573" spans="1:33">
      <c r="W573" s="26">
        <v>410</v>
      </c>
      <c r="X573" s="30">
        <v>2.0991050135746607</v>
      </c>
      <c r="Y573" s="30">
        <v>2.4489558491704377</v>
      </c>
      <c r="Z573" s="30">
        <v>2.7988066847662147</v>
      </c>
      <c r="AA573" s="30">
        <v>3.1486575203619913</v>
      </c>
      <c r="AB573" s="28"/>
      <c r="AC573" s="28">
        <v>410</v>
      </c>
      <c r="AD573" s="30">
        <v>2.4133792510885339</v>
      </c>
      <c r="AE573" s="30">
        <v>2.8156091262699561</v>
      </c>
      <c r="AF573" s="30">
        <v>3.2178390014513791</v>
      </c>
      <c r="AG573" s="31">
        <v>3.6200688766328009</v>
      </c>
    </row>
    <row r="574" spans="1:33" ht="26.25">
      <c r="A574" s="1" t="s">
        <v>153</v>
      </c>
      <c r="W574" s="26">
        <v>430</v>
      </c>
      <c r="X574" s="30">
        <v>2.2015003800904984</v>
      </c>
      <c r="Y574" s="30">
        <v>2.5684171101055813</v>
      </c>
      <c r="Z574" s="30">
        <v>2.9353338401206646</v>
      </c>
      <c r="AA574" s="30">
        <v>3.3022505701357474</v>
      </c>
      <c r="AB574" s="28"/>
      <c r="AC574" s="28">
        <v>430</v>
      </c>
      <c r="AD574" s="30">
        <v>2.5311050682148037</v>
      </c>
      <c r="AE574" s="30">
        <v>2.9529559129172713</v>
      </c>
      <c r="AF574" s="30">
        <v>3.3748067576197389</v>
      </c>
      <c r="AG574" s="31">
        <v>3.7966576023222061</v>
      </c>
    </row>
    <row r="575" spans="1:33" ht="23.25">
      <c r="A575" s="1"/>
      <c r="W575" s="26">
        <v>450</v>
      </c>
      <c r="X575" s="30">
        <v>2.3038957466063352</v>
      </c>
      <c r="Y575" s="30">
        <v>2.6878783710407244</v>
      </c>
      <c r="Z575" s="30">
        <v>3.0718609954751135</v>
      </c>
      <c r="AA575" s="30">
        <v>3.4558436199095031</v>
      </c>
      <c r="AB575" s="28"/>
      <c r="AC575" s="28">
        <v>450</v>
      </c>
      <c r="AD575" s="30">
        <v>2.648830885341074</v>
      </c>
      <c r="AE575" s="30">
        <v>3.0903026995645861</v>
      </c>
      <c r="AF575" s="30">
        <v>3.5317745137880991</v>
      </c>
      <c r="AG575" s="31">
        <v>3.9732463280116108</v>
      </c>
    </row>
    <row r="576" spans="1:33" ht="19.5" thickBot="1">
      <c r="A576" s="56" t="s">
        <v>58</v>
      </c>
      <c r="W576" s="57">
        <v>400</v>
      </c>
      <c r="X576" s="58">
        <v>2.0479073303167423</v>
      </c>
      <c r="Y576" s="58">
        <v>2.3892252187028657</v>
      </c>
      <c r="Z576" s="58">
        <v>2.7305431070889901</v>
      </c>
      <c r="AA576" s="58">
        <v>3.0718609954751135</v>
      </c>
      <c r="AB576" s="59"/>
      <c r="AC576" s="59">
        <v>400</v>
      </c>
      <c r="AD576" s="58">
        <v>2.354516342525399</v>
      </c>
      <c r="AE576" s="58">
        <v>2.7469357329462989</v>
      </c>
      <c r="AF576" s="58">
        <v>3.1393551233671988</v>
      </c>
      <c r="AG576" s="60">
        <v>3.5317745137880991</v>
      </c>
    </row>
    <row r="577" spans="1:33" ht="18.75">
      <c r="A577" s="56"/>
      <c r="W577" s="28"/>
      <c r="X577" s="30"/>
      <c r="Y577" s="30"/>
      <c r="Z577" s="30"/>
      <c r="AA577" s="30"/>
      <c r="AB577" s="28"/>
      <c r="AC577" s="28"/>
      <c r="AD577" s="30"/>
      <c r="AE577" s="30"/>
      <c r="AF577" s="30"/>
      <c r="AG577" s="30"/>
    </row>
    <row r="578" spans="1:33">
      <c r="A578" s="21" t="s">
        <v>37</v>
      </c>
      <c r="B578" s="22" t="s">
        <v>25</v>
      </c>
      <c r="W578" s="28"/>
      <c r="X578" s="30"/>
      <c r="Y578" s="30"/>
      <c r="Z578" s="30"/>
      <c r="AA578" s="30"/>
      <c r="AB578" s="28"/>
      <c r="AC578" s="28"/>
      <c r="AD578" s="30"/>
      <c r="AE578" s="30"/>
      <c r="AF578" s="30"/>
      <c r="AG578" s="30"/>
    </row>
    <row r="579" spans="1:33" ht="18">
      <c r="A579" s="23" t="s">
        <v>39</v>
      </c>
      <c r="B579" s="24">
        <f>VLOOKUP(B578,$V$7:$W$16,2,FALSE)</f>
        <v>385</v>
      </c>
      <c r="C579" t="s">
        <v>40</v>
      </c>
      <c r="W579" s="28"/>
      <c r="X579" s="30"/>
      <c r="Y579" s="30"/>
      <c r="Z579" s="30"/>
      <c r="AA579" s="30"/>
      <c r="AB579" s="28"/>
      <c r="AC579" s="28"/>
      <c r="AD579" s="30"/>
      <c r="AE579" s="30"/>
      <c r="AF579" s="30"/>
      <c r="AG579" s="30"/>
    </row>
    <row r="580" spans="1:33" ht="18">
      <c r="A580" s="23" t="s">
        <v>62</v>
      </c>
      <c r="B580" s="90">
        <v>23900</v>
      </c>
      <c r="C580" t="s">
        <v>63</v>
      </c>
      <c r="W580" s="28"/>
      <c r="X580" s="30"/>
      <c r="Y580" s="30"/>
      <c r="Z580" s="30"/>
      <c r="AA580" s="30"/>
      <c r="AB580" s="28"/>
      <c r="AC580" s="28"/>
      <c r="AD580" s="30"/>
      <c r="AE580" s="30"/>
      <c r="AF580" s="30"/>
      <c r="AG580" s="30"/>
    </row>
    <row r="581" spans="1:33">
      <c r="A581" s="23" t="s">
        <v>64</v>
      </c>
      <c r="B581" s="90">
        <v>10</v>
      </c>
      <c r="C581" t="s">
        <v>65</v>
      </c>
      <c r="W581" s="28"/>
      <c r="X581" s="30"/>
      <c r="Y581" s="30"/>
      <c r="Z581" s="30"/>
      <c r="AA581" s="30"/>
      <c r="AB581" s="28"/>
      <c r="AC581" s="28"/>
      <c r="AD581" s="30"/>
      <c r="AE581" s="30"/>
      <c r="AF581" s="30"/>
      <c r="AG581" s="30"/>
    </row>
    <row r="582" spans="1:33" ht="18">
      <c r="A582" s="23" t="s">
        <v>66</v>
      </c>
      <c r="B582" s="101">
        <f>0.033*B579*B581^-0.3</f>
        <v>6.3675838032344938</v>
      </c>
      <c r="C582" t="s">
        <v>67</v>
      </c>
      <c r="W582" s="28"/>
      <c r="X582" s="30"/>
      <c r="Y582" s="30"/>
      <c r="Z582" s="30"/>
      <c r="AA582" s="30"/>
      <c r="AB582" s="28"/>
      <c r="AC582" s="28"/>
      <c r="AD582" s="30"/>
      <c r="AE582" s="30"/>
      <c r="AF582" s="30"/>
      <c r="AG582" s="30"/>
    </row>
    <row r="583" spans="1:33" ht="18">
      <c r="A583" s="23" t="s">
        <v>68</v>
      </c>
      <c r="B583" s="102">
        <f>0.082*B581^-0.3*B579</f>
        <v>15.822480965612984</v>
      </c>
      <c r="C583" t="s">
        <v>67</v>
      </c>
      <c r="W583" s="28"/>
      <c r="X583" s="30"/>
      <c r="Y583" s="30"/>
      <c r="Z583" s="30"/>
      <c r="AA583" s="30"/>
      <c r="AB583" s="28"/>
      <c r="AC583" s="28"/>
      <c r="AD583" s="30"/>
      <c r="AE583" s="30"/>
      <c r="AF583" s="30"/>
      <c r="AG583" s="30"/>
    </row>
    <row r="585" spans="1:33" ht="18">
      <c r="A585" s="4" t="s">
        <v>2</v>
      </c>
      <c r="B585" s="5" t="s">
        <v>43</v>
      </c>
      <c r="C585" s="5" t="s">
        <v>44</v>
      </c>
      <c r="D585" s="5" t="s">
        <v>59</v>
      </c>
      <c r="E585" s="5" t="s">
        <v>60</v>
      </c>
      <c r="F585" s="5" t="s">
        <v>154</v>
      </c>
      <c r="G585" s="5" t="s">
        <v>155</v>
      </c>
      <c r="H585" s="5" t="s">
        <v>156</v>
      </c>
      <c r="I585" s="5" t="s">
        <v>157</v>
      </c>
      <c r="J585" s="5" t="s">
        <v>158</v>
      </c>
    </row>
    <row r="586" spans="1:33">
      <c r="A586" s="8"/>
      <c r="B586" s="9" t="s">
        <v>19</v>
      </c>
      <c r="C586" s="9" t="s">
        <v>18</v>
      </c>
      <c r="D586" s="9" t="s">
        <v>17</v>
      </c>
      <c r="E586" s="9" t="s">
        <v>17</v>
      </c>
      <c r="F586" s="9" t="s">
        <v>19</v>
      </c>
      <c r="G586" s="9" t="s">
        <v>78</v>
      </c>
      <c r="H586" s="9" t="s">
        <v>78</v>
      </c>
      <c r="I586" s="9" t="s">
        <v>18</v>
      </c>
      <c r="J586" s="9" t="s">
        <v>17</v>
      </c>
    </row>
    <row r="587" spans="1:33" ht="45">
      <c r="A587" s="68" t="s">
        <v>372</v>
      </c>
      <c r="B587" s="69">
        <v>3</v>
      </c>
      <c r="C587" s="63">
        <v>84</v>
      </c>
      <c r="D587" s="64">
        <f>($D$592*0.52*SQRT($B$581)*C587^0.9*$B$579^0.8)/1000</f>
        <v>3.1141859386286983</v>
      </c>
      <c r="E587" s="64">
        <f>MIN(2.3*SQRT($B$580*$B$582*$B$581)/1000+D587/4,$B$582*$B$581*C587/1000,$B$582*$B$581*C587/1000*(SQRT(2+4*$B$580/($B$582*$B$581*C587^2))-1)+D587/4)</f>
        <v>3.3862891193202023</v>
      </c>
      <c r="F587" s="69">
        <v>3</v>
      </c>
      <c r="G587" s="69">
        <v>56</v>
      </c>
      <c r="H587" s="69">
        <v>99999999</v>
      </c>
      <c r="I587" s="137">
        <v>0</v>
      </c>
      <c r="J587" s="138">
        <f>E587/SQRT((1/F587+I587/G587)^2+(I587/H587)^2)</f>
        <v>10.158867357960608</v>
      </c>
    </row>
    <row r="588" spans="1:33" ht="60">
      <c r="A588" s="67" t="s">
        <v>373</v>
      </c>
      <c r="B588" s="69">
        <v>4</v>
      </c>
      <c r="C588" s="63">
        <v>84</v>
      </c>
      <c r="D588" s="64">
        <f>($D$592*0.52*SQRT($B$581)*C588^0.9*$B$579^0.8)/1000</f>
        <v>3.1141859386286983</v>
      </c>
      <c r="E588" s="64">
        <f>MIN(2.3*SQRT($B$580*$B$582*$B$581)/1000+D588/4,$B$582*$B$581*C588/1000,$B$582*$B$581*C588/1000*(SQRT(2+4*$B$580/($B$582*$B$581*C588^2))-1)+D588/4)</f>
        <v>3.3862891193202023</v>
      </c>
      <c r="F588" s="69">
        <v>4</v>
      </c>
      <c r="G588" s="69">
        <v>91</v>
      </c>
      <c r="H588" s="69">
        <v>422</v>
      </c>
      <c r="I588" s="137">
        <v>0</v>
      </c>
      <c r="J588" s="138">
        <f>E588/SQRT((1/F588+I588/G588)^2+(I588/H588)^2)</f>
        <v>13.545156477280809</v>
      </c>
    </row>
    <row r="589" spans="1:33" ht="60">
      <c r="A589" s="67" t="s">
        <v>374</v>
      </c>
      <c r="B589" s="69">
        <v>4</v>
      </c>
      <c r="C589" s="63">
        <v>84</v>
      </c>
      <c r="D589" s="64">
        <f>($D$592*0.52*SQRT($B$581)*C589^0.9*$B$579^0.8)/1000</f>
        <v>3.1141859386286983</v>
      </c>
      <c r="E589" s="64">
        <f>MIN(2.3*SQRT($B$580*$B$582*$B$581)/1000+D589/4,$B$582*$B$581*C589/1000,$B$582*$B$581*C589/1000*(SQRT(2+4*$B$580/($B$582*$B$581*C589^2))-1)+D589/4)</f>
        <v>3.3862891193202023</v>
      </c>
      <c r="F589" s="69">
        <v>4</v>
      </c>
      <c r="G589" s="69">
        <v>98</v>
      </c>
      <c r="H589" s="69">
        <v>99999999</v>
      </c>
      <c r="I589" s="137">
        <v>0</v>
      </c>
      <c r="J589" s="138">
        <f>E589/SQRT((1/F589+I589/G589)^2+(I589/H589)^2)</f>
        <v>13.545156477280809</v>
      </c>
    </row>
    <row r="590" spans="1:33" ht="60">
      <c r="A590" s="67" t="s">
        <v>375</v>
      </c>
      <c r="B590" s="69">
        <v>6</v>
      </c>
      <c r="C590" s="63">
        <v>84</v>
      </c>
      <c r="D590" s="64">
        <f>($D$592*0.52*SQRT($B$581)*C590^0.9*$B$579^0.8)/1000</f>
        <v>3.1141859386286983</v>
      </c>
      <c r="E590" s="64">
        <f>MIN(2.3*SQRT($B$580*$B$582*$B$581)/1000+D590/4,$B$582*$B$581*C590/1000,$B$582*$B$581*C590/1000*(SQRT(2+4*$B$580/($B$582*$B$581*C590^2))-1)+D590/4)</f>
        <v>3.3862891193202023</v>
      </c>
      <c r="F590" s="69">
        <v>6</v>
      </c>
      <c r="G590" s="69">
        <v>140</v>
      </c>
      <c r="H590" s="69">
        <v>882</v>
      </c>
      <c r="I590" s="137">
        <v>0</v>
      </c>
      <c r="J590" s="138">
        <f>E590/SQRT((1/F590+I590/G590)^2+(I590/H590)^2)</f>
        <v>20.317734715921215</v>
      </c>
    </row>
    <row r="591" spans="1:33" ht="60">
      <c r="A591" s="67" t="s">
        <v>376</v>
      </c>
      <c r="B591" s="69">
        <v>5</v>
      </c>
      <c r="C591" s="63">
        <v>84</v>
      </c>
      <c r="D591" s="64">
        <f>($D$592*0.52*SQRT($B$581)*C591^0.9*$B$579^0.8)/1000</f>
        <v>3.1141859386286983</v>
      </c>
      <c r="E591" s="64">
        <f>MIN(2.3*SQRT($B$580*$B$582*$B$581)/1000+D591/4,$B$582*$B$581*C591/1000,$B$582*$B$581*C591/1000*(SQRT(2+4*$B$580/($B$582*$B$581*C591^2))-1)+D591/4)</f>
        <v>3.3862891193202023</v>
      </c>
      <c r="F591" s="69">
        <v>5</v>
      </c>
      <c r="G591" s="69">
        <v>151</v>
      </c>
      <c r="H591" s="69">
        <v>99999999</v>
      </c>
      <c r="I591" s="137">
        <v>0</v>
      </c>
      <c r="J591" s="138">
        <f>E591/SQRT((1/F591+I591/G591)^2+(I591/H591)^2)</f>
        <v>16.931445596601009</v>
      </c>
    </row>
    <row r="592" spans="1:33">
      <c r="A592" s="91"/>
      <c r="C592" t="s">
        <v>355</v>
      </c>
      <c r="D592" s="22">
        <v>0.3</v>
      </c>
    </row>
    <row r="594" spans="1:20">
      <c r="F594" s="24"/>
      <c r="G594" s="24"/>
      <c r="H594" s="24"/>
      <c r="I594" s="24"/>
      <c r="J594" s="24"/>
      <c r="K594" s="24"/>
    </row>
    <row r="595" spans="1:20">
      <c r="F595" s="24"/>
      <c r="G595" s="24"/>
      <c r="H595" s="24"/>
      <c r="I595" s="24"/>
      <c r="J595" s="24"/>
      <c r="K595" s="24"/>
    </row>
    <row r="596" spans="1:20" ht="18">
      <c r="A596" s="4" t="s">
        <v>2</v>
      </c>
      <c r="B596" s="5" t="s">
        <v>43</v>
      </c>
      <c r="C596" s="5" t="s">
        <v>44</v>
      </c>
      <c r="D596" s="5" t="s">
        <v>69</v>
      </c>
      <c r="E596" s="5" t="s">
        <v>70</v>
      </c>
      <c r="F596" s="5" t="s">
        <v>154</v>
      </c>
      <c r="G596" s="5" t="s">
        <v>159</v>
      </c>
      <c r="H596" s="5" t="s">
        <v>156</v>
      </c>
      <c r="I596" s="5" t="s">
        <v>160</v>
      </c>
      <c r="J596" s="5" t="s">
        <v>161</v>
      </c>
      <c r="K596" s="5" t="s">
        <v>162</v>
      </c>
    </row>
    <row r="597" spans="1:20">
      <c r="A597" s="8"/>
      <c r="B597" s="9" t="s">
        <v>19</v>
      </c>
      <c r="C597" s="9" t="s">
        <v>18</v>
      </c>
      <c r="D597" s="9" t="s">
        <v>17</v>
      </c>
      <c r="E597" s="9" t="s">
        <v>17</v>
      </c>
      <c r="F597" s="9" t="s">
        <v>19</v>
      </c>
      <c r="G597" s="9" t="s">
        <v>78</v>
      </c>
      <c r="H597" s="9" t="s">
        <v>78</v>
      </c>
      <c r="I597" s="9" t="s">
        <v>78</v>
      </c>
      <c r="J597" s="9" t="s">
        <v>18</v>
      </c>
      <c r="K597" s="62" t="s">
        <v>17</v>
      </c>
    </row>
    <row r="598" spans="1:20" ht="45">
      <c r="A598" s="68" t="s">
        <v>372</v>
      </c>
      <c r="B598" s="139">
        <v>3</v>
      </c>
      <c r="C598" s="140">
        <v>65</v>
      </c>
      <c r="D598" s="141">
        <f>(0.52*SQRT($B$581)*54^0.9*$B$579^0.8)/1000</f>
        <v>6.974712508553587</v>
      </c>
      <c r="E598" s="141">
        <f>MIN(2.3*SQRT($B$580*$B$583*$B$581)/1000+D598/4,$B$583*$B$581*C598/1000,$B$583*$B$581*C598/1000*(SQRT(2+4*$B$580/($B$583*$B$581*C598^2))-1)+D598/4)</f>
        <v>6.2163195066404633</v>
      </c>
      <c r="F598" s="139">
        <v>3</v>
      </c>
      <c r="G598" s="139">
        <v>56</v>
      </c>
      <c r="H598" s="139">
        <v>99999999</v>
      </c>
      <c r="I598" s="86">
        <v>2.2200000000000002</v>
      </c>
      <c r="J598" s="142">
        <f>I587</f>
        <v>0</v>
      </c>
      <c r="K598" s="138">
        <f>E598/SQRT((1/F598+J598/G598)^2+(J598/H598)^2+(E598/(I598*D598))^2)</f>
        <v>11.912900203514738</v>
      </c>
    </row>
    <row r="599" spans="1:20" ht="60">
      <c r="A599" s="67" t="s">
        <v>373</v>
      </c>
      <c r="B599" s="139">
        <v>4</v>
      </c>
      <c r="C599" s="140">
        <v>66</v>
      </c>
      <c r="D599" s="141">
        <f>(0.52*SQRT($B$581)*54^0.9*$B$579^0.8)/1000</f>
        <v>6.974712508553587</v>
      </c>
      <c r="E599" s="141">
        <f>MIN(2.3*SQRT($B$580*$B$583*$B$581)/1000+D599/4,$B$583*$B$581*C599/1000,$B$583*$B$581*C599/1000*(SQRT(2+4*$B$580/($B$583*$B$581*C599^2))-1)+D599/4)</f>
        <v>6.2163195066404633</v>
      </c>
      <c r="F599" s="139">
        <v>4</v>
      </c>
      <c r="G599" s="139">
        <v>91</v>
      </c>
      <c r="H599" s="139">
        <v>422</v>
      </c>
      <c r="I599" s="143">
        <v>2.2200000000000002</v>
      </c>
      <c r="J599" s="142">
        <f>I588</f>
        <v>0</v>
      </c>
      <c r="K599" s="138">
        <f>E599/SQRT((1/F599+J599/G599)^2+(J599/H599)^2+(E599/(I599*D599))^2)</f>
        <v>13.143797389630212</v>
      </c>
    </row>
    <row r="600" spans="1:20" ht="60">
      <c r="A600" s="67" t="s">
        <v>374</v>
      </c>
      <c r="B600" s="139">
        <v>4</v>
      </c>
      <c r="C600" s="140">
        <v>66</v>
      </c>
      <c r="D600" s="141">
        <f>(0.52*SQRT($B$581)*54^0.9*$B$579^0.8)/1000</f>
        <v>6.974712508553587</v>
      </c>
      <c r="E600" s="141">
        <f>MIN(2.3*SQRT($B$580*$B$583*$B$581)/1000+D600/4,$B$583*$B$581*C600/1000,$B$583*$B$581*C600/1000*(SQRT(2+4*$B$580/($B$583*$B$581*C600^2))-1)+D600/4)</f>
        <v>6.2163195066404633</v>
      </c>
      <c r="F600" s="139">
        <v>4</v>
      </c>
      <c r="G600" s="139">
        <v>98</v>
      </c>
      <c r="H600" s="139">
        <v>99999999</v>
      </c>
      <c r="I600" s="143">
        <v>2.96</v>
      </c>
      <c r="J600" s="142">
        <f>I589</f>
        <v>0</v>
      </c>
      <c r="K600" s="138">
        <f>E600/SQRT((1/F600+J600/G600)^2+(J600/H600)^2+(E600/(I600*D600))^2)</f>
        <v>15.883866938019651</v>
      </c>
    </row>
    <row r="601" spans="1:20" ht="60">
      <c r="A601" s="67" t="s">
        <v>375</v>
      </c>
      <c r="B601" s="139">
        <v>6</v>
      </c>
      <c r="C601" s="140">
        <v>67.5</v>
      </c>
      <c r="D601" s="141">
        <f>(0.52*SQRT($B$581)*54^0.9*$B$579^0.8)/1000</f>
        <v>6.974712508553587</v>
      </c>
      <c r="E601" s="141">
        <f>MIN(2.3*SQRT($B$580*$B$583*$B$581)/1000+D601/4,$B$583*$B$581*C601/1000,$B$583*$B$581*C601/1000*(SQRT(2+4*$B$580/($B$583*$B$581*C601^2))-1)+D601/4)</f>
        <v>6.2163195066404633</v>
      </c>
      <c r="F601" s="139">
        <v>6</v>
      </c>
      <c r="G601" s="139">
        <v>140</v>
      </c>
      <c r="H601" s="139">
        <v>882</v>
      </c>
      <c r="I601" s="143">
        <v>3.46</v>
      </c>
      <c r="J601" s="142">
        <f>I590</f>
        <v>0</v>
      </c>
      <c r="K601" s="138">
        <f>E601/SQRT((1/F601+J601/G601)^2+(J601/H601)^2+(E601/(I601*D601))^2)</f>
        <v>20.261288282124188</v>
      </c>
    </row>
    <row r="602" spans="1:20" ht="60">
      <c r="A602" s="67" t="s">
        <v>376</v>
      </c>
      <c r="B602" s="139">
        <v>6</v>
      </c>
      <c r="C602" s="140">
        <v>67</v>
      </c>
      <c r="D602" s="141">
        <f>(0.52*SQRT($B$581)*54^0.9*$B$579^0.8)/1000</f>
        <v>6.974712508553587</v>
      </c>
      <c r="E602" s="141">
        <f>MIN(2.3*SQRT($B$580*$B$583*$B$581)/1000+D602/4,$B$583*$B$581*C602/1000,$B$583*$B$581*C602/1000*(SQRT(2+4*$B$580/($B$583*$B$581*C602^2))-1)+D602/4)</f>
        <v>6.2163195066404633</v>
      </c>
      <c r="F602" s="139">
        <v>6</v>
      </c>
      <c r="G602" s="139">
        <v>151</v>
      </c>
      <c r="H602" s="139">
        <v>99999999</v>
      </c>
      <c r="I602" s="143">
        <v>3.7</v>
      </c>
      <c r="J602" s="142">
        <f>I591</f>
        <v>0</v>
      </c>
      <c r="K602" s="138">
        <f>E602/SQRT((1/F602+J602/G602)^2+(J602/H602)^2+(E602/(I602*D602))^2)</f>
        <v>21.221896745223432</v>
      </c>
    </row>
    <row r="603" spans="1:20">
      <c r="A603" s="23"/>
      <c r="B603" s="77"/>
    </row>
    <row r="604" spans="1:20">
      <c r="A604" s="23"/>
      <c r="B604" s="77"/>
      <c r="E604" t="s">
        <v>72</v>
      </c>
      <c r="F604" s="144"/>
    </row>
    <row r="605" spans="1:20" ht="18">
      <c r="A605" s="4" t="s">
        <v>2</v>
      </c>
      <c r="B605" s="78" t="s">
        <v>163</v>
      </c>
      <c r="C605" s="78" t="s">
        <v>164</v>
      </c>
      <c r="D605" s="78" t="s">
        <v>162</v>
      </c>
      <c r="E605" s="145" t="s">
        <v>165</v>
      </c>
      <c r="F605" s="80"/>
      <c r="O605" s="4" t="s">
        <v>2</v>
      </c>
      <c r="P605" s="682" t="s">
        <v>166</v>
      </c>
      <c r="Q605" s="683"/>
      <c r="R605" s="683"/>
      <c r="S605" s="683"/>
      <c r="T605" s="684"/>
    </row>
    <row r="606" spans="1:20">
      <c r="A606" s="8"/>
      <c r="B606" s="81" t="s">
        <v>17</v>
      </c>
      <c r="C606" s="82" t="s">
        <v>17</v>
      </c>
      <c r="D606" s="82" t="s">
        <v>17</v>
      </c>
      <c r="E606" s="146" t="s">
        <v>17</v>
      </c>
      <c r="F606" s="84"/>
      <c r="O606" s="8"/>
      <c r="P606" s="95">
        <v>0.6</v>
      </c>
      <c r="Q606" s="95">
        <v>0.7</v>
      </c>
      <c r="R606" s="95">
        <v>0.8</v>
      </c>
      <c r="S606" s="95">
        <v>0.9</v>
      </c>
      <c r="T606" s="95">
        <v>1</v>
      </c>
    </row>
    <row r="607" spans="1:20" ht="45">
      <c r="A607" s="68" t="s">
        <v>372</v>
      </c>
      <c r="B607" s="64">
        <f>J587</f>
        <v>10.158867357960608</v>
      </c>
      <c r="C607" s="64">
        <v>12</v>
      </c>
      <c r="D607" s="64">
        <f>K598</f>
        <v>11.912900203514738</v>
      </c>
      <c r="E607" s="147">
        <f>MIN(B607,D607)</f>
        <v>10.158867357960608</v>
      </c>
      <c r="F607" s="148"/>
      <c r="O607" s="68" t="s">
        <v>372</v>
      </c>
      <c r="P607" s="88">
        <f>MIN(P$606*$B607/1.3,$C607/1,P$606*$D607/1.3)</f>
        <v>4.6887080113664341</v>
      </c>
      <c r="Q607" s="88">
        <f>MIN(Q$606*$B607/1.3,$C607/1,Q$606*$D607/1.3)</f>
        <v>5.4701593465941727</v>
      </c>
      <c r="R607" s="88">
        <f>MIN(R$606*$B607/1.3,$C607/1,R$606*$D607/1.3)</f>
        <v>6.2516106818219122</v>
      </c>
      <c r="S607" s="88">
        <f>MIN(S$606*$B607/1.3,$C607/1,S$606*$D607/1.3)</f>
        <v>7.0330620170496516</v>
      </c>
      <c r="T607" s="88">
        <f>MIN(T$606*$B607/1.3,$C607/1,T$606*$D607/1.3)</f>
        <v>7.8145133522773902</v>
      </c>
    </row>
    <row r="608" spans="1:20" ht="60">
      <c r="A608" s="67" t="s">
        <v>373</v>
      </c>
      <c r="B608" s="64">
        <f>J588</f>
        <v>13.545156477280809</v>
      </c>
      <c r="C608" s="64">
        <v>16</v>
      </c>
      <c r="D608" s="64">
        <f>K599</f>
        <v>13.143797389630212</v>
      </c>
      <c r="E608" s="147">
        <f>MIN(B608,D608)</f>
        <v>13.143797389630212</v>
      </c>
      <c r="F608" s="148"/>
      <c r="O608" s="67" t="s">
        <v>373</v>
      </c>
      <c r="P608" s="88">
        <f t="shared" ref="P608:T611" si="123">MIN(P$606*$B608/1.3,$C608/1,P$606*$D608/1.3)</f>
        <v>6.0663680259831745</v>
      </c>
      <c r="Q608" s="88">
        <f t="shared" si="123"/>
        <v>7.0774293636470365</v>
      </c>
      <c r="R608" s="88">
        <f t="shared" si="123"/>
        <v>8.0884907013108993</v>
      </c>
      <c r="S608" s="88">
        <f t="shared" si="123"/>
        <v>9.0995520389747622</v>
      </c>
      <c r="T608" s="88">
        <f t="shared" si="123"/>
        <v>10.110613376638623</v>
      </c>
    </row>
    <row r="609" spans="1:20" ht="60">
      <c r="A609" s="67" t="s">
        <v>374</v>
      </c>
      <c r="B609" s="64">
        <f>J589</f>
        <v>13.545156477280809</v>
      </c>
      <c r="C609" s="64">
        <v>16</v>
      </c>
      <c r="D609" s="64">
        <f>K600</f>
        <v>15.883866938019651</v>
      </c>
      <c r="E609" s="147">
        <f>MIN(B609,D609)</f>
        <v>13.545156477280809</v>
      </c>
      <c r="F609" s="148"/>
      <c r="O609" s="67" t="s">
        <v>374</v>
      </c>
      <c r="P609" s="88">
        <f t="shared" si="123"/>
        <v>6.2516106818219113</v>
      </c>
      <c r="Q609" s="88">
        <f t="shared" si="123"/>
        <v>7.293545795458896</v>
      </c>
      <c r="R609" s="88">
        <f t="shared" si="123"/>
        <v>8.3354809090958835</v>
      </c>
      <c r="S609" s="88">
        <f t="shared" si="123"/>
        <v>9.3774160227328682</v>
      </c>
      <c r="T609" s="88">
        <f t="shared" si="123"/>
        <v>10.419351136369853</v>
      </c>
    </row>
    <row r="610" spans="1:20" ht="60">
      <c r="A610" s="67" t="s">
        <v>375</v>
      </c>
      <c r="B610" s="64">
        <f>J590</f>
        <v>20.317734715921215</v>
      </c>
      <c r="C610" s="64">
        <v>20</v>
      </c>
      <c r="D610" s="64">
        <f>K601</f>
        <v>20.261288282124188</v>
      </c>
      <c r="E610" s="147">
        <f>MIN(B610,D610)</f>
        <v>20.261288282124188</v>
      </c>
      <c r="F610" s="148"/>
      <c r="O610" s="67" t="s">
        <v>375</v>
      </c>
      <c r="P610" s="88">
        <f t="shared" si="123"/>
        <v>9.351363822518854</v>
      </c>
      <c r="Q610" s="88">
        <f t="shared" si="123"/>
        <v>10.909924459605332</v>
      </c>
      <c r="R610" s="88">
        <f t="shared" si="123"/>
        <v>12.468485096691809</v>
      </c>
      <c r="S610" s="88">
        <f t="shared" si="123"/>
        <v>14.027045733778284</v>
      </c>
      <c r="T610" s="88">
        <f t="shared" si="123"/>
        <v>15.58560637086476</v>
      </c>
    </row>
    <row r="611" spans="1:20" ht="60">
      <c r="A611" s="67" t="s">
        <v>376</v>
      </c>
      <c r="B611" s="64">
        <f>J591</f>
        <v>16.931445596601009</v>
      </c>
      <c r="C611" s="64">
        <v>20</v>
      </c>
      <c r="D611" s="64">
        <f>K602</f>
        <v>21.221896745223432</v>
      </c>
      <c r="E611" s="147">
        <f>MIN(B611,D611)</f>
        <v>16.931445596601009</v>
      </c>
      <c r="F611" s="148"/>
      <c r="O611" s="67" t="s">
        <v>376</v>
      </c>
      <c r="P611" s="88">
        <f t="shared" si="123"/>
        <v>7.8145133522773875</v>
      </c>
      <c r="Q611" s="88">
        <f t="shared" si="123"/>
        <v>9.1169322443236194</v>
      </c>
      <c r="R611" s="88">
        <f t="shared" si="123"/>
        <v>10.419351136369851</v>
      </c>
      <c r="S611" s="88">
        <f>MIN(S$606*$B611/1.3,$C611/1,S$606*$D611/1.3)</f>
        <v>11.721770028416083</v>
      </c>
      <c r="T611" s="88">
        <f>MIN(T$606*$B611/1.3,$C611/1,T$606*$D611/1.3)</f>
        <v>13.024188920462313</v>
      </c>
    </row>
    <row r="612" spans="1:20">
      <c r="A612" s="23"/>
      <c r="B612" s="77"/>
      <c r="D612" s="99"/>
    </row>
    <row r="613" spans="1:20">
      <c r="A613" s="23"/>
      <c r="B613" s="77"/>
    </row>
    <row r="614" spans="1:20">
      <c r="A614" s="23"/>
      <c r="B614" s="77"/>
    </row>
    <row r="615" spans="1:20">
      <c r="A615" s="23"/>
      <c r="B615" s="77"/>
    </row>
    <row r="616" spans="1:20">
      <c r="A616" s="23"/>
      <c r="B616" s="77"/>
    </row>
    <row r="617" spans="1:20" ht="18.75">
      <c r="A617" s="56" t="s">
        <v>79</v>
      </c>
      <c r="B617" s="77"/>
    </row>
    <row r="618" spans="1:20">
      <c r="P618" s="4" t="s">
        <v>15</v>
      </c>
      <c r="Q618" s="4" t="s">
        <v>16</v>
      </c>
      <c r="R618"/>
    </row>
    <row r="619" spans="1:20">
      <c r="A619" s="21" t="s">
        <v>37</v>
      </c>
      <c r="B619" t="str">
        <f>'Load bearing values_RICON_EN'!F72</f>
        <v>GL24h</v>
      </c>
      <c r="P619" s="8" t="s">
        <v>20</v>
      </c>
      <c r="Q619" s="8" t="s">
        <v>21</v>
      </c>
      <c r="R619"/>
    </row>
    <row r="620" spans="1:20" ht="18">
      <c r="A620" s="23" t="s">
        <v>39</v>
      </c>
      <c r="B620" s="24">
        <f>VLOOKUP(B619,P620:Q627,2,FALSE)</f>
        <v>385</v>
      </c>
      <c r="C620" t="s">
        <v>40</v>
      </c>
      <c r="P620" s="14" t="s">
        <v>22</v>
      </c>
      <c r="Q620" s="15">
        <v>350</v>
      </c>
      <c r="R620" s="14" t="s">
        <v>655</v>
      </c>
      <c r="S620" s="14" t="s">
        <v>684</v>
      </c>
    </row>
    <row r="621" spans="1:20" ht="18">
      <c r="A621" s="23" t="s">
        <v>62</v>
      </c>
      <c r="B621" s="90">
        <v>13400</v>
      </c>
      <c r="C621" s="90">
        <v>3900</v>
      </c>
      <c r="D621" t="s">
        <v>63</v>
      </c>
      <c r="P621" s="14" t="s">
        <v>23</v>
      </c>
      <c r="Q621" s="15">
        <v>380</v>
      </c>
      <c r="R621" s="14" t="s">
        <v>655</v>
      </c>
      <c r="S621" s="14" t="s">
        <v>684</v>
      </c>
    </row>
    <row r="622" spans="1:20">
      <c r="A622" s="23" t="s">
        <v>64</v>
      </c>
      <c r="B622" s="90">
        <v>8</v>
      </c>
      <c r="C622" s="90">
        <v>5</v>
      </c>
      <c r="D622" t="s">
        <v>65</v>
      </c>
      <c r="P622" s="14" t="s">
        <v>24</v>
      </c>
      <c r="Q622" s="15">
        <v>365</v>
      </c>
      <c r="R622" s="14" t="s">
        <v>651</v>
      </c>
      <c r="S622" s="14" t="s">
        <v>682</v>
      </c>
    </row>
    <row r="623" spans="1:20" ht="18">
      <c r="A623" s="23" t="s">
        <v>66</v>
      </c>
      <c r="B623" s="101">
        <f>0.033*$B$620*B622^-0.3</f>
        <v>6.808440920761802</v>
      </c>
      <c r="C623" s="101">
        <f>0.033*$B$620*C622^-0.3</f>
        <v>7.8394152258577217</v>
      </c>
      <c r="D623" t="s">
        <v>67</v>
      </c>
      <c r="P623" s="14" t="s">
        <v>25</v>
      </c>
      <c r="Q623" s="15">
        <v>385</v>
      </c>
      <c r="R623" s="14" t="s">
        <v>652</v>
      </c>
      <c r="S623" s="14" t="s">
        <v>685</v>
      </c>
    </row>
    <row r="624" spans="1:20" ht="18">
      <c r="A624" s="23" t="s">
        <v>68</v>
      </c>
      <c r="B624" s="102">
        <f>0.082*B622^-0.3*$B$620</f>
        <v>16.917944106135387</v>
      </c>
      <c r="C624" s="102">
        <f>0.082*C622^-0.3*$B$620</f>
        <v>19.479759046070704</v>
      </c>
      <c r="D624" t="s">
        <v>67</v>
      </c>
      <c r="P624" s="14" t="s">
        <v>653</v>
      </c>
      <c r="Q624" s="15">
        <v>390</v>
      </c>
      <c r="R624" s="14" t="s">
        <v>651</v>
      </c>
      <c r="S624" s="14" t="s">
        <v>682</v>
      </c>
    </row>
    <row r="625" spans="1:19" ht="33">
      <c r="A625" s="149" t="s">
        <v>167</v>
      </c>
      <c r="B625" s="102">
        <v>4</v>
      </c>
      <c r="C625" s="90" t="s">
        <v>168</v>
      </c>
      <c r="P625" s="14" t="s">
        <v>26</v>
      </c>
      <c r="Q625" s="15">
        <v>425</v>
      </c>
      <c r="R625" s="14" t="s">
        <v>652</v>
      </c>
      <c r="S625" s="14" t="s">
        <v>685</v>
      </c>
    </row>
    <row r="626" spans="1:19">
      <c r="A626" s="23"/>
      <c r="B626" s="77"/>
      <c r="P626" s="14" t="s">
        <v>663</v>
      </c>
      <c r="Q626" s="15">
        <v>530</v>
      </c>
      <c r="R626" s="14" t="s">
        <v>664</v>
      </c>
      <c r="S626" s="14" t="s">
        <v>686</v>
      </c>
    </row>
    <row r="627" spans="1:19" ht="18">
      <c r="A627" s="4" t="s">
        <v>2</v>
      </c>
      <c r="B627" s="5" t="s">
        <v>43</v>
      </c>
      <c r="C627" s="5" t="s">
        <v>9</v>
      </c>
      <c r="D627" s="5" t="s">
        <v>44</v>
      </c>
      <c r="E627" s="5" t="s">
        <v>59</v>
      </c>
      <c r="F627" s="5" t="s">
        <v>60</v>
      </c>
      <c r="G627" s="5" t="s">
        <v>43</v>
      </c>
      <c r="H627" s="5" t="s">
        <v>9</v>
      </c>
      <c r="I627" s="5" t="s">
        <v>44</v>
      </c>
      <c r="J627" s="5" t="s">
        <v>59</v>
      </c>
      <c r="K627" s="5" t="s">
        <v>60</v>
      </c>
      <c r="L627" s="5" t="s">
        <v>169</v>
      </c>
      <c r="P627" s="14" t="s">
        <v>665</v>
      </c>
      <c r="Q627" s="15">
        <v>590</v>
      </c>
      <c r="R627" s="14" t="s">
        <v>688</v>
      </c>
      <c r="S627" s="14" t="s">
        <v>687</v>
      </c>
    </row>
    <row r="628" spans="1:19">
      <c r="A628" s="8"/>
      <c r="B628" s="9" t="s">
        <v>19</v>
      </c>
      <c r="C628" s="9" t="s">
        <v>18</v>
      </c>
      <c r="D628" s="9" t="s">
        <v>18</v>
      </c>
      <c r="E628" s="9" t="s">
        <v>17</v>
      </c>
      <c r="F628" s="9" t="s">
        <v>17</v>
      </c>
      <c r="G628" s="9" t="s">
        <v>19</v>
      </c>
      <c r="H628" s="9" t="s">
        <v>18</v>
      </c>
      <c r="I628" s="9" t="s">
        <v>18</v>
      </c>
      <c r="J628" s="9" t="s">
        <v>17</v>
      </c>
      <c r="K628" s="9" t="s">
        <v>17</v>
      </c>
      <c r="L628" s="62" t="s">
        <v>17</v>
      </c>
    </row>
    <row r="629" spans="1:19" ht="45">
      <c r="A629" s="396" t="s">
        <v>356</v>
      </c>
      <c r="B629" s="63">
        <v>1</v>
      </c>
      <c r="C629" s="63">
        <v>8</v>
      </c>
      <c r="D629" s="303">
        <v>65</v>
      </c>
      <c r="E629" s="64">
        <f>(0.3*0.52*SQRT($C629)*D629^0.9*$B$620^0.8)/1000</f>
        <v>2.2113638026311735</v>
      </c>
      <c r="F629" s="64">
        <f t="shared" ref="F629:F643" si="124">MIN(2.3*SQRT($B$621*$B$623*$B$622)/1000+(E629/4),$B$622*$B$623*D629/1000,$B$622*$B$623*D629/1000*(SQRT(2+4*$B$621/($B$622*$B$623*D629^2))-1)+E629/4)</f>
        <v>2.3028365309859833</v>
      </c>
      <c r="G629" s="63">
        <v>2</v>
      </c>
      <c r="H629" s="63">
        <v>5</v>
      </c>
      <c r="I629" s="303">
        <v>70</v>
      </c>
      <c r="J629" s="712" t="s">
        <v>170</v>
      </c>
      <c r="K629" s="713"/>
      <c r="L629" s="714"/>
    </row>
    <row r="630" spans="1:19" ht="45">
      <c r="A630" s="396" t="s">
        <v>360</v>
      </c>
      <c r="B630" s="63">
        <v>2</v>
      </c>
      <c r="C630" s="63">
        <v>8</v>
      </c>
      <c r="D630" s="303">
        <v>65</v>
      </c>
      <c r="E630" s="64">
        <f t="shared" ref="E630:E643" si="125">(0.3*0.52*SQRT($C630)*D630^0.9*$B$620^0.8)/1000</f>
        <v>2.2113638026311735</v>
      </c>
      <c r="F630" s="64">
        <f t="shared" si="124"/>
        <v>2.3028365309859833</v>
      </c>
      <c r="G630" s="63">
        <v>2</v>
      </c>
      <c r="H630" s="63">
        <v>5</v>
      </c>
      <c r="I630" s="303">
        <v>70</v>
      </c>
      <c r="J630" s="715"/>
      <c r="K630" s="716"/>
      <c r="L630" s="717"/>
    </row>
    <row r="631" spans="1:19" ht="45">
      <c r="A631" s="396" t="s">
        <v>357</v>
      </c>
      <c r="B631" s="63">
        <v>2</v>
      </c>
      <c r="C631" s="63">
        <v>8</v>
      </c>
      <c r="D631" s="303">
        <v>65</v>
      </c>
      <c r="E631" s="64">
        <f t="shared" si="125"/>
        <v>2.2113638026311735</v>
      </c>
      <c r="F631" s="64">
        <f t="shared" si="124"/>
        <v>2.3028365309859833</v>
      </c>
      <c r="G631" s="63">
        <v>4</v>
      </c>
      <c r="H631" s="63">
        <v>5</v>
      </c>
      <c r="I631" s="303">
        <v>70</v>
      </c>
      <c r="J631" s="715"/>
      <c r="K631" s="716"/>
      <c r="L631" s="717"/>
    </row>
    <row r="632" spans="1:19" ht="45">
      <c r="A632" s="396" t="s">
        <v>359</v>
      </c>
      <c r="B632" s="63">
        <v>2</v>
      </c>
      <c r="C632" s="63">
        <v>8</v>
      </c>
      <c r="D632" s="303">
        <v>65</v>
      </c>
      <c r="E632" s="64">
        <f t="shared" si="125"/>
        <v>2.2113638026311735</v>
      </c>
      <c r="F632" s="64">
        <f t="shared" si="124"/>
        <v>2.3028365309859833</v>
      </c>
      <c r="G632" s="63">
        <v>6</v>
      </c>
      <c r="H632" s="63">
        <v>5</v>
      </c>
      <c r="I632" s="303">
        <v>70</v>
      </c>
      <c r="J632" s="715"/>
      <c r="K632" s="716"/>
      <c r="L632" s="717"/>
    </row>
    <row r="633" spans="1:19" ht="45">
      <c r="A633" s="396" t="s">
        <v>358</v>
      </c>
      <c r="B633" s="63">
        <v>2</v>
      </c>
      <c r="C633" s="63">
        <v>8</v>
      </c>
      <c r="D633" s="303">
        <v>65</v>
      </c>
      <c r="E633" s="64">
        <f t="shared" si="125"/>
        <v>2.2113638026311735</v>
      </c>
      <c r="F633" s="64">
        <f t="shared" si="124"/>
        <v>2.3028365309859833</v>
      </c>
      <c r="G633" s="63">
        <v>8</v>
      </c>
      <c r="H633" s="63">
        <v>5</v>
      </c>
      <c r="I633" s="303">
        <v>70</v>
      </c>
      <c r="J633" s="715"/>
      <c r="K633" s="716"/>
      <c r="L633" s="717"/>
    </row>
    <row r="634" spans="1:19" ht="45">
      <c r="A634" s="396" t="s">
        <v>361</v>
      </c>
      <c r="B634" s="63">
        <v>2</v>
      </c>
      <c r="C634" s="63">
        <v>8</v>
      </c>
      <c r="D634" s="303">
        <v>65</v>
      </c>
      <c r="E634" s="64">
        <f t="shared" si="125"/>
        <v>2.2113638026311735</v>
      </c>
      <c r="F634" s="64">
        <f t="shared" si="124"/>
        <v>2.3028365309859833</v>
      </c>
      <c r="G634" s="63">
        <v>10</v>
      </c>
      <c r="H634" s="63">
        <v>5</v>
      </c>
      <c r="I634" s="303">
        <v>70</v>
      </c>
      <c r="J634" s="715"/>
      <c r="K634" s="716"/>
      <c r="L634" s="717"/>
    </row>
    <row r="635" spans="1:19" ht="45">
      <c r="A635" s="408" t="s">
        <v>858</v>
      </c>
      <c r="B635" s="63">
        <v>2</v>
      </c>
      <c r="C635" s="63">
        <v>8</v>
      </c>
      <c r="D635" s="303">
        <f>160-15</f>
        <v>145</v>
      </c>
      <c r="E635" s="64">
        <f>(0.6*0.52*SQRT($C635)*D635^0.9*$B$620^0.8)/1000</f>
        <v>9.1054072130615449</v>
      </c>
      <c r="F635" s="64">
        <f>MIN(2.3*SQRT($B$621*$B$623*$B$622)/1000+(E635/4),$B$622*$B$623*D635/1000,$B$622*$B$623*D635/1000*(SQRT(2+4*$B$621/($B$622*$B$623*D635^2))-1)+E635/4)</f>
        <v>4.2412907704786091</v>
      </c>
      <c r="G635" s="63">
        <v>4</v>
      </c>
      <c r="H635" s="63">
        <v>5</v>
      </c>
      <c r="I635" s="303">
        <v>70</v>
      </c>
      <c r="J635" s="715"/>
      <c r="K635" s="716"/>
      <c r="L635" s="717"/>
    </row>
    <row r="636" spans="1:19" ht="45">
      <c r="A636" s="408" t="s">
        <v>803</v>
      </c>
      <c r="B636" s="63">
        <v>2</v>
      </c>
      <c r="C636" s="63">
        <v>8</v>
      </c>
      <c r="D636" s="303">
        <f>160-15</f>
        <v>145</v>
      </c>
      <c r="E636" s="64">
        <f>(0.6*0.52*SQRT($C636)*D636^0.9*$B$620^0.8)/1000</f>
        <v>9.1054072130615449</v>
      </c>
      <c r="F636" s="64">
        <f>MIN(2.3*SQRT($B$621*$B$623*$B$622)/1000+(E636/4),$B$622*$B$623*D636/1000,$B$622*$B$623*D636/1000*(SQRT(2+4*$B$621/($B$622*$B$623*D636^2))-1)+E636/4)</f>
        <v>4.2412907704786091</v>
      </c>
      <c r="G636" s="63">
        <v>6</v>
      </c>
      <c r="H636" s="63">
        <v>5</v>
      </c>
      <c r="I636" s="303">
        <v>70</v>
      </c>
      <c r="J636" s="715"/>
      <c r="K636" s="716"/>
      <c r="L636" s="717"/>
    </row>
    <row r="637" spans="1:19" ht="45">
      <c r="A637" s="408" t="s">
        <v>362</v>
      </c>
      <c r="B637" s="63">
        <v>2</v>
      </c>
      <c r="C637" s="63">
        <v>8</v>
      </c>
      <c r="D637" s="303">
        <f>160-15</f>
        <v>145</v>
      </c>
      <c r="E637" s="64">
        <f>(0.6*0.52*SQRT($C637)*D637^0.9*$B$620^0.8)/1000</f>
        <v>9.1054072130615449</v>
      </c>
      <c r="F637" s="64">
        <f>MIN(2.3*SQRT($B$621*$B$623*$B$622)/1000+(E637/4),$B$622*$B$623*D637/1000,$B$622*$B$623*D637/1000*(SQRT(2+4*$B$621/($B$622*$B$623*D637^2))-1)+E637/4)</f>
        <v>4.2412907704786091</v>
      </c>
      <c r="G637" s="63">
        <v>8</v>
      </c>
      <c r="H637" s="63">
        <v>5</v>
      </c>
      <c r="I637" s="303">
        <v>70</v>
      </c>
      <c r="J637" s="715"/>
      <c r="K637" s="716"/>
      <c r="L637" s="717"/>
    </row>
    <row r="638" spans="1:19" ht="45">
      <c r="A638" s="408" t="s">
        <v>363</v>
      </c>
      <c r="B638" s="63">
        <v>2</v>
      </c>
      <c r="C638" s="63">
        <v>8</v>
      </c>
      <c r="D638" s="303">
        <f>160-15</f>
        <v>145</v>
      </c>
      <c r="E638" s="64">
        <f>(0.6*0.52*SQRT($C638)*D638^0.9*$B$620^0.8)/1000</f>
        <v>9.1054072130615449</v>
      </c>
      <c r="F638" s="64">
        <f>MIN(2.3*SQRT($B$621*$B$623*$B$622)/1000+(E638/4),$B$622*$B$623*D638/1000,$B$622*$B$623*D638/1000*(SQRT(2+4*$B$621/($B$622*$B$623*D638^2))-1)+E638/4)</f>
        <v>4.2412907704786091</v>
      </c>
      <c r="G638" s="63">
        <v>10</v>
      </c>
      <c r="H638" s="63">
        <v>5</v>
      </c>
      <c r="I638" s="303">
        <v>70</v>
      </c>
      <c r="J638" s="715"/>
      <c r="K638" s="716"/>
      <c r="L638" s="717"/>
    </row>
    <row r="639" spans="1:19" ht="45">
      <c r="A639" s="396" t="s">
        <v>364</v>
      </c>
      <c r="B639" s="63">
        <v>3</v>
      </c>
      <c r="C639" s="63">
        <v>8</v>
      </c>
      <c r="D639" s="303">
        <v>65</v>
      </c>
      <c r="E639" s="64">
        <f t="shared" si="125"/>
        <v>2.2113638026311735</v>
      </c>
      <c r="F639" s="64">
        <f t="shared" si="124"/>
        <v>2.3028365309859833</v>
      </c>
      <c r="G639" s="63">
        <v>4</v>
      </c>
      <c r="H639" s="63">
        <v>5</v>
      </c>
      <c r="I639" s="303">
        <v>70</v>
      </c>
      <c r="J639" s="715"/>
      <c r="K639" s="716"/>
      <c r="L639" s="717"/>
    </row>
    <row r="640" spans="1:19" ht="49.5" customHeight="1">
      <c r="A640" s="396" t="s">
        <v>365</v>
      </c>
      <c r="B640" s="63">
        <v>3</v>
      </c>
      <c r="C640" s="63">
        <v>8</v>
      </c>
      <c r="D640" s="303">
        <v>65</v>
      </c>
      <c r="E640" s="64">
        <f t="shared" si="125"/>
        <v>2.2113638026311735</v>
      </c>
      <c r="F640" s="64">
        <f t="shared" si="124"/>
        <v>2.3028365309859833</v>
      </c>
      <c r="G640" s="63">
        <v>8</v>
      </c>
      <c r="H640" s="63">
        <v>5</v>
      </c>
      <c r="I640" s="303">
        <v>70</v>
      </c>
      <c r="J640" s="715"/>
      <c r="K640" s="716"/>
      <c r="L640" s="717"/>
    </row>
    <row r="641" spans="1:27" ht="49.5" customHeight="1">
      <c r="A641" s="396" t="s">
        <v>366</v>
      </c>
      <c r="B641" s="63">
        <v>3</v>
      </c>
      <c r="C641" s="63">
        <v>8</v>
      </c>
      <c r="D641" s="303">
        <v>65</v>
      </c>
      <c r="E641" s="64">
        <f t="shared" si="125"/>
        <v>2.2113638026311735</v>
      </c>
      <c r="F641" s="64">
        <f t="shared" si="124"/>
        <v>2.3028365309859833</v>
      </c>
      <c r="G641" s="63">
        <v>12</v>
      </c>
      <c r="H641" s="63">
        <v>5</v>
      </c>
      <c r="I641" s="303">
        <v>70</v>
      </c>
      <c r="J641" s="715"/>
      <c r="K641" s="716"/>
      <c r="L641" s="717"/>
    </row>
    <row r="642" spans="1:27" ht="49.5" customHeight="1">
      <c r="A642" s="396" t="s">
        <v>367</v>
      </c>
      <c r="B642" s="63">
        <v>3</v>
      </c>
      <c r="C642" s="63">
        <v>8</v>
      </c>
      <c r="D642" s="303">
        <v>65</v>
      </c>
      <c r="E642" s="64">
        <f t="shared" si="125"/>
        <v>2.2113638026311735</v>
      </c>
      <c r="F642" s="64">
        <f t="shared" si="124"/>
        <v>2.3028365309859833</v>
      </c>
      <c r="G642" s="63">
        <v>16</v>
      </c>
      <c r="H642" s="63">
        <v>5</v>
      </c>
      <c r="I642" s="303">
        <v>70</v>
      </c>
      <c r="J642" s="715"/>
      <c r="K642" s="716"/>
      <c r="L642" s="717"/>
    </row>
    <row r="643" spans="1:27" ht="49.5" customHeight="1">
      <c r="A643" s="396" t="s">
        <v>368</v>
      </c>
      <c r="B643" s="63">
        <v>3</v>
      </c>
      <c r="C643" s="63">
        <v>8</v>
      </c>
      <c r="D643" s="303">
        <v>65</v>
      </c>
      <c r="E643" s="64">
        <f t="shared" si="125"/>
        <v>2.2113638026311735</v>
      </c>
      <c r="F643" s="64">
        <f t="shared" si="124"/>
        <v>2.3028365309859833</v>
      </c>
      <c r="G643" s="63">
        <v>20</v>
      </c>
      <c r="H643" s="63">
        <v>5</v>
      </c>
      <c r="I643" s="303">
        <v>70</v>
      </c>
      <c r="J643" s="718"/>
      <c r="K643" s="719"/>
      <c r="L643" s="720"/>
    </row>
    <row r="644" spans="1:27">
      <c r="A644" s="91"/>
      <c r="K644" t="s">
        <v>171</v>
      </c>
      <c r="X644" t="s">
        <v>171</v>
      </c>
      <c r="Y644" t="s">
        <v>172</v>
      </c>
      <c r="Z644" s="2" t="s">
        <v>173</v>
      </c>
      <c r="AA644" s="2" t="s">
        <v>174</v>
      </c>
    </row>
    <row r="645" spans="1:27">
      <c r="A645" s="3"/>
      <c r="K645" t="s">
        <v>175</v>
      </c>
      <c r="X645" t="s">
        <v>175</v>
      </c>
      <c r="Y645" t="s">
        <v>176</v>
      </c>
      <c r="Z645" t="s">
        <v>177</v>
      </c>
      <c r="AA645" t="s">
        <v>178</v>
      </c>
    </row>
    <row r="646" spans="1:27" ht="18">
      <c r="A646" s="4" t="s">
        <v>2</v>
      </c>
      <c r="B646" s="5" t="s">
        <v>169</v>
      </c>
      <c r="C646" s="5" t="s">
        <v>154</v>
      </c>
      <c r="D646" s="5" t="s">
        <v>159</v>
      </c>
      <c r="E646" s="5" t="s">
        <v>179</v>
      </c>
      <c r="F646" s="5" t="s">
        <v>157</v>
      </c>
      <c r="G646" s="5" t="s">
        <v>180</v>
      </c>
      <c r="H646" s="5" t="s">
        <v>181</v>
      </c>
      <c r="I646" s="5" t="s">
        <v>182</v>
      </c>
      <c r="J646" s="108"/>
      <c r="K646" s="5" t="s">
        <v>181</v>
      </c>
      <c r="L646" s="150" t="s">
        <v>183</v>
      </c>
      <c r="X646" s="5" t="s">
        <v>181</v>
      </c>
      <c r="Y646" s="5" t="s">
        <v>184</v>
      </c>
      <c r="Z646" s="5" t="s">
        <v>184</v>
      </c>
      <c r="AA646" s="5" t="s">
        <v>184</v>
      </c>
    </row>
    <row r="647" spans="1:27">
      <c r="A647" s="8"/>
      <c r="B647" s="62" t="s">
        <v>17</v>
      </c>
      <c r="C647" s="9" t="s">
        <v>19</v>
      </c>
      <c r="D647" s="9" t="s">
        <v>78</v>
      </c>
      <c r="E647" s="9" t="s">
        <v>78</v>
      </c>
      <c r="F647" s="9" t="s">
        <v>18</v>
      </c>
      <c r="G647" s="9" t="s">
        <v>17</v>
      </c>
      <c r="H647" s="9" t="s">
        <v>18</v>
      </c>
      <c r="I647" s="9" t="s">
        <v>17</v>
      </c>
      <c r="J647" s="108"/>
      <c r="K647" s="9" t="s">
        <v>18</v>
      </c>
      <c r="L647" s="151" t="s">
        <v>18</v>
      </c>
      <c r="X647" s="9" t="s">
        <v>18</v>
      </c>
      <c r="Y647" s="9" t="s">
        <v>18</v>
      </c>
      <c r="Z647" s="9" t="s">
        <v>18</v>
      </c>
      <c r="AA647" s="9" t="s">
        <v>18</v>
      </c>
    </row>
    <row r="648" spans="1:27" ht="43.5" customHeight="1">
      <c r="A648" s="396" t="s">
        <v>356</v>
      </c>
      <c r="B648" s="721" t="s">
        <v>170</v>
      </c>
      <c r="C648" s="431">
        <v>2.8</v>
      </c>
      <c r="D648" s="398">
        <v>29</v>
      </c>
      <c r="E648" s="432">
        <v>43</v>
      </c>
      <c r="F648" s="433">
        <v>0</v>
      </c>
      <c r="G648" s="303">
        <f t="shared" ref="G648:G662" si="126">$F629/SQRT((1/$C648+F648/$D648)^2+(F648/$E648)^2)</f>
        <v>6.4479422867607532</v>
      </c>
      <c r="H648" s="433">
        <f>K648</f>
        <v>73.5</v>
      </c>
      <c r="I648" s="434">
        <f t="shared" ref="I648:I662" si="127">$F629/SQRT((1/$C648+H648/$D648)^2+(H648/$E648)^2)</f>
        <v>0.68556196386955359</v>
      </c>
      <c r="J648" s="435"/>
      <c r="K648" s="433">
        <f>53/2+16+10+L648</f>
        <v>73.5</v>
      </c>
      <c r="L648" s="436">
        <v>21</v>
      </c>
      <c r="X648" s="152">
        <f t="shared" ref="X648:X662" si="128">53/2+16+10+L648</f>
        <v>73.5</v>
      </c>
      <c r="Y648" s="152">
        <f>21+10+16+36/2</f>
        <v>65</v>
      </c>
      <c r="Z648" s="152">
        <f>21+10+19+16/2</f>
        <v>58</v>
      </c>
      <c r="AA648" s="152">
        <f>21+10+19+52/2</f>
        <v>76</v>
      </c>
    </row>
    <row r="649" spans="1:27" ht="45">
      <c r="A649" s="396" t="s">
        <v>360</v>
      </c>
      <c r="B649" s="722"/>
      <c r="C649" s="431">
        <v>3.8</v>
      </c>
      <c r="D649" s="398">
        <v>42</v>
      </c>
      <c r="E649" s="432">
        <v>81</v>
      </c>
      <c r="F649" s="433">
        <v>0</v>
      </c>
      <c r="G649" s="303">
        <f t="shared" si="126"/>
        <v>8.7507788177467365</v>
      </c>
      <c r="H649" s="433">
        <f t="shared" ref="H649:H662" si="129">K649</f>
        <v>83.5</v>
      </c>
      <c r="I649" s="434">
        <f t="shared" si="127"/>
        <v>0.93004458531057144</v>
      </c>
      <c r="J649" s="435"/>
      <c r="K649" s="433">
        <f t="shared" ref="K649:K662" si="130">53/2+16+10+L649</f>
        <v>83.5</v>
      </c>
      <c r="L649" s="436">
        <v>31</v>
      </c>
      <c r="X649" s="152">
        <f t="shared" si="128"/>
        <v>83.5</v>
      </c>
      <c r="Y649" s="152">
        <f>31+10+16+36/2</f>
        <v>75</v>
      </c>
      <c r="Z649" s="152">
        <f>31+10+19+16/2</f>
        <v>68</v>
      </c>
      <c r="AA649" s="152">
        <f>31+10+19+52/2</f>
        <v>86</v>
      </c>
    </row>
    <row r="650" spans="1:27" ht="45">
      <c r="A650" s="396" t="s">
        <v>357</v>
      </c>
      <c r="B650" s="722"/>
      <c r="C650" s="431">
        <v>5.6</v>
      </c>
      <c r="D650" s="398">
        <v>72</v>
      </c>
      <c r="E650" s="432">
        <v>212</v>
      </c>
      <c r="F650" s="433">
        <v>0</v>
      </c>
      <c r="G650" s="303">
        <f t="shared" si="126"/>
        <v>12.895884573521506</v>
      </c>
      <c r="H650" s="433">
        <f t="shared" si="129"/>
        <v>93.5</v>
      </c>
      <c r="I650" s="434">
        <f t="shared" si="127"/>
        <v>1.4937800644343464</v>
      </c>
      <c r="J650" s="435"/>
      <c r="K650" s="433">
        <f t="shared" si="130"/>
        <v>93.5</v>
      </c>
      <c r="L650" s="436">
        <v>41</v>
      </c>
      <c r="X650" s="152">
        <f t="shared" si="128"/>
        <v>93.5</v>
      </c>
      <c r="Y650" s="152">
        <f>41+10+16+36/2</f>
        <v>85</v>
      </c>
      <c r="Z650" s="152">
        <f>41+10+19+16/2</f>
        <v>78</v>
      </c>
      <c r="AA650" s="152">
        <f>41+10+19+52/2</f>
        <v>96</v>
      </c>
    </row>
    <row r="651" spans="1:27" ht="45">
      <c r="A651" s="396" t="s">
        <v>359</v>
      </c>
      <c r="B651" s="722"/>
      <c r="C651" s="431">
        <v>7.3</v>
      </c>
      <c r="D651" s="398">
        <v>109</v>
      </c>
      <c r="E651" s="432">
        <v>433</v>
      </c>
      <c r="F651" s="433">
        <v>0</v>
      </c>
      <c r="G651" s="303">
        <f t="shared" si="126"/>
        <v>16.810706676197679</v>
      </c>
      <c r="H651" s="433">
        <f t="shared" si="129"/>
        <v>103.5</v>
      </c>
      <c r="I651" s="434">
        <f t="shared" si="127"/>
        <v>2.0699476121956257</v>
      </c>
      <c r="J651" s="435"/>
      <c r="K651" s="433">
        <f t="shared" si="130"/>
        <v>103.5</v>
      </c>
      <c r="L651" s="436">
        <v>51</v>
      </c>
      <c r="X651" s="152">
        <f t="shared" si="128"/>
        <v>103.5</v>
      </c>
      <c r="Y651" s="152">
        <f>51+10+16+36/2</f>
        <v>95</v>
      </c>
      <c r="Z651" s="152">
        <f>51+10+19+16/2</f>
        <v>88</v>
      </c>
      <c r="AA651" s="152">
        <f>51+10+19+52/2</f>
        <v>106</v>
      </c>
    </row>
    <row r="652" spans="1:27" ht="45">
      <c r="A652" s="396" t="s">
        <v>358</v>
      </c>
      <c r="B652" s="722"/>
      <c r="C652" s="431">
        <v>9.1</v>
      </c>
      <c r="D652" s="398">
        <v>154</v>
      </c>
      <c r="E652" s="432">
        <v>767</v>
      </c>
      <c r="F652" s="433">
        <v>0</v>
      </c>
      <c r="G652" s="303">
        <f t="shared" si="126"/>
        <v>20.955812431972447</v>
      </c>
      <c r="H652" s="433">
        <f t="shared" si="129"/>
        <v>113.5</v>
      </c>
      <c r="I652" s="434">
        <f t="shared" si="127"/>
        <v>2.6785451403230303</v>
      </c>
      <c r="J652" s="435"/>
      <c r="K652" s="433">
        <f t="shared" si="130"/>
        <v>113.5</v>
      </c>
      <c r="L652" s="436">
        <v>61</v>
      </c>
      <c r="X652" s="152">
        <f t="shared" si="128"/>
        <v>113.5</v>
      </c>
      <c r="Y652" s="152">
        <f>61+10+16+36/2</f>
        <v>105</v>
      </c>
      <c r="Z652" s="152">
        <f>61+10+19+16/2</f>
        <v>98</v>
      </c>
      <c r="AA652" s="152">
        <f>61+10+19+52/2</f>
        <v>116</v>
      </c>
    </row>
    <row r="653" spans="1:27" ht="45">
      <c r="A653" s="396" t="s">
        <v>361</v>
      </c>
      <c r="B653" s="722"/>
      <c r="C653" s="431">
        <v>10.9</v>
      </c>
      <c r="D653" s="398">
        <v>208</v>
      </c>
      <c r="E653" s="432">
        <v>1241</v>
      </c>
      <c r="F653" s="433">
        <v>0</v>
      </c>
      <c r="G653" s="303">
        <f t="shared" si="126"/>
        <v>25.100918187747219</v>
      </c>
      <c r="H653" s="433">
        <f t="shared" si="129"/>
        <v>123.5</v>
      </c>
      <c r="I653" s="434">
        <f t="shared" si="127"/>
        <v>3.3245358298367984</v>
      </c>
      <c r="J653" s="435"/>
      <c r="K653" s="433">
        <f t="shared" si="130"/>
        <v>123.5</v>
      </c>
      <c r="L653" s="436">
        <v>71</v>
      </c>
      <c r="X653" s="152">
        <f t="shared" si="128"/>
        <v>123.5</v>
      </c>
      <c r="Y653" s="152">
        <f>71+10+16+36/2</f>
        <v>115</v>
      </c>
      <c r="Z653" s="152">
        <f>71+10+19+16/2</f>
        <v>108</v>
      </c>
      <c r="AA653" s="152">
        <f>71+10+19+52/2</f>
        <v>126</v>
      </c>
    </row>
    <row r="654" spans="1:27" ht="45">
      <c r="A654" s="408" t="s">
        <v>858</v>
      </c>
      <c r="B654" s="722"/>
      <c r="C654" s="431">
        <v>5.6</v>
      </c>
      <c r="D654" s="398">
        <v>72</v>
      </c>
      <c r="E654" s="432">
        <v>212</v>
      </c>
      <c r="F654" s="433">
        <v>0</v>
      </c>
      <c r="G654" s="303">
        <f t="shared" si="126"/>
        <v>23.751228314680212</v>
      </c>
      <c r="H654" s="433">
        <f t="shared" si="129"/>
        <v>93.5</v>
      </c>
      <c r="I654" s="434">
        <f t="shared" si="127"/>
        <v>2.7511964115393384</v>
      </c>
      <c r="J654" s="435"/>
      <c r="K654" s="433">
        <f t="shared" si="130"/>
        <v>93.5</v>
      </c>
      <c r="L654" s="436">
        <v>41</v>
      </c>
      <c r="X654" s="152">
        <f t="shared" si="128"/>
        <v>93.5</v>
      </c>
      <c r="Y654" s="152"/>
      <c r="Z654" s="152"/>
      <c r="AA654" s="152"/>
    </row>
    <row r="655" spans="1:27" ht="45">
      <c r="A655" s="408" t="s">
        <v>803</v>
      </c>
      <c r="B655" s="722"/>
      <c r="C655" s="431">
        <v>7.3</v>
      </c>
      <c r="D655" s="398">
        <v>109</v>
      </c>
      <c r="E655" s="432">
        <v>433</v>
      </c>
      <c r="F655" s="433">
        <v>0</v>
      </c>
      <c r="G655" s="303">
        <f t="shared" si="126"/>
        <v>30.961422624493849</v>
      </c>
      <c r="H655" s="433">
        <f t="shared" si="129"/>
        <v>103.5</v>
      </c>
      <c r="I655" s="434">
        <f t="shared" si="127"/>
        <v>3.8123633982915046</v>
      </c>
      <c r="J655" s="435"/>
      <c r="K655" s="433">
        <f t="shared" ref="K655" si="131">53/2+16+10+L655</f>
        <v>103.5</v>
      </c>
      <c r="L655" s="436">
        <v>51</v>
      </c>
      <c r="X655" s="152"/>
      <c r="Y655" s="152"/>
      <c r="Z655" s="152"/>
      <c r="AA655" s="152"/>
    </row>
    <row r="656" spans="1:27" ht="45">
      <c r="A656" s="408" t="s">
        <v>362</v>
      </c>
      <c r="B656" s="722"/>
      <c r="C656" s="431">
        <v>9.1</v>
      </c>
      <c r="D656" s="398">
        <v>154</v>
      </c>
      <c r="E656" s="432">
        <v>767</v>
      </c>
      <c r="F656" s="433">
        <v>0</v>
      </c>
      <c r="G656" s="303">
        <f t="shared" si="126"/>
        <v>38.595746011355345</v>
      </c>
      <c r="H656" s="433">
        <f t="shared" si="129"/>
        <v>113.5</v>
      </c>
      <c r="I656" s="434">
        <f t="shared" si="127"/>
        <v>4.9332588870727569</v>
      </c>
      <c r="J656" s="435"/>
      <c r="K656" s="433">
        <f t="shared" si="130"/>
        <v>113.5</v>
      </c>
      <c r="L656" s="436">
        <v>61</v>
      </c>
      <c r="X656" s="152">
        <f t="shared" si="128"/>
        <v>113.5</v>
      </c>
      <c r="Y656" s="152"/>
      <c r="Z656" s="152"/>
      <c r="AA656" s="152"/>
    </row>
    <row r="657" spans="1:27" ht="45">
      <c r="A657" s="408" t="s">
        <v>363</v>
      </c>
      <c r="B657" s="722"/>
      <c r="C657" s="431">
        <v>10.9</v>
      </c>
      <c r="D657" s="398">
        <v>208</v>
      </c>
      <c r="E657" s="432">
        <v>1241</v>
      </c>
      <c r="F657" s="433">
        <v>0</v>
      </c>
      <c r="G657" s="303">
        <f t="shared" si="126"/>
        <v>46.230069398216841</v>
      </c>
      <c r="H657" s="433">
        <f t="shared" si="129"/>
        <v>123.5</v>
      </c>
      <c r="I657" s="434">
        <f t="shared" si="127"/>
        <v>6.12302390616283</v>
      </c>
      <c r="J657" s="435"/>
      <c r="K657" s="433">
        <f t="shared" si="130"/>
        <v>123.5</v>
      </c>
      <c r="L657" s="436">
        <v>71</v>
      </c>
      <c r="X657" s="152">
        <f t="shared" si="128"/>
        <v>123.5</v>
      </c>
      <c r="Y657" s="152"/>
      <c r="Z657" s="152"/>
      <c r="AA657" s="152"/>
    </row>
    <row r="658" spans="1:27" ht="45">
      <c r="A658" s="396" t="s">
        <v>364</v>
      </c>
      <c r="B658" s="722"/>
      <c r="C658" s="431">
        <v>6.6</v>
      </c>
      <c r="D658" s="398">
        <v>182</v>
      </c>
      <c r="E658" s="432">
        <v>1140</v>
      </c>
      <c r="F658" s="433">
        <v>0</v>
      </c>
      <c r="G658" s="303">
        <f t="shared" si="126"/>
        <v>15.19872110450749</v>
      </c>
      <c r="H658" s="433">
        <f t="shared" si="129"/>
        <v>118.5</v>
      </c>
      <c r="I658" s="434">
        <f t="shared" si="127"/>
        <v>2.8454065427374902</v>
      </c>
      <c r="J658" s="435"/>
      <c r="K658" s="433">
        <f t="shared" si="130"/>
        <v>118.5</v>
      </c>
      <c r="L658" s="436">
        <v>66</v>
      </c>
      <c r="X658" s="152">
        <f t="shared" si="128"/>
        <v>118.5</v>
      </c>
      <c r="Y658" s="152">
        <f>66+10+16+36/2</f>
        <v>110</v>
      </c>
      <c r="Z658" s="152">
        <f>66+10+19+16/2</f>
        <v>103</v>
      </c>
      <c r="AA658" s="152">
        <f>66+10+19+52/2</f>
        <v>121</v>
      </c>
    </row>
    <row r="659" spans="1:27" ht="45" customHeight="1">
      <c r="A659" s="396" t="s">
        <v>365</v>
      </c>
      <c r="B659" s="722"/>
      <c r="C659" s="431">
        <v>10.1</v>
      </c>
      <c r="D659" s="398">
        <v>319</v>
      </c>
      <c r="E659" s="432">
        <v>2603</v>
      </c>
      <c r="F659" s="433">
        <v>0</v>
      </c>
      <c r="G659" s="303">
        <f t="shared" si="126"/>
        <v>23.258648962958429</v>
      </c>
      <c r="H659" s="433">
        <f t="shared" si="129"/>
        <v>139.5</v>
      </c>
      <c r="I659" s="434">
        <f t="shared" si="127"/>
        <v>4.2725432285353833</v>
      </c>
      <c r="J659" s="435"/>
      <c r="K659" s="433">
        <f t="shared" si="130"/>
        <v>139.5</v>
      </c>
      <c r="L659" s="436">
        <v>87</v>
      </c>
      <c r="X659" s="152">
        <f t="shared" si="128"/>
        <v>139.5</v>
      </c>
      <c r="Y659" s="152">
        <f>87+10+16+36/2</f>
        <v>131</v>
      </c>
      <c r="Z659" s="152">
        <f>87+10+19+16/2</f>
        <v>124</v>
      </c>
      <c r="AA659" s="152">
        <f>87+10+19+52/2</f>
        <v>142</v>
      </c>
    </row>
    <row r="660" spans="1:27" ht="45" customHeight="1">
      <c r="A660" s="396" t="s">
        <v>366</v>
      </c>
      <c r="B660" s="722"/>
      <c r="C660" s="431">
        <v>13.7</v>
      </c>
      <c r="D660" s="398">
        <v>486</v>
      </c>
      <c r="E660" s="432">
        <v>4918</v>
      </c>
      <c r="F660" s="433">
        <v>0</v>
      </c>
      <c r="G660" s="303">
        <f t="shared" si="126"/>
        <v>31.548860474507968</v>
      </c>
      <c r="H660" s="433">
        <f t="shared" si="129"/>
        <v>162.5</v>
      </c>
      <c r="I660" s="434">
        <f t="shared" si="127"/>
        <v>5.6346405643713657</v>
      </c>
      <c r="J660" s="435"/>
      <c r="K660" s="433">
        <f t="shared" si="130"/>
        <v>162.5</v>
      </c>
      <c r="L660" s="436">
        <v>110</v>
      </c>
      <c r="X660" s="152">
        <f>48/2+16+10+L660</f>
        <v>160</v>
      </c>
      <c r="Y660" s="152">
        <f>110+10+16+36/2</f>
        <v>154</v>
      </c>
      <c r="Z660" s="152">
        <f>110+10+19+16/2</f>
        <v>147</v>
      </c>
      <c r="AA660" s="152">
        <f>110+10+19+52/2</f>
        <v>165</v>
      </c>
    </row>
    <row r="661" spans="1:27" ht="45" customHeight="1">
      <c r="A661" s="396" t="s">
        <v>367</v>
      </c>
      <c r="B661" s="722"/>
      <c r="C661" s="431">
        <v>13.7</v>
      </c>
      <c r="D661" s="398">
        <v>486</v>
      </c>
      <c r="E661" s="432">
        <v>4918</v>
      </c>
      <c r="F661" s="433">
        <v>0</v>
      </c>
      <c r="G661" s="303">
        <f t="shared" si="126"/>
        <v>31.548860474507968</v>
      </c>
      <c r="H661" s="433">
        <f t="shared" si="129"/>
        <v>182.5</v>
      </c>
      <c r="I661" s="434">
        <f t="shared" si="127"/>
        <v>5.1169638723882258</v>
      </c>
      <c r="J661" s="435"/>
      <c r="K661" s="433">
        <f t="shared" si="130"/>
        <v>182.5</v>
      </c>
      <c r="L661" s="436">
        <v>130</v>
      </c>
      <c r="X661" s="152">
        <f t="shared" si="128"/>
        <v>182.5</v>
      </c>
      <c r="Y661" s="154">
        <f>36/2+16+10+130</f>
        <v>174</v>
      </c>
      <c r="Z661" s="154">
        <f>16/2+19+10+130</f>
        <v>167</v>
      </c>
      <c r="AA661" s="154">
        <f>52/2+19+10+130</f>
        <v>185</v>
      </c>
    </row>
    <row r="662" spans="1:27" ht="45" customHeight="1">
      <c r="A662" s="396" t="s">
        <v>368</v>
      </c>
      <c r="B662" s="723"/>
      <c r="C662" s="431">
        <v>13.7</v>
      </c>
      <c r="D662" s="398">
        <v>486</v>
      </c>
      <c r="E662" s="432">
        <v>4918</v>
      </c>
      <c r="F662" s="433">
        <v>0</v>
      </c>
      <c r="G662" s="303">
        <f t="shared" si="126"/>
        <v>31.548860474507968</v>
      </c>
      <c r="H662" s="433">
        <f t="shared" si="129"/>
        <v>202.5</v>
      </c>
      <c r="I662" s="434">
        <f t="shared" si="127"/>
        <v>4.6863960027681477</v>
      </c>
      <c r="J662" s="435"/>
      <c r="K662" s="433">
        <f t="shared" si="130"/>
        <v>202.5</v>
      </c>
      <c r="L662" s="436">
        <v>150</v>
      </c>
      <c r="X662" s="152">
        <f t="shared" si="128"/>
        <v>202.5</v>
      </c>
      <c r="Y662" s="154">
        <f>36/2+16+10+150</f>
        <v>194</v>
      </c>
      <c r="Z662" s="154">
        <f>16/2+19+10+150</f>
        <v>187</v>
      </c>
      <c r="AA662" s="154">
        <f>52/2+19+10+150</f>
        <v>205</v>
      </c>
    </row>
    <row r="663" spans="1:27">
      <c r="A663" s="3"/>
    </row>
    <row r="664" spans="1:27">
      <c r="A664" s="3"/>
    </row>
    <row r="665" spans="1:27" ht="18">
      <c r="A665" s="4" t="s">
        <v>2</v>
      </c>
      <c r="B665" s="5" t="s">
        <v>43</v>
      </c>
      <c r="C665" s="5" t="s">
        <v>9</v>
      </c>
      <c r="D665" s="5" t="s">
        <v>44</v>
      </c>
      <c r="E665" s="5" t="s">
        <v>69</v>
      </c>
      <c r="F665" s="5" t="s">
        <v>70</v>
      </c>
      <c r="G665" s="5" t="s">
        <v>43</v>
      </c>
      <c r="H665" s="5" t="s">
        <v>9</v>
      </c>
      <c r="I665" s="5" t="s">
        <v>44</v>
      </c>
      <c r="J665" s="5" t="s">
        <v>69</v>
      </c>
      <c r="K665" s="5" t="s">
        <v>70</v>
      </c>
      <c r="L665" s="5" t="s">
        <v>185</v>
      </c>
    </row>
    <row r="666" spans="1:27">
      <c r="A666" s="8"/>
      <c r="B666" s="9" t="s">
        <v>19</v>
      </c>
      <c r="C666" s="9" t="s">
        <v>18</v>
      </c>
      <c r="D666" s="9" t="s">
        <v>18</v>
      </c>
      <c r="E666" s="9" t="s">
        <v>17</v>
      </c>
      <c r="F666" s="9" t="s">
        <v>17</v>
      </c>
      <c r="G666" s="9" t="s">
        <v>19</v>
      </c>
      <c r="H666" s="9" t="s">
        <v>18</v>
      </c>
      <c r="I666" s="9" t="s">
        <v>18</v>
      </c>
      <c r="J666" s="9" t="s">
        <v>17</v>
      </c>
      <c r="K666" s="9" t="s">
        <v>17</v>
      </c>
      <c r="L666" s="62" t="s">
        <v>17</v>
      </c>
    </row>
    <row r="667" spans="1:27" ht="45">
      <c r="A667" s="396" t="s">
        <v>356</v>
      </c>
      <c r="B667" s="63">
        <v>1</v>
      </c>
      <c r="C667" s="63">
        <v>8</v>
      </c>
      <c r="D667" s="303">
        <v>35</v>
      </c>
      <c r="E667" s="64">
        <f>(0.52*SQRT($C667)*D667^0.9*$B$620^0.8)/1000</f>
        <v>4.2225826668958426</v>
      </c>
      <c r="F667" s="64">
        <f t="shared" ref="F667:F681" si="132">MIN(2.3*SQRT($B$621*$B$624*$B$622)/1000+(E667/4),$B$624*$B$622*D667/1000,$B$624*$B$622*D667/1000*(SQRT(2+4*$B$621/($B$624*$B$622*D667^2))-1)+E667/4)</f>
        <v>3.5389546758165444</v>
      </c>
      <c r="G667" s="63">
        <v>2</v>
      </c>
      <c r="H667" s="63">
        <v>5</v>
      </c>
      <c r="I667" s="303">
        <v>45</v>
      </c>
      <c r="J667" s="724" t="s">
        <v>170</v>
      </c>
      <c r="K667" s="725"/>
      <c r="L667" s="726"/>
    </row>
    <row r="668" spans="1:27" ht="45">
      <c r="A668" s="396" t="s">
        <v>360</v>
      </c>
      <c r="B668" s="63">
        <v>2</v>
      </c>
      <c r="C668" s="63">
        <v>8</v>
      </c>
      <c r="D668" s="303">
        <v>35</v>
      </c>
      <c r="E668" s="64">
        <f t="shared" ref="E668:E681" si="133">(0.52*SQRT($C668)*D668^0.9*$B$620^0.8)/1000</f>
        <v>4.2225826668958426</v>
      </c>
      <c r="F668" s="64">
        <f t="shared" si="132"/>
        <v>3.5389546758165444</v>
      </c>
      <c r="G668" s="63">
        <v>2</v>
      </c>
      <c r="H668" s="63">
        <v>5</v>
      </c>
      <c r="I668" s="303">
        <v>45</v>
      </c>
      <c r="J668" s="727"/>
      <c r="K668" s="728"/>
      <c r="L668" s="729"/>
    </row>
    <row r="669" spans="1:27" ht="45">
      <c r="A669" s="396" t="s">
        <v>357</v>
      </c>
      <c r="B669" s="63">
        <v>2</v>
      </c>
      <c r="C669" s="63">
        <v>8</v>
      </c>
      <c r="D669" s="303">
        <v>35</v>
      </c>
      <c r="E669" s="64">
        <f t="shared" si="133"/>
        <v>4.2225826668958426</v>
      </c>
      <c r="F669" s="64">
        <f t="shared" si="132"/>
        <v>3.5389546758165444</v>
      </c>
      <c r="G669" s="63">
        <v>4</v>
      </c>
      <c r="H669" s="63">
        <v>5</v>
      </c>
      <c r="I669" s="303">
        <v>45</v>
      </c>
      <c r="J669" s="727"/>
      <c r="K669" s="728"/>
      <c r="L669" s="729"/>
    </row>
    <row r="670" spans="1:27" ht="45">
      <c r="A670" s="396" t="s">
        <v>359</v>
      </c>
      <c r="B670" s="63">
        <v>2</v>
      </c>
      <c r="C670" s="63">
        <v>8</v>
      </c>
      <c r="D670" s="303">
        <v>35</v>
      </c>
      <c r="E670" s="64">
        <f t="shared" si="133"/>
        <v>4.2225826668958426</v>
      </c>
      <c r="F670" s="64">
        <f t="shared" si="132"/>
        <v>3.5389546758165444</v>
      </c>
      <c r="G670" s="63">
        <v>6</v>
      </c>
      <c r="H670" s="63">
        <v>5</v>
      </c>
      <c r="I670" s="303">
        <v>45</v>
      </c>
      <c r="J670" s="727"/>
      <c r="K670" s="728"/>
      <c r="L670" s="729"/>
    </row>
    <row r="671" spans="1:27" ht="45">
      <c r="A671" s="396" t="s">
        <v>358</v>
      </c>
      <c r="B671" s="63">
        <v>2</v>
      </c>
      <c r="C671" s="63">
        <v>8</v>
      </c>
      <c r="D671" s="303">
        <v>35</v>
      </c>
      <c r="E671" s="64">
        <f t="shared" si="133"/>
        <v>4.2225826668958426</v>
      </c>
      <c r="F671" s="64">
        <f t="shared" si="132"/>
        <v>3.5389546758165444</v>
      </c>
      <c r="G671" s="63">
        <v>8</v>
      </c>
      <c r="H671" s="63">
        <v>5</v>
      </c>
      <c r="I671" s="303">
        <v>45</v>
      </c>
      <c r="J671" s="727"/>
      <c r="K671" s="728"/>
      <c r="L671" s="729"/>
    </row>
    <row r="672" spans="1:27" ht="45">
      <c r="A672" s="396" t="s">
        <v>361</v>
      </c>
      <c r="B672" s="63">
        <v>2</v>
      </c>
      <c r="C672" s="63">
        <v>8</v>
      </c>
      <c r="D672" s="303">
        <v>35</v>
      </c>
      <c r="E672" s="64">
        <f t="shared" si="133"/>
        <v>4.2225826668958426</v>
      </c>
      <c r="F672" s="64">
        <f t="shared" si="132"/>
        <v>3.5389546758165444</v>
      </c>
      <c r="G672" s="63">
        <v>10</v>
      </c>
      <c r="H672" s="63">
        <v>5</v>
      </c>
      <c r="I672" s="303">
        <v>45</v>
      </c>
      <c r="J672" s="727"/>
      <c r="K672" s="728"/>
      <c r="L672" s="729"/>
    </row>
    <row r="673" spans="1:27" ht="45">
      <c r="A673" s="408" t="s">
        <v>858</v>
      </c>
      <c r="B673" s="63">
        <v>2</v>
      </c>
      <c r="C673" s="63">
        <v>8</v>
      </c>
      <c r="D673" s="303">
        <v>35</v>
      </c>
      <c r="E673" s="64">
        <v>4.2225826668958426</v>
      </c>
      <c r="F673" s="64">
        <v>3.5389546758165444</v>
      </c>
      <c r="G673" s="63">
        <v>4</v>
      </c>
      <c r="H673" s="63">
        <v>5</v>
      </c>
      <c r="I673" s="303">
        <v>45</v>
      </c>
      <c r="J673" s="727"/>
      <c r="K673" s="728"/>
      <c r="L673" s="729"/>
    </row>
    <row r="674" spans="1:27" ht="45">
      <c r="A674" s="408" t="s">
        <v>803</v>
      </c>
      <c r="B674" s="63">
        <v>2</v>
      </c>
      <c r="C674" s="63">
        <v>8</v>
      </c>
      <c r="D674" s="303">
        <v>35</v>
      </c>
      <c r="E674" s="64">
        <v>4.2225826668958426</v>
      </c>
      <c r="F674" s="64">
        <v>3.5389546758165444</v>
      </c>
      <c r="G674" s="63">
        <v>6</v>
      </c>
      <c r="H674" s="63">
        <v>5</v>
      </c>
      <c r="I674" s="303">
        <v>45</v>
      </c>
      <c r="J674" s="727"/>
      <c r="K674" s="728"/>
      <c r="L674" s="729"/>
    </row>
    <row r="675" spans="1:27" ht="45">
      <c r="A675" s="408" t="s">
        <v>362</v>
      </c>
      <c r="B675" s="63">
        <v>2</v>
      </c>
      <c r="C675" s="63">
        <v>8</v>
      </c>
      <c r="D675" s="303">
        <v>35</v>
      </c>
      <c r="E675" s="64">
        <v>4.2225826668958426</v>
      </c>
      <c r="F675" s="64">
        <v>3.5389546758165444</v>
      </c>
      <c r="G675" s="63">
        <v>8</v>
      </c>
      <c r="H675" s="63">
        <v>5</v>
      </c>
      <c r="I675" s="303">
        <v>45</v>
      </c>
      <c r="J675" s="727"/>
      <c r="K675" s="728"/>
      <c r="L675" s="729"/>
    </row>
    <row r="676" spans="1:27" ht="45">
      <c r="A676" s="408" t="s">
        <v>363</v>
      </c>
      <c r="B676" s="63">
        <v>2</v>
      </c>
      <c r="C676" s="63">
        <v>8</v>
      </c>
      <c r="D676" s="303">
        <v>35</v>
      </c>
      <c r="E676" s="64">
        <v>4.2225826668958426</v>
      </c>
      <c r="F676" s="64">
        <v>3.5389546758165444</v>
      </c>
      <c r="G676" s="63">
        <v>10</v>
      </c>
      <c r="H676" s="63">
        <v>5</v>
      </c>
      <c r="I676" s="303">
        <v>45</v>
      </c>
      <c r="J676" s="727"/>
      <c r="K676" s="728"/>
      <c r="L676" s="729"/>
    </row>
    <row r="677" spans="1:27" ht="45">
      <c r="A677" s="396" t="s">
        <v>364</v>
      </c>
      <c r="B677" s="63">
        <v>3</v>
      </c>
      <c r="C677" s="63">
        <v>8</v>
      </c>
      <c r="D677" s="303">
        <v>35</v>
      </c>
      <c r="E677" s="64">
        <f t="shared" si="133"/>
        <v>4.2225826668958426</v>
      </c>
      <c r="F677" s="64">
        <f t="shared" si="132"/>
        <v>3.5389546758165444</v>
      </c>
      <c r="G677" s="63">
        <v>4</v>
      </c>
      <c r="H677" s="63">
        <v>5</v>
      </c>
      <c r="I677" s="303">
        <v>45</v>
      </c>
      <c r="J677" s="727"/>
      <c r="K677" s="728"/>
      <c r="L677" s="729"/>
    </row>
    <row r="678" spans="1:27" ht="45">
      <c r="A678" s="396" t="s">
        <v>365</v>
      </c>
      <c r="B678" s="63">
        <v>3</v>
      </c>
      <c r="C678" s="63">
        <v>8</v>
      </c>
      <c r="D678" s="303">
        <v>35</v>
      </c>
      <c r="E678" s="64">
        <f t="shared" si="133"/>
        <v>4.2225826668958426</v>
      </c>
      <c r="F678" s="64">
        <f t="shared" si="132"/>
        <v>3.5389546758165444</v>
      </c>
      <c r="G678" s="63">
        <v>8</v>
      </c>
      <c r="H678" s="63">
        <v>5</v>
      </c>
      <c r="I678" s="303">
        <v>45</v>
      </c>
      <c r="J678" s="727"/>
      <c r="K678" s="728"/>
      <c r="L678" s="729"/>
    </row>
    <row r="679" spans="1:27" ht="45">
      <c r="A679" s="396" t="s">
        <v>366</v>
      </c>
      <c r="B679" s="63">
        <v>3</v>
      </c>
      <c r="C679" s="63">
        <v>8</v>
      </c>
      <c r="D679" s="303">
        <v>35</v>
      </c>
      <c r="E679" s="64">
        <f t="shared" si="133"/>
        <v>4.2225826668958426</v>
      </c>
      <c r="F679" s="64">
        <f t="shared" si="132"/>
        <v>3.5389546758165444</v>
      </c>
      <c r="G679" s="63">
        <v>12</v>
      </c>
      <c r="H679" s="63">
        <v>5</v>
      </c>
      <c r="I679" s="303">
        <v>45</v>
      </c>
      <c r="J679" s="727"/>
      <c r="K679" s="728"/>
      <c r="L679" s="729"/>
      <c r="P679"/>
      <c r="Q679"/>
    </row>
    <row r="680" spans="1:27" ht="45">
      <c r="A680" s="396" t="s">
        <v>367</v>
      </c>
      <c r="B680" s="63">
        <v>3</v>
      </c>
      <c r="C680" s="63">
        <v>8</v>
      </c>
      <c r="D680" s="303">
        <v>35</v>
      </c>
      <c r="E680" s="64">
        <f t="shared" si="133"/>
        <v>4.2225826668958426</v>
      </c>
      <c r="F680" s="64">
        <f t="shared" si="132"/>
        <v>3.5389546758165444</v>
      </c>
      <c r="G680" s="63">
        <v>16</v>
      </c>
      <c r="H680" s="63">
        <v>5</v>
      </c>
      <c r="I680" s="303">
        <v>45</v>
      </c>
      <c r="J680" s="727"/>
      <c r="K680" s="728"/>
      <c r="L680" s="729"/>
    </row>
    <row r="681" spans="1:27" ht="45">
      <c r="A681" s="396" t="s">
        <v>368</v>
      </c>
      <c r="B681" s="63">
        <v>3</v>
      </c>
      <c r="C681" s="63">
        <v>8</v>
      </c>
      <c r="D681" s="303">
        <v>35</v>
      </c>
      <c r="E681" s="64">
        <f t="shared" si="133"/>
        <v>4.2225826668958426</v>
      </c>
      <c r="F681" s="64">
        <f t="shared" si="132"/>
        <v>3.5389546758165444</v>
      </c>
      <c r="G681" s="63">
        <v>20</v>
      </c>
      <c r="H681" s="63">
        <v>5</v>
      </c>
      <c r="I681" s="303">
        <v>45</v>
      </c>
      <c r="J681" s="730"/>
      <c r="K681" s="731"/>
      <c r="L681" s="732"/>
    </row>
    <row r="682" spans="1:27">
      <c r="A682" s="3"/>
      <c r="X682" t="s">
        <v>171</v>
      </c>
      <c r="Y682" t="s">
        <v>172</v>
      </c>
      <c r="Z682" s="2" t="s">
        <v>173</v>
      </c>
      <c r="AA682" s="2" t="s">
        <v>174</v>
      </c>
    </row>
    <row r="683" spans="1:27">
      <c r="A683" s="3"/>
      <c r="X683" t="s">
        <v>186</v>
      </c>
      <c r="Y683" t="s">
        <v>186</v>
      </c>
      <c r="Z683" s="2" t="s">
        <v>187</v>
      </c>
      <c r="AA683" s="2" t="s">
        <v>187</v>
      </c>
    </row>
    <row r="684" spans="1:27" ht="18">
      <c r="A684" s="4" t="s">
        <v>2</v>
      </c>
      <c r="B684" s="5" t="s">
        <v>185</v>
      </c>
      <c r="C684" s="5" t="s">
        <v>188</v>
      </c>
      <c r="D684" s="5" t="s">
        <v>154</v>
      </c>
      <c r="E684" s="5" t="s">
        <v>159</v>
      </c>
      <c r="F684" s="5" t="s">
        <v>179</v>
      </c>
      <c r="G684" s="5" t="s">
        <v>160</v>
      </c>
      <c r="H684" s="5" t="s">
        <v>161</v>
      </c>
      <c r="I684" s="5" t="s">
        <v>189</v>
      </c>
      <c r="J684" s="5" t="s">
        <v>184</v>
      </c>
      <c r="K684" s="5" t="s">
        <v>190</v>
      </c>
      <c r="X684" t="s">
        <v>175</v>
      </c>
      <c r="Y684" t="s">
        <v>176</v>
      </c>
      <c r="Z684" t="s">
        <v>177</v>
      </c>
      <c r="AA684" t="s">
        <v>178</v>
      </c>
    </row>
    <row r="685" spans="1:27" ht="18">
      <c r="A685" s="8"/>
      <c r="B685" s="62" t="s">
        <v>17</v>
      </c>
      <c r="C685" s="9" t="s">
        <v>17</v>
      </c>
      <c r="D685" s="9" t="s">
        <v>19</v>
      </c>
      <c r="E685" s="9" t="s">
        <v>78</v>
      </c>
      <c r="F685" s="9" t="s">
        <v>78</v>
      </c>
      <c r="G685" s="9" t="s">
        <v>78</v>
      </c>
      <c r="H685" s="9" t="s">
        <v>18</v>
      </c>
      <c r="I685" s="9" t="s">
        <v>17</v>
      </c>
      <c r="J685" s="9" t="s">
        <v>18</v>
      </c>
      <c r="K685" s="9" t="s">
        <v>17</v>
      </c>
      <c r="X685" s="5" t="s">
        <v>181</v>
      </c>
      <c r="Y685" s="5" t="s">
        <v>184</v>
      </c>
      <c r="Z685" s="5" t="s">
        <v>184</v>
      </c>
      <c r="AA685" s="5" t="s">
        <v>184</v>
      </c>
    </row>
    <row r="686" spans="1:27" ht="47.25" customHeight="1">
      <c r="A686" s="396" t="s">
        <v>356</v>
      </c>
      <c r="B686" s="699" t="s">
        <v>170</v>
      </c>
      <c r="C686" s="700"/>
      <c r="D686" s="431">
        <v>2.8</v>
      </c>
      <c r="E686" s="398">
        <v>29</v>
      </c>
      <c r="F686" s="432">
        <v>43</v>
      </c>
      <c r="G686" s="85">
        <v>7.28</v>
      </c>
      <c r="H686" s="433">
        <v>0</v>
      </c>
      <c r="I686" s="308">
        <f t="shared" ref="I686:I700" si="134">$F667/SQRT((1/$D686+H686/$E686)^2+(H686/$F686)^2+(F667/(G686*E667))^2)</f>
        <v>9.4311941603363891</v>
      </c>
      <c r="J686" s="433">
        <f t="shared" ref="J686:J700" si="135">K648</f>
        <v>73.5</v>
      </c>
      <c r="K686" s="303">
        <f t="shared" ref="K686:K700" si="136">$F667/SQRT((1/$D686+J686/$E686)^2+(J686/$F686)^2+(F667/(G686*E667))^2)</f>
        <v>1.0529401549478103</v>
      </c>
      <c r="X686" s="9" t="s">
        <v>18</v>
      </c>
      <c r="Y686" s="9" t="s">
        <v>18</v>
      </c>
      <c r="Z686" s="9" t="s">
        <v>18</v>
      </c>
      <c r="AA686" s="9" t="s">
        <v>18</v>
      </c>
    </row>
    <row r="687" spans="1:27" ht="45">
      <c r="A687" s="396" t="s">
        <v>360</v>
      </c>
      <c r="B687" s="701"/>
      <c r="C687" s="702"/>
      <c r="D687" s="431">
        <v>3.8</v>
      </c>
      <c r="E687" s="398">
        <v>42</v>
      </c>
      <c r="F687" s="432">
        <v>81</v>
      </c>
      <c r="G687" s="85">
        <v>8.61</v>
      </c>
      <c r="H687" s="433">
        <v>0</v>
      </c>
      <c r="I687" s="308">
        <f t="shared" si="134"/>
        <v>12.612827162714847</v>
      </c>
      <c r="J687" s="433">
        <f t="shared" si="135"/>
        <v>83.5</v>
      </c>
      <c r="K687" s="303">
        <f t="shared" si="136"/>
        <v>1.4281713519797015</v>
      </c>
      <c r="X687" s="152">
        <v>73</v>
      </c>
      <c r="Y687" s="152">
        <f>21+10+16+36/2</f>
        <v>65</v>
      </c>
      <c r="Z687" s="152">
        <f>21+10+19+16/2</f>
        <v>58</v>
      </c>
      <c r="AA687" s="152">
        <f>21+10+19+52/2</f>
        <v>76</v>
      </c>
    </row>
    <row r="688" spans="1:27" ht="45">
      <c r="A688" s="396" t="s">
        <v>357</v>
      </c>
      <c r="B688" s="701"/>
      <c r="C688" s="702"/>
      <c r="D688" s="431">
        <v>5.6</v>
      </c>
      <c r="E688" s="398">
        <v>72</v>
      </c>
      <c r="F688" s="432">
        <v>212</v>
      </c>
      <c r="G688" s="85">
        <v>14.6</v>
      </c>
      <c r="H688" s="433">
        <v>0</v>
      </c>
      <c r="I688" s="308">
        <f t="shared" si="134"/>
        <v>18.867247809428463</v>
      </c>
      <c r="J688" s="433">
        <f t="shared" si="135"/>
        <v>93.5</v>
      </c>
      <c r="K688" s="303">
        <f t="shared" si="136"/>
        <v>2.2940224981557469</v>
      </c>
      <c r="X688" s="152">
        <v>83</v>
      </c>
      <c r="Y688" s="152">
        <f>31+10+16+36/2</f>
        <v>75</v>
      </c>
      <c r="Z688" s="152">
        <f>31+10+19+16/2</f>
        <v>68</v>
      </c>
      <c r="AA688" s="152">
        <f>31+10+19+52/2</f>
        <v>86</v>
      </c>
    </row>
    <row r="689" spans="1:27" ht="45">
      <c r="A689" s="396" t="s">
        <v>359</v>
      </c>
      <c r="B689" s="701"/>
      <c r="C689" s="702"/>
      <c r="D689" s="431">
        <v>7.3</v>
      </c>
      <c r="E689" s="398">
        <v>109</v>
      </c>
      <c r="F689" s="432">
        <v>433</v>
      </c>
      <c r="G689" s="85">
        <v>20.5</v>
      </c>
      <c r="H689" s="433">
        <v>0</v>
      </c>
      <c r="I689" s="308">
        <f t="shared" si="134"/>
        <v>24.755400336061037</v>
      </c>
      <c r="J689" s="433">
        <f t="shared" si="135"/>
        <v>103.5</v>
      </c>
      <c r="K689" s="303">
        <f t="shared" si="136"/>
        <v>3.1789097314502079</v>
      </c>
      <c r="X689" s="152">
        <v>93</v>
      </c>
      <c r="Y689" s="152">
        <f>41+10+16+36/2</f>
        <v>85</v>
      </c>
      <c r="Z689" s="152">
        <f>41+10+19+16/2</f>
        <v>78</v>
      </c>
      <c r="AA689" s="152">
        <f>41+10+19+52/2</f>
        <v>96</v>
      </c>
    </row>
    <row r="690" spans="1:27" ht="45">
      <c r="A690" s="396" t="s">
        <v>358</v>
      </c>
      <c r="B690" s="701"/>
      <c r="C690" s="702"/>
      <c r="D690" s="431">
        <v>9.1</v>
      </c>
      <c r="E690" s="398">
        <v>154</v>
      </c>
      <c r="F690" s="432">
        <v>767</v>
      </c>
      <c r="G690" s="85">
        <v>26.4</v>
      </c>
      <c r="H690" s="433">
        <v>0</v>
      </c>
      <c r="I690" s="308">
        <f t="shared" si="134"/>
        <v>30.939288915885378</v>
      </c>
      <c r="J690" s="433">
        <f t="shared" si="135"/>
        <v>113.5</v>
      </c>
      <c r="K690" s="303">
        <f t="shared" si="136"/>
        <v>4.1135329443476287</v>
      </c>
      <c r="X690" s="152">
        <v>103</v>
      </c>
      <c r="Y690" s="152">
        <f>51+10+16+36/2</f>
        <v>95</v>
      </c>
      <c r="Z690" s="152">
        <f>51+10+19+16/2</f>
        <v>88</v>
      </c>
      <c r="AA690" s="152">
        <f>51+10+19+52/2</f>
        <v>106</v>
      </c>
    </row>
    <row r="691" spans="1:27" ht="45">
      <c r="A691" s="396" t="s">
        <v>361</v>
      </c>
      <c r="B691" s="701"/>
      <c r="C691" s="702"/>
      <c r="D691" s="431">
        <v>10.9</v>
      </c>
      <c r="E691" s="398">
        <v>208</v>
      </c>
      <c r="F691" s="432">
        <v>1241</v>
      </c>
      <c r="G691" s="85">
        <v>32.4</v>
      </c>
      <c r="H691" s="433">
        <v>0</v>
      </c>
      <c r="I691" s="308">
        <f t="shared" si="134"/>
        <v>37.127060080507114</v>
      </c>
      <c r="J691" s="433">
        <f t="shared" si="135"/>
        <v>123.5</v>
      </c>
      <c r="K691" s="303">
        <f t="shared" si="136"/>
        <v>5.1055236549138909</v>
      </c>
      <c r="X691" s="152">
        <v>113</v>
      </c>
      <c r="Y691" s="152">
        <f>61+10+16+36/2</f>
        <v>105</v>
      </c>
      <c r="Z691" s="152">
        <f>61+10+19+16/2</f>
        <v>98</v>
      </c>
      <c r="AA691" s="152">
        <f>61+10+19+52/2</f>
        <v>116</v>
      </c>
    </row>
    <row r="692" spans="1:27" ht="45">
      <c r="A692" s="408" t="s">
        <v>858</v>
      </c>
      <c r="B692" s="701"/>
      <c r="C692" s="702"/>
      <c r="D692" s="431">
        <v>5.6</v>
      </c>
      <c r="E692" s="398">
        <v>72</v>
      </c>
      <c r="F692" s="432">
        <v>212</v>
      </c>
      <c r="G692" s="85">
        <v>14.6</v>
      </c>
      <c r="H692" s="433">
        <v>0</v>
      </c>
      <c r="I692" s="308">
        <f t="shared" si="134"/>
        <v>18.867247809428463</v>
      </c>
      <c r="J692" s="433">
        <f t="shared" si="135"/>
        <v>93.5</v>
      </c>
      <c r="K692" s="303">
        <f t="shared" si="136"/>
        <v>2.2940224981557469</v>
      </c>
      <c r="X692" s="152"/>
      <c r="Y692" s="152"/>
      <c r="Z692" s="152"/>
      <c r="AA692" s="152"/>
    </row>
    <row r="693" spans="1:27" ht="45">
      <c r="A693" s="408" t="s">
        <v>803</v>
      </c>
      <c r="B693" s="701"/>
      <c r="C693" s="702"/>
      <c r="D693" s="431">
        <v>7.3</v>
      </c>
      <c r="E693" s="398">
        <v>109</v>
      </c>
      <c r="F693" s="432">
        <v>433</v>
      </c>
      <c r="G693" s="85">
        <v>20.5</v>
      </c>
      <c r="H693" s="433">
        <v>0</v>
      </c>
      <c r="I693" s="308">
        <f t="shared" si="134"/>
        <v>24.755400336061037</v>
      </c>
      <c r="J693" s="433">
        <f t="shared" si="135"/>
        <v>103.5</v>
      </c>
      <c r="K693" s="303">
        <f t="shared" si="136"/>
        <v>3.1789097314502079</v>
      </c>
      <c r="X693" s="152"/>
      <c r="Y693" s="152"/>
      <c r="Z693" s="152"/>
      <c r="AA693" s="152"/>
    </row>
    <row r="694" spans="1:27" ht="45">
      <c r="A694" s="408" t="s">
        <v>362</v>
      </c>
      <c r="B694" s="701"/>
      <c r="C694" s="702"/>
      <c r="D694" s="431">
        <v>9.1</v>
      </c>
      <c r="E694" s="398">
        <v>154</v>
      </c>
      <c r="F694" s="432">
        <v>767</v>
      </c>
      <c r="G694" s="85">
        <v>26.4</v>
      </c>
      <c r="H694" s="433">
        <v>0</v>
      </c>
      <c r="I694" s="308">
        <f t="shared" si="134"/>
        <v>30.939288915885378</v>
      </c>
      <c r="J694" s="433">
        <f t="shared" si="135"/>
        <v>113.5</v>
      </c>
      <c r="K694" s="303">
        <f t="shared" si="136"/>
        <v>4.1135329443476287</v>
      </c>
      <c r="X694" s="152">
        <v>103</v>
      </c>
      <c r="Y694" s="152">
        <f>51+10+16+36/2</f>
        <v>95</v>
      </c>
      <c r="Z694" s="152">
        <f>51+10+19+16/2</f>
        <v>88</v>
      </c>
      <c r="AA694" s="152">
        <f>51+10+19+52/2</f>
        <v>106</v>
      </c>
    </row>
    <row r="695" spans="1:27" ht="45">
      <c r="A695" s="408" t="s">
        <v>363</v>
      </c>
      <c r="B695" s="701"/>
      <c r="C695" s="702"/>
      <c r="D695" s="431">
        <v>10.9</v>
      </c>
      <c r="E695" s="398">
        <v>208</v>
      </c>
      <c r="F695" s="432">
        <v>1241</v>
      </c>
      <c r="G695" s="85">
        <v>32.4</v>
      </c>
      <c r="H695" s="433">
        <v>0</v>
      </c>
      <c r="I695" s="308">
        <f t="shared" si="134"/>
        <v>37.127060080507114</v>
      </c>
      <c r="J695" s="433">
        <f t="shared" si="135"/>
        <v>123.5</v>
      </c>
      <c r="K695" s="303">
        <f t="shared" si="136"/>
        <v>5.1055236549138909</v>
      </c>
      <c r="X695" s="152">
        <v>113</v>
      </c>
      <c r="Y695" s="152">
        <f>61+10+16+36/2</f>
        <v>105</v>
      </c>
      <c r="Z695" s="152">
        <f>61+10+19+16/2</f>
        <v>98</v>
      </c>
      <c r="AA695" s="152">
        <f>61+10+19+52/2</f>
        <v>116</v>
      </c>
    </row>
    <row r="696" spans="1:27" ht="45">
      <c r="A696" s="396" t="s">
        <v>364</v>
      </c>
      <c r="B696" s="701"/>
      <c r="C696" s="702"/>
      <c r="D696" s="431">
        <v>6.6</v>
      </c>
      <c r="E696" s="398">
        <v>182</v>
      </c>
      <c r="F696" s="432">
        <v>1140</v>
      </c>
      <c r="G696" s="85">
        <v>15.9</v>
      </c>
      <c r="H696" s="433">
        <v>0</v>
      </c>
      <c r="I696" s="308">
        <f t="shared" si="134"/>
        <v>22.060260066839945</v>
      </c>
      <c r="J696" s="433">
        <f t="shared" si="135"/>
        <v>118.5</v>
      </c>
      <c r="K696" s="303">
        <f t="shared" si="136"/>
        <v>4.3635207379614211</v>
      </c>
      <c r="X696" s="152">
        <v>123</v>
      </c>
      <c r="Y696" s="152">
        <f>71+10+16+36/2</f>
        <v>115</v>
      </c>
      <c r="Z696" s="152">
        <f>71+10+19+16/2</f>
        <v>108</v>
      </c>
      <c r="AA696" s="152">
        <f>71+10+19+52/2</f>
        <v>126</v>
      </c>
    </row>
    <row r="697" spans="1:27" ht="50.25" customHeight="1">
      <c r="A697" s="396" t="s">
        <v>365</v>
      </c>
      <c r="B697" s="701"/>
      <c r="C697" s="702"/>
      <c r="D697" s="431">
        <v>10.1</v>
      </c>
      <c r="E697" s="398">
        <v>319</v>
      </c>
      <c r="F697" s="432">
        <v>2603</v>
      </c>
      <c r="G697" s="85">
        <v>27.8</v>
      </c>
      <c r="H697" s="433">
        <v>0</v>
      </c>
      <c r="I697" s="308">
        <f t="shared" si="134"/>
        <v>34.193460589897342</v>
      </c>
      <c r="J697" s="433">
        <f t="shared" si="135"/>
        <v>139.5</v>
      </c>
      <c r="K697" s="303">
        <f t="shared" si="136"/>
        <v>6.5557147477983477</v>
      </c>
      <c r="X697" s="152">
        <v>118</v>
      </c>
      <c r="Y697" s="152">
        <f>66+10+16+36/2</f>
        <v>110</v>
      </c>
      <c r="Z697" s="152">
        <f>66+10+19+16/2</f>
        <v>103</v>
      </c>
      <c r="AA697" s="152">
        <f>66+10+19+52/2</f>
        <v>121</v>
      </c>
    </row>
    <row r="698" spans="1:27" ht="50.25" customHeight="1">
      <c r="A698" s="396" t="s">
        <v>366</v>
      </c>
      <c r="B698" s="701"/>
      <c r="C698" s="702"/>
      <c r="D698" s="431">
        <v>13.7</v>
      </c>
      <c r="E698" s="398">
        <v>486</v>
      </c>
      <c r="F698" s="432">
        <v>4918</v>
      </c>
      <c r="G698" s="85">
        <v>39.700000000000003</v>
      </c>
      <c r="H698" s="433">
        <v>0</v>
      </c>
      <c r="I698" s="308">
        <f t="shared" si="134"/>
        <v>46.574855782819661</v>
      </c>
      <c r="J698" s="433">
        <f t="shared" si="135"/>
        <v>162.5</v>
      </c>
      <c r="K698" s="303">
        <f t="shared" si="136"/>
        <v>8.6476775288603118</v>
      </c>
      <c r="X698" s="152">
        <v>139</v>
      </c>
      <c r="Y698" s="152">
        <f>87+10+16+36/2</f>
        <v>131</v>
      </c>
      <c r="Z698" s="152">
        <f>87+10+19+16/2</f>
        <v>124</v>
      </c>
      <c r="AA698" s="152">
        <f>87+10+19+52/2</f>
        <v>142</v>
      </c>
    </row>
    <row r="699" spans="1:27" ht="50.25" customHeight="1">
      <c r="A699" s="396" t="s">
        <v>367</v>
      </c>
      <c r="B699" s="701"/>
      <c r="C699" s="702"/>
      <c r="D699" s="431">
        <v>13.7</v>
      </c>
      <c r="E699" s="398">
        <v>486</v>
      </c>
      <c r="F699" s="432">
        <v>4918</v>
      </c>
      <c r="G699" s="85">
        <v>39.700000000000003</v>
      </c>
      <c r="H699" s="433">
        <v>0</v>
      </c>
      <c r="I699" s="308">
        <f t="shared" si="134"/>
        <v>46.574855782819661</v>
      </c>
      <c r="J699" s="433">
        <f t="shared" si="135"/>
        <v>182.5</v>
      </c>
      <c r="K699" s="303">
        <f t="shared" si="136"/>
        <v>7.8550136614939294</v>
      </c>
      <c r="X699" s="154">
        <v>162</v>
      </c>
      <c r="Y699" s="154">
        <f>110+10+16+36/2</f>
        <v>154</v>
      </c>
      <c r="Z699" s="154">
        <f>110+10+19+16/2</f>
        <v>147</v>
      </c>
      <c r="AA699" s="154">
        <f>110+10+19+52/2</f>
        <v>165</v>
      </c>
    </row>
    <row r="700" spans="1:27" ht="50.25" customHeight="1">
      <c r="A700" s="396" t="s">
        <v>368</v>
      </c>
      <c r="B700" s="703"/>
      <c r="C700" s="704"/>
      <c r="D700" s="431">
        <v>13.7</v>
      </c>
      <c r="E700" s="398">
        <v>486</v>
      </c>
      <c r="F700" s="432">
        <v>4918</v>
      </c>
      <c r="G700" s="85">
        <v>39.700000000000003</v>
      </c>
      <c r="H700" s="433">
        <v>0</v>
      </c>
      <c r="I700" s="308">
        <f t="shared" si="134"/>
        <v>46.574855782819661</v>
      </c>
      <c r="J700" s="433">
        <f t="shared" si="135"/>
        <v>202.5</v>
      </c>
      <c r="K700" s="303">
        <f t="shared" si="136"/>
        <v>7.1953256114452913</v>
      </c>
      <c r="X700" s="154">
        <f>53/2+16+10+130</f>
        <v>182.5</v>
      </c>
      <c r="Y700" s="154">
        <f>36/2+16+10+130</f>
        <v>174</v>
      </c>
      <c r="Z700" s="154">
        <f>16/2+19+10+130</f>
        <v>167</v>
      </c>
      <c r="AA700" s="154">
        <f>52/2+19+10+130</f>
        <v>185</v>
      </c>
    </row>
    <row r="701" spans="1:27">
      <c r="A701" s="3"/>
      <c r="X701" s="154">
        <f>53/2+16+10+150</f>
        <v>202.5</v>
      </c>
      <c r="Y701" s="154">
        <f>36/2+16+10+150</f>
        <v>194</v>
      </c>
      <c r="Z701" s="154">
        <f>16/2+19+10+150</f>
        <v>187</v>
      </c>
      <c r="AA701" s="154">
        <f>52/2+19+10+150</f>
        <v>205</v>
      </c>
    </row>
    <row r="702" spans="1:27" ht="75">
      <c r="A702" s="3"/>
      <c r="B702" s="77"/>
      <c r="E702" s="156" t="s">
        <v>191</v>
      </c>
      <c r="H702" s="157" t="s">
        <v>192</v>
      </c>
      <c r="I702" s="157" t="s">
        <v>193</v>
      </c>
      <c r="R702" s="705" t="s">
        <v>194</v>
      </c>
      <c r="S702" s="706"/>
      <c r="T702" s="706"/>
      <c r="U702" s="707"/>
      <c r="V702" s="158"/>
      <c r="W702" s="3"/>
    </row>
    <row r="703" spans="1:27" ht="19.5" customHeight="1">
      <c r="A703" s="4" t="s">
        <v>2</v>
      </c>
      <c r="B703" s="78" t="s">
        <v>158</v>
      </c>
      <c r="C703" s="78" t="s">
        <v>164</v>
      </c>
      <c r="D703" s="78" t="s">
        <v>162</v>
      </c>
      <c r="E703" s="79" t="s">
        <v>165</v>
      </c>
      <c r="F703" s="5" t="s">
        <v>182</v>
      </c>
      <c r="G703" s="5" t="s">
        <v>190</v>
      </c>
      <c r="H703" s="79" t="s">
        <v>195</v>
      </c>
      <c r="I703" s="79" t="s">
        <v>196</v>
      </c>
      <c r="K703" s="682" t="s">
        <v>166</v>
      </c>
      <c r="L703" s="683"/>
      <c r="M703" s="683"/>
      <c r="N703" s="683"/>
      <c r="O703" s="684"/>
      <c r="P703"/>
      <c r="Q703" s="4" t="s">
        <v>2</v>
      </c>
      <c r="R703" s="697" t="s">
        <v>197</v>
      </c>
      <c r="S703" s="708"/>
      <c r="T703" s="697" t="s">
        <v>198</v>
      </c>
      <c r="U703" s="708"/>
      <c r="V703" s="682" t="s">
        <v>199</v>
      </c>
      <c r="W703" s="684"/>
    </row>
    <row r="704" spans="1:27" ht="30">
      <c r="A704" s="8"/>
      <c r="B704" s="81" t="s">
        <v>17</v>
      </c>
      <c r="C704" s="82" t="s">
        <v>17</v>
      </c>
      <c r="D704" s="82" t="s">
        <v>17</v>
      </c>
      <c r="E704" s="83" t="s">
        <v>17</v>
      </c>
      <c r="F704" s="9" t="s">
        <v>17</v>
      </c>
      <c r="G704" s="9" t="s">
        <v>17</v>
      </c>
      <c r="H704" s="83" t="s">
        <v>17</v>
      </c>
      <c r="I704" s="83" t="s">
        <v>17</v>
      </c>
      <c r="K704" s="95">
        <v>0.6</v>
      </c>
      <c r="L704" s="95">
        <v>0.7</v>
      </c>
      <c r="M704" s="95">
        <v>0.8</v>
      </c>
      <c r="N704" s="95">
        <v>0.9</v>
      </c>
      <c r="O704" s="95">
        <v>1</v>
      </c>
      <c r="P704"/>
      <c r="Q704" s="8"/>
      <c r="R704" s="95">
        <v>0.6</v>
      </c>
      <c r="S704" s="95">
        <v>0.9</v>
      </c>
      <c r="T704" s="95">
        <v>0.6</v>
      </c>
      <c r="U704" s="95">
        <v>0.9</v>
      </c>
      <c r="V704" s="159" t="s">
        <v>200</v>
      </c>
      <c r="W704" s="159" t="s">
        <v>201</v>
      </c>
    </row>
    <row r="705" spans="1:23" ht="45">
      <c r="A705" s="396" t="s">
        <v>356</v>
      </c>
      <c r="B705" s="65">
        <f t="shared" ref="B705:B719" si="137">G648</f>
        <v>6.4479422867607532</v>
      </c>
      <c r="C705" s="65">
        <v>4</v>
      </c>
      <c r="D705" s="65">
        <f t="shared" ref="D705:D719" si="138">I686</f>
        <v>9.4311941603363891</v>
      </c>
      <c r="E705" s="107">
        <f>MIN(B705,D705)</f>
        <v>6.4479422867607532</v>
      </c>
      <c r="F705" s="65">
        <f t="shared" ref="F705:F719" si="139">I648</f>
        <v>0.68556196386955359</v>
      </c>
      <c r="G705" s="65">
        <f t="shared" ref="G705:G719" si="140">K686</f>
        <v>1.0529401549478103</v>
      </c>
      <c r="H705" s="107">
        <f t="shared" ref="H705:H716" si="141">MIN(F705:G705,C705)</f>
        <v>0.68556196386955359</v>
      </c>
      <c r="I705" s="107">
        <f>H705+$B$625</f>
        <v>4.6855619638695538</v>
      </c>
      <c r="K705" s="88">
        <f t="shared" ref="K705:O719" si="142">MIN(K$704*$B705/1.3,$C705/1,K$704*$D705/1.3)</f>
        <v>2.9759733631203473</v>
      </c>
      <c r="L705" s="88">
        <f t="shared" si="142"/>
        <v>3.471968923640405</v>
      </c>
      <c r="M705" s="88">
        <f t="shared" si="142"/>
        <v>3.967964484160464</v>
      </c>
      <c r="N705" s="88">
        <f t="shared" si="142"/>
        <v>4</v>
      </c>
      <c r="O705" s="88">
        <f t="shared" si="142"/>
        <v>4</v>
      </c>
      <c r="P705"/>
      <c r="Q705" s="396" t="s">
        <v>356</v>
      </c>
      <c r="R705" s="88">
        <f t="shared" ref="R705:S719" si="143">MIN(R$704*$F705/1.3,$C705/1,R$704*$G705/1.3)</f>
        <v>0.31641321409364009</v>
      </c>
      <c r="S705" s="88">
        <f t="shared" si="143"/>
        <v>0.4746198211404602</v>
      </c>
      <c r="T705" s="88">
        <f t="shared" ref="T705:U719" si="144">$I705*T$704/1.3</f>
        <v>2.1625670602474862</v>
      </c>
      <c r="U705" s="88">
        <f t="shared" si="144"/>
        <v>3.2438505903712298</v>
      </c>
      <c r="V705" s="429">
        <f t="shared" ref="V705:V719" si="145">R705*200/1.35</f>
        <v>46.876031717576311</v>
      </c>
      <c r="W705" s="429">
        <f>T705*200/1.35</f>
        <v>320.38030522184977</v>
      </c>
    </row>
    <row r="706" spans="1:23" ht="45">
      <c r="A706" s="396" t="s">
        <v>360</v>
      </c>
      <c r="B706" s="65">
        <f t="shared" si="137"/>
        <v>8.7507788177467365</v>
      </c>
      <c r="C706" s="65">
        <v>8</v>
      </c>
      <c r="D706" s="65">
        <f t="shared" si="138"/>
        <v>12.612827162714847</v>
      </c>
      <c r="E706" s="107">
        <f t="shared" ref="E706:E719" si="146">MIN(B706,D706)</f>
        <v>8.7507788177467365</v>
      </c>
      <c r="F706" s="65">
        <f t="shared" si="139"/>
        <v>0.93004458531057144</v>
      </c>
      <c r="G706" s="65">
        <f t="shared" si="140"/>
        <v>1.4281713519797015</v>
      </c>
      <c r="H706" s="107">
        <f t="shared" si="141"/>
        <v>0.93004458531057144</v>
      </c>
      <c r="I706" s="107">
        <f t="shared" ref="I706:I716" si="147">H706+$B$625</f>
        <v>4.9300445853105712</v>
      </c>
      <c r="K706" s="88">
        <f t="shared" si="142"/>
        <v>4.038820992806186</v>
      </c>
      <c r="L706" s="88">
        <f t="shared" si="142"/>
        <v>4.7119578249405496</v>
      </c>
      <c r="M706" s="88">
        <f t="shared" si="142"/>
        <v>5.385094657074915</v>
      </c>
      <c r="N706" s="88">
        <f t="shared" si="142"/>
        <v>6.0582314892092786</v>
      </c>
      <c r="O706" s="88">
        <f t="shared" si="142"/>
        <v>6.731368321343643</v>
      </c>
      <c r="P706"/>
      <c r="Q706" s="396" t="s">
        <v>360</v>
      </c>
      <c r="R706" s="88">
        <f t="shared" si="143"/>
        <v>0.42925134706641754</v>
      </c>
      <c r="S706" s="88">
        <f t="shared" si="143"/>
        <v>0.64387702059962637</v>
      </c>
      <c r="T706" s="88">
        <f t="shared" si="144"/>
        <v>2.2754051932202635</v>
      </c>
      <c r="U706" s="88">
        <f t="shared" si="144"/>
        <v>3.4131077898303959</v>
      </c>
      <c r="V706" s="429">
        <f t="shared" si="145"/>
        <v>63.59279215798778</v>
      </c>
      <c r="W706" s="429">
        <f t="shared" ref="W706:W719" si="148">T706*200/1.35</f>
        <v>337.09706566226123</v>
      </c>
    </row>
    <row r="707" spans="1:23" ht="45">
      <c r="A707" s="396" t="s">
        <v>357</v>
      </c>
      <c r="B707" s="65">
        <f t="shared" si="137"/>
        <v>12.895884573521506</v>
      </c>
      <c r="C707" s="65">
        <v>10</v>
      </c>
      <c r="D707" s="65">
        <f t="shared" si="138"/>
        <v>18.867247809428463</v>
      </c>
      <c r="E707" s="107">
        <f t="shared" si="146"/>
        <v>12.895884573521506</v>
      </c>
      <c r="F707" s="65">
        <f t="shared" si="139"/>
        <v>1.4937800644343464</v>
      </c>
      <c r="G707" s="65">
        <f t="shared" si="140"/>
        <v>2.2940224981557469</v>
      </c>
      <c r="H707" s="107">
        <f t="shared" si="141"/>
        <v>1.4937800644343464</v>
      </c>
      <c r="I707" s="107">
        <f t="shared" si="147"/>
        <v>5.4937800644343469</v>
      </c>
      <c r="K707" s="88">
        <f t="shared" si="142"/>
        <v>5.9519467262406947</v>
      </c>
      <c r="L707" s="88">
        <f t="shared" si="142"/>
        <v>6.94393784728081</v>
      </c>
      <c r="M707" s="88">
        <f t="shared" si="142"/>
        <v>7.935928968320928</v>
      </c>
      <c r="N707" s="88">
        <f t="shared" si="142"/>
        <v>8.9279200893610415</v>
      </c>
      <c r="O707" s="88">
        <f t="shared" si="142"/>
        <v>9.9199112104011586</v>
      </c>
      <c r="P707"/>
      <c r="Q707" s="396" t="s">
        <v>357</v>
      </c>
      <c r="R707" s="88">
        <f t="shared" si="143"/>
        <v>0.68943695281585216</v>
      </c>
      <c r="S707" s="88">
        <f t="shared" si="143"/>
        <v>1.0341554292237782</v>
      </c>
      <c r="T707" s="88">
        <f t="shared" si="144"/>
        <v>2.5355907989696984</v>
      </c>
      <c r="U707" s="88">
        <f t="shared" si="144"/>
        <v>3.8033861984545481</v>
      </c>
      <c r="V707" s="429">
        <f t="shared" si="145"/>
        <v>102.13880782457069</v>
      </c>
      <c r="W707" s="429">
        <f t="shared" si="148"/>
        <v>375.64308132884418</v>
      </c>
    </row>
    <row r="708" spans="1:23" ht="45">
      <c r="A708" s="396" t="s">
        <v>359</v>
      </c>
      <c r="B708" s="65">
        <f t="shared" si="137"/>
        <v>16.810706676197679</v>
      </c>
      <c r="C708" s="65">
        <v>12</v>
      </c>
      <c r="D708" s="65">
        <f t="shared" si="138"/>
        <v>24.755400336061037</v>
      </c>
      <c r="E708" s="107">
        <f t="shared" si="146"/>
        <v>16.810706676197679</v>
      </c>
      <c r="F708" s="65">
        <f t="shared" si="139"/>
        <v>2.0699476121956257</v>
      </c>
      <c r="G708" s="65">
        <f t="shared" si="140"/>
        <v>3.1789097314502079</v>
      </c>
      <c r="H708" s="107">
        <f t="shared" si="141"/>
        <v>2.0699476121956257</v>
      </c>
      <c r="I708" s="107">
        <f t="shared" si="147"/>
        <v>6.0699476121956257</v>
      </c>
      <c r="K708" s="88">
        <f t="shared" si="142"/>
        <v>7.7587876967066203</v>
      </c>
      <c r="L708" s="88">
        <f t="shared" si="142"/>
        <v>9.0519189794910577</v>
      </c>
      <c r="M708" s="88">
        <f t="shared" si="142"/>
        <v>10.345050262275494</v>
      </c>
      <c r="N708" s="88">
        <f t="shared" si="142"/>
        <v>11.638181545059931</v>
      </c>
      <c r="O708" s="88">
        <f t="shared" si="142"/>
        <v>12</v>
      </c>
      <c r="P708"/>
      <c r="Q708" s="396" t="s">
        <v>359</v>
      </c>
      <c r="R708" s="88">
        <f t="shared" si="143"/>
        <v>0.95536043639798107</v>
      </c>
      <c r="S708" s="88">
        <f t="shared" si="143"/>
        <v>1.4330406545969716</v>
      </c>
      <c r="T708" s="88">
        <f t="shared" si="144"/>
        <v>2.8015142825518269</v>
      </c>
      <c r="U708" s="88">
        <f t="shared" si="144"/>
        <v>4.2022714238277405</v>
      </c>
      <c r="V708" s="429">
        <f t="shared" si="145"/>
        <v>141.53487946636756</v>
      </c>
      <c r="W708" s="429">
        <f t="shared" si="148"/>
        <v>415.039152970641</v>
      </c>
    </row>
    <row r="709" spans="1:23" ht="45">
      <c r="A709" s="396" t="s">
        <v>358</v>
      </c>
      <c r="B709" s="65">
        <f t="shared" si="137"/>
        <v>20.955812431972447</v>
      </c>
      <c r="C709" s="65">
        <v>12</v>
      </c>
      <c r="D709" s="65">
        <f t="shared" si="138"/>
        <v>30.939288915885378</v>
      </c>
      <c r="E709" s="107">
        <f t="shared" si="146"/>
        <v>20.955812431972447</v>
      </c>
      <c r="F709" s="65">
        <f t="shared" si="139"/>
        <v>2.6785451403230303</v>
      </c>
      <c r="G709" s="65">
        <f t="shared" si="140"/>
        <v>4.1135329443476287</v>
      </c>
      <c r="H709" s="107">
        <f t="shared" si="141"/>
        <v>2.6785451403230303</v>
      </c>
      <c r="I709" s="107">
        <f t="shared" si="147"/>
        <v>6.6785451403230303</v>
      </c>
      <c r="K709" s="88">
        <f t="shared" si="142"/>
        <v>9.6719134301411298</v>
      </c>
      <c r="L709" s="88">
        <f t="shared" si="142"/>
        <v>11.283899001831315</v>
      </c>
      <c r="M709" s="88">
        <f t="shared" si="142"/>
        <v>12</v>
      </c>
      <c r="N709" s="88">
        <f t="shared" si="142"/>
        <v>12</v>
      </c>
      <c r="O709" s="88">
        <f t="shared" si="142"/>
        <v>12</v>
      </c>
      <c r="P709"/>
      <c r="Q709" s="396" t="s">
        <v>358</v>
      </c>
      <c r="R709" s="88">
        <f t="shared" si="143"/>
        <v>1.2362516032260138</v>
      </c>
      <c r="S709" s="88">
        <f t="shared" si="143"/>
        <v>1.8543774048390211</v>
      </c>
      <c r="T709" s="88">
        <f t="shared" si="144"/>
        <v>3.0824054493798596</v>
      </c>
      <c r="U709" s="88">
        <f t="shared" si="144"/>
        <v>4.6236081740697896</v>
      </c>
      <c r="V709" s="429">
        <f t="shared" si="145"/>
        <v>183.14838566311315</v>
      </c>
      <c r="W709" s="429">
        <f t="shared" si="148"/>
        <v>456.65265916738662</v>
      </c>
    </row>
    <row r="710" spans="1:23" ht="45">
      <c r="A710" s="396" t="s">
        <v>361</v>
      </c>
      <c r="B710" s="65">
        <f t="shared" si="137"/>
        <v>25.100918187747219</v>
      </c>
      <c r="C710" s="65">
        <v>12</v>
      </c>
      <c r="D710" s="65">
        <f t="shared" si="138"/>
        <v>37.127060080507114</v>
      </c>
      <c r="E710" s="107">
        <f t="shared" si="146"/>
        <v>25.100918187747219</v>
      </c>
      <c r="F710" s="65">
        <f t="shared" si="139"/>
        <v>3.3245358298367984</v>
      </c>
      <c r="G710" s="65">
        <f t="shared" si="140"/>
        <v>5.1055236549138909</v>
      </c>
      <c r="H710" s="107">
        <f t="shared" si="141"/>
        <v>3.3245358298367984</v>
      </c>
      <c r="I710" s="107">
        <f t="shared" si="147"/>
        <v>7.3245358298367984</v>
      </c>
      <c r="K710" s="88">
        <f t="shared" si="142"/>
        <v>11.585039163575638</v>
      </c>
      <c r="L710" s="88">
        <f t="shared" si="142"/>
        <v>12</v>
      </c>
      <c r="M710" s="88">
        <f t="shared" si="142"/>
        <v>12</v>
      </c>
      <c r="N710" s="88">
        <f t="shared" si="142"/>
        <v>12</v>
      </c>
      <c r="O710" s="88">
        <f t="shared" si="142"/>
        <v>12</v>
      </c>
      <c r="P710"/>
      <c r="Q710" s="396" t="s">
        <v>361</v>
      </c>
      <c r="R710" s="88">
        <f t="shared" si="143"/>
        <v>1.5344011522323684</v>
      </c>
      <c r="S710" s="88">
        <f t="shared" si="143"/>
        <v>2.3016017283485528</v>
      </c>
      <c r="T710" s="88">
        <f t="shared" si="144"/>
        <v>3.3805549983862146</v>
      </c>
      <c r="U710" s="88">
        <f t="shared" si="144"/>
        <v>5.070832497579322</v>
      </c>
      <c r="V710" s="429">
        <f t="shared" si="145"/>
        <v>227.31868921961009</v>
      </c>
      <c r="W710" s="429">
        <f t="shared" si="148"/>
        <v>500.82296272388362</v>
      </c>
    </row>
    <row r="711" spans="1:23" ht="45">
      <c r="A711" s="408" t="s">
        <v>858</v>
      </c>
      <c r="B711" s="65">
        <f t="shared" si="137"/>
        <v>23.751228314680212</v>
      </c>
      <c r="C711" s="65">
        <v>10</v>
      </c>
      <c r="D711" s="65">
        <f t="shared" si="138"/>
        <v>18.867247809428463</v>
      </c>
      <c r="E711" s="107">
        <f t="shared" ref="E711" si="149">MIN(B711,D711)</f>
        <v>18.867247809428463</v>
      </c>
      <c r="F711" s="65">
        <f t="shared" si="139"/>
        <v>2.7511964115393384</v>
      </c>
      <c r="G711" s="65">
        <f t="shared" si="140"/>
        <v>2.2940224981557469</v>
      </c>
      <c r="H711" s="107">
        <f t="shared" ref="H711" si="150">MIN(F711:G711,C711)</f>
        <v>2.2940224981557469</v>
      </c>
      <c r="I711" s="107">
        <f t="shared" ref="I711" si="151">H711+$B$625</f>
        <v>6.2940224981557469</v>
      </c>
      <c r="K711" s="88">
        <f t="shared" si="142"/>
        <v>8.7079605274285203</v>
      </c>
      <c r="L711" s="88">
        <f t="shared" si="142"/>
        <v>10</v>
      </c>
      <c r="M711" s="88">
        <f t="shared" si="142"/>
        <v>10</v>
      </c>
      <c r="N711" s="88">
        <f t="shared" si="142"/>
        <v>10</v>
      </c>
      <c r="O711" s="88">
        <f t="shared" si="142"/>
        <v>10</v>
      </c>
      <c r="P711"/>
      <c r="Q711" s="408" t="s">
        <v>858</v>
      </c>
      <c r="R711" s="88">
        <f t="shared" si="143"/>
        <v>1.0587796145334214</v>
      </c>
      <c r="S711" s="88">
        <f t="shared" si="143"/>
        <v>1.5881694218001323</v>
      </c>
      <c r="T711" s="88">
        <f t="shared" si="144"/>
        <v>2.9049334606872677</v>
      </c>
      <c r="U711" s="88">
        <f t="shared" si="144"/>
        <v>4.3574001910309015</v>
      </c>
      <c r="V711" s="429">
        <f t="shared" ref="V711" si="152">R711*200/1.35</f>
        <v>156.85623919013648</v>
      </c>
      <c r="W711" s="429">
        <f t="shared" ref="W711" si="153">T711*200/1.35</f>
        <v>430.36051269440998</v>
      </c>
    </row>
    <row r="712" spans="1:23" ht="45">
      <c r="A712" s="408" t="s">
        <v>803</v>
      </c>
      <c r="B712" s="65">
        <f t="shared" si="137"/>
        <v>30.961422624493849</v>
      </c>
      <c r="C712" s="65">
        <v>13</v>
      </c>
      <c r="D712" s="65">
        <f t="shared" si="138"/>
        <v>24.755400336061037</v>
      </c>
      <c r="E712" s="107">
        <f t="shared" ref="E712" si="154">MIN(B712,D712)</f>
        <v>24.755400336061037</v>
      </c>
      <c r="F712" s="65">
        <f t="shared" si="139"/>
        <v>3.8123633982915046</v>
      </c>
      <c r="G712" s="65">
        <f t="shared" si="140"/>
        <v>3.1789097314502079</v>
      </c>
      <c r="H712" s="107">
        <f t="shared" ref="H712" si="155">MIN(F712:G712,C712)</f>
        <v>3.1789097314502079</v>
      </c>
      <c r="I712" s="107">
        <f t="shared" ref="I712" si="156">H712+$B$625</f>
        <v>7.1789097314502079</v>
      </c>
      <c r="K712" s="88">
        <f t="shared" si="142"/>
        <v>11.425569385874324</v>
      </c>
      <c r="L712" s="88">
        <f t="shared" si="142"/>
        <v>13</v>
      </c>
      <c r="M712" s="88">
        <f t="shared" si="142"/>
        <v>13</v>
      </c>
      <c r="N712" s="88">
        <f t="shared" si="142"/>
        <v>13</v>
      </c>
      <c r="O712" s="88">
        <f t="shared" si="142"/>
        <v>13</v>
      </c>
      <c r="P712"/>
      <c r="Q712" s="408" t="s">
        <v>803</v>
      </c>
      <c r="R712" s="88">
        <f t="shared" si="143"/>
        <v>1.4671891068231728</v>
      </c>
      <c r="S712" s="88">
        <f t="shared" si="143"/>
        <v>2.2007836602347592</v>
      </c>
      <c r="T712" s="88">
        <f t="shared" si="144"/>
        <v>3.3133429529770186</v>
      </c>
      <c r="U712" s="88">
        <f t="shared" si="144"/>
        <v>4.9700144294655288</v>
      </c>
      <c r="V712" s="429">
        <f t="shared" ref="V712" si="157">R712*200/1.35</f>
        <v>217.36134915898853</v>
      </c>
      <c r="W712" s="429">
        <f t="shared" ref="W712" si="158">T712*200/1.35</f>
        <v>490.865622663262</v>
      </c>
    </row>
    <row r="713" spans="1:23" ht="45">
      <c r="A713" s="408" t="s">
        <v>362</v>
      </c>
      <c r="B713" s="65">
        <f t="shared" si="137"/>
        <v>38.595746011355345</v>
      </c>
      <c r="C713" s="65">
        <v>12</v>
      </c>
      <c r="D713" s="65">
        <f t="shared" si="138"/>
        <v>30.939288915885378</v>
      </c>
      <c r="E713" s="107">
        <f t="shared" si="146"/>
        <v>30.939288915885378</v>
      </c>
      <c r="F713" s="65">
        <f t="shared" si="139"/>
        <v>4.9332588870727569</v>
      </c>
      <c r="G713" s="65">
        <f t="shared" si="140"/>
        <v>4.1135329443476287</v>
      </c>
      <c r="H713" s="107">
        <f t="shared" si="141"/>
        <v>4.1135329443476287</v>
      </c>
      <c r="I713" s="107">
        <f t="shared" si="147"/>
        <v>8.1135329443476287</v>
      </c>
      <c r="K713" s="88">
        <f t="shared" si="142"/>
        <v>12</v>
      </c>
      <c r="L713" s="88">
        <f t="shared" si="142"/>
        <v>12</v>
      </c>
      <c r="M713" s="88">
        <f t="shared" si="142"/>
        <v>12</v>
      </c>
      <c r="N713" s="88">
        <f t="shared" si="142"/>
        <v>12</v>
      </c>
      <c r="O713" s="88">
        <f t="shared" si="142"/>
        <v>12</v>
      </c>
      <c r="P713"/>
      <c r="Q713" s="408" t="s">
        <v>362</v>
      </c>
      <c r="R713" s="88">
        <f t="shared" si="143"/>
        <v>1.8985536666219824</v>
      </c>
      <c r="S713" s="88">
        <f t="shared" si="143"/>
        <v>2.8478304999329738</v>
      </c>
      <c r="T713" s="88">
        <f t="shared" si="144"/>
        <v>3.744707512775828</v>
      </c>
      <c r="U713" s="88">
        <f t="shared" si="144"/>
        <v>5.6170612691637434</v>
      </c>
      <c r="V713" s="429">
        <f>R713*200/1.35</f>
        <v>281.26720986992331</v>
      </c>
      <c r="W713" s="429">
        <f>T713*200/1.35</f>
        <v>554.77148337419669</v>
      </c>
    </row>
    <row r="714" spans="1:23" ht="45">
      <c r="A714" s="408" t="s">
        <v>363</v>
      </c>
      <c r="B714" s="65">
        <f t="shared" si="137"/>
        <v>46.230069398216841</v>
      </c>
      <c r="C714" s="65">
        <v>12</v>
      </c>
      <c r="D714" s="65">
        <f t="shared" si="138"/>
        <v>37.127060080507114</v>
      </c>
      <c r="E714" s="107">
        <f t="shared" si="146"/>
        <v>37.127060080507114</v>
      </c>
      <c r="F714" s="65">
        <f t="shared" si="139"/>
        <v>6.12302390616283</v>
      </c>
      <c r="G714" s="65">
        <f t="shared" si="140"/>
        <v>5.1055236549138909</v>
      </c>
      <c r="H714" s="107">
        <f t="shared" si="141"/>
        <v>5.1055236549138909</v>
      </c>
      <c r="I714" s="107">
        <f t="shared" si="147"/>
        <v>9.1055236549138918</v>
      </c>
      <c r="K714" s="88">
        <f t="shared" si="142"/>
        <v>12</v>
      </c>
      <c r="L714" s="88">
        <f t="shared" si="142"/>
        <v>12</v>
      </c>
      <c r="M714" s="88">
        <f t="shared" si="142"/>
        <v>12</v>
      </c>
      <c r="N714" s="88">
        <f t="shared" si="142"/>
        <v>12</v>
      </c>
      <c r="O714" s="88">
        <f t="shared" si="142"/>
        <v>12</v>
      </c>
      <c r="P714"/>
      <c r="Q714" s="408" t="s">
        <v>363</v>
      </c>
      <c r="R714" s="88">
        <f t="shared" si="143"/>
        <v>2.3563955330371802</v>
      </c>
      <c r="S714" s="88">
        <f t="shared" si="143"/>
        <v>3.5345932995557705</v>
      </c>
      <c r="T714" s="88">
        <f t="shared" si="144"/>
        <v>4.2025493791910264</v>
      </c>
      <c r="U714" s="88">
        <f t="shared" si="144"/>
        <v>6.3038240687865406</v>
      </c>
      <c r="V714" s="429">
        <f>R714*200/1.35</f>
        <v>349.09563452402671</v>
      </c>
      <c r="W714" s="429">
        <f>T714*200/1.35</f>
        <v>622.59990802830021</v>
      </c>
    </row>
    <row r="715" spans="1:23" ht="45">
      <c r="A715" s="396" t="s">
        <v>364</v>
      </c>
      <c r="B715" s="65">
        <f t="shared" si="137"/>
        <v>15.19872110450749</v>
      </c>
      <c r="C715" s="65">
        <v>8</v>
      </c>
      <c r="D715" s="65">
        <f t="shared" si="138"/>
        <v>22.060260066839945</v>
      </c>
      <c r="E715" s="107">
        <f t="shared" si="146"/>
        <v>15.19872110450749</v>
      </c>
      <c r="F715" s="65">
        <f t="shared" si="139"/>
        <v>2.8454065427374902</v>
      </c>
      <c r="G715" s="65">
        <f t="shared" si="140"/>
        <v>4.3635207379614211</v>
      </c>
      <c r="H715" s="107">
        <f t="shared" si="141"/>
        <v>2.8454065427374902</v>
      </c>
      <c r="I715" s="107">
        <f t="shared" si="147"/>
        <v>6.8454065427374902</v>
      </c>
      <c r="K715" s="88">
        <f t="shared" si="142"/>
        <v>7.0147943559265338</v>
      </c>
      <c r="L715" s="88">
        <f t="shared" si="142"/>
        <v>8</v>
      </c>
      <c r="M715" s="88">
        <f t="shared" si="142"/>
        <v>8</v>
      </c>
      <c r="N715" s="88">
        <f t="shared" si="142"/>
        <v>8</v>
      </c>
      <c r="O715" s="88">
        <f t="shared" si="142"/>
        <v>8</v>
      </c>
      <c r="P715"/>
      <c r="Q715" s="396" t="s">
        <v>364</v>
      </c>
      <c r="R715" s="88">
        <f t="shared" si="143"/>
        <v>1.3132645581865339</v>
      </c>
      <c r="S715" s="88">
        <f t="shared" si="143"/>
        <v>1.9698968372798009</v>
      </c>
      <c r="T715" s="88">
        <f t="shared" si="144"/>
        <v>3.1594184043403799</v>
      </c>
      <c r="U715" s="88">
        <f t="shared" si="144"/>
        <v>4.7391276065105696</v>
      </c>
      <c r="V715" s="429">
        <f t="shared" si="145"/>
        <v>194.55771232393093</v>
      </c>
      <c r="W715" s="429">
        <f t="shared" si="148"/>
        <v>468.0619858282044</v>
      </c>
    </row>
    <row r="716" spans="1:23" ht="47.25" customHeight="1">
      <c r="A716" s="396" t="s">
        <v>365</v>
      </c>
      <c r="B716" s="65">
        <f t="shared" si="137"/>
        <v>23.258648962958429</v>
      </c>
      <c r="C716" s="65">
        <v>10</v>
      </c>
      <c r="D716" s="65">
        <f t="shared" si="138"/>
        <v>34.193460589897342</v>
      </c>
      <c r="E716" s="107">
        <f t="shared" si="146"/>
        <v>23.258648962958429</v>
      </c>
      <c r="F716" s="65">
        <f t="shared" si="139"/>
        <v>4.2725432285353833</v>
      </c>
      <c r="G716" s="65">
        <f t="shared" si="140"/>
        <v>6.5557147477983477</v>
      </c>
      <c r="H716" s="107">
        <f t="shared" si="141"/>
        <v>4.2725432285353833</v>
      </c>
      <c r="I716" s="107">
        <f t="shared" si="147"/>
        <v>8.2725432285353833</v>
      </c>
      <c r="K716" s="88">
        <f t="shared" si="142"/>
        <v>10</v>
      </c>
      <c r="L716" s="88">
        <f t="shared" si="142"/>
        <v>10</v>
      </c>
      <c r="M716" s="88">
        <f t="shared" si="142"/>
        <v>10</v>
      </c>
      <c r="N716" s="88">
        <f t="shared" si="142"/>
        <v>10</v>
      </c>
      <c r="O716" s="88">
        <f t="shared" si="142"/>
        <v>10</v>
      </c>
      <c r="P716"/>
      <c r="Q716" s="396" t="s">
        <v>365</v>
      </c>
      <c r="R716" s="88">
        <f t="shared" si="143"/>
        <v>1.9719430285547921</v>
      </c>
      <c r="S716" s="88">
        <f t="shared" si="143"/>
        <v>2.9579145428321882</v>
      </c>
      <c r="T716" s="88">
        <f t="shared" si="144"/>
        <v>3.8180968747086386</v>
      </c>
      <c r="U716" s="88">
        <f t="shared" si="144"/>
        <v>5.727145312062957</v>
      </c>
      <c r="V716" s="429">
        <f t="shared" si="145"/>
        <v>292.13970793404326</v>
      </c>
      <c r="W716" s="429">
        <f t="shared" si="148"/>
        <v>565.64398143831681</v>
      </c>
    </row>
    <row r="717" spans="1:23" ht="47.25" customHeight="1">
      <c r="A717" s="396" t="s">
        <v>366</v>
      </c>
      <c r="B717" s="65">
        <f t="shared" si="137"/>
        <v>31.548860474507968</v>
      </c>
      <c r="C717" s="65">
        <v>12</v>
      </c>
      <c r="D717" s="65">
        <f t="shared" si="138"/>
        <v>46.574855782819661</v>
      </c>
      <c r="E717" s="107">
        <f t="shared" si="146"/>
        <v>31.548860474507968</v>
      </c>
      <c r="F717" s="65">
        <f t="shared" si="139"/>
        <v>5.6346405643713657</v>
      </c>
      <c r="G717" s="65">
        <f t="shared" si="140"/>
        <v>8.6476775288603118</v>
      </c>
      <c r="H717" s="107">
        <f>MIN(F717:G717,C717)</f>
        <v>5.6346405643713657</v>
      </c>
      <c r="I717" s="107">
        <f>H717+$B$625</f>
        <v>9.6346405643713666</v>
      </c>
      <c r="K717" s="88">
        <f t="shared" si="142"/>
        <v>12</v>
      </c>
      <c r="L717" s="88">
        <f t="shared" si="142"/>
        <v>12</v>
      </c>
      <c r="M717" s="88">
        <f t="shared" si="142"/>
        <v>12</v>
      </c>
      <c r="N717" s="88">
        <f t="shared" si="142"/>
        <v>12</v>
      </c>
      <c r="O717" s="88">
        <f t="shared" si="142"/>
        <v>12</v>
      </c>
      <c r="P717"/>
      <c r="Q717" s="396" t="s">
        <v>366</v>
      </c>
      <c r="R717" s="88">
        <f t="shared" si="143"/>
        <v>2.6006033374021684</v>
      </c>
      <c r="S717" s="88">
        <f t="shared" si="143"/>
        <v>3.9009050061032533</v>
      </c>
      <c r="T717" s="88">
        <f t="shared" si="144"/>
        <v>4.4467571835560156</v>
      </c>
      <c r="U717" s="88">
        <f t="shared" si="144"/>
        <v>6.6701357753340238</v>
      </c>
      <c r="V717" s="429">
        <f t="shared" si="145"/>
        <v>385.2745685040249</v>
      </c>
      <c r="W717" s="429">
        <f t="shared" si="148"/>
        <v>658.77884200829851</v>
      </c>
    </row>
    <row r="718" spans="1:23" ht="47.25" customHeight="1">
      <c r="A718" s="396" t="s">
        <v>367</v>
      </c>
      <c r="B718" s="65">
        <f t="shared" si="137"/>
        <v>31.548860474507968</v>
      </c>
      <c r="C718" s="65">
        <v>12</v>
      </c>
      <c r="D718" s="65">
        <f t="shared" si="138"/>
        <v>46.574855782819661</v>
      </c>
      <c r="E718" s="107">
        <f t="shared" si="146"/>
        <v>31.548860474507968</v>
      </c>
      <c r="F718" s="65">
        <f t="shared" si="139"/>
        <v>5.1169638723882258</v>
      </c>
      <c r="G718" s="65">
        <f t="shared" si="140"/>
        <v>7.8550136614939294</v>
      </c>
      <c r="H718" s="107">
        <f>MIN(F718:G718,C718)</f>
        <v>5.1169638723882258</v>
      </c>
      <c r="I718" s="107">
        <f>H718+$B$625</f>
        <v>9.1169638723882258</v>
      </c>
      <c r="K718" s="88">
        <f t="shared" si="142"/>
        <v>12</v>
      </c>
      <c r="L718" s="88">
        <f t="shared" si="142"/>
        <v>12</v>
      </c>
      <c r="M718" s="88">
        <f t="shared" si="142"/>
        <v>12</v>
      </c>
      <c r="N718" s="88">
        <f t="shared" si="142"/>
        <v>12</v>
      </c>
      <c r="O718" s="88">
        <f t="shared" si="142"/>
        <v>12</v>
      </c>
      <c r="P718"/>
      <c r="Q718" s="396" t="s">
        <v>367</v>
      </c>
      <c r="R718" s="88">
        <f t="shared" si="143"/>
        <v>2.3616756334099502</v>
      </c>
      <c r="S718" s="88">
        <f t="shared" si="143"/>
        <v>3.5425134501149258</v>
      </c>
      <c r="T718" s="88">
        <f t="shared" si="144"/>
        <v>4.207829479563796</v>
      </c>
      <c r="U718" s="88">
        <f t="shared" si="144"/>
        <v>6.3117442193456954</v>
      </c>
      <c r="V718" s="429">
        <f t="shared" si="145"/>
        <v>349.87787161628893</v>
      </c>
      <c r="W718" s="429">
        <f t="shared" si="148"/>
        <v>623.38214512056231</v>
      </c>
    </row>
    <row r="719" spans="1:23" ht="47.25" customHeight="1">
      <c r="A719" s="396" t="s">
        <v>368</v>
      </c>
      <c r="B719" s="65">
        <f t="shared" si="137"/>
        <v>31.548860474507968</v>
      </c>
      <c r="C719" s="65">
        <v>12</v>
      </c>
      <c r="D719" s="65">
        <f t="shared" si="138"/>
        <v>46.574855782819661</v>
      </c>
      <c r="E719" s="107">
        <f t="shared" si="146"/>
        <v>31.548860474507968</v>
      </c>
      <c r="F719" s="65">
        <f t="shared" si="139"/>
        <v>4.6863960027681477</v>
      </c>
      <c r="G719" s="65">
        <f t="shared" si="140"/>
        <v>7.1953256114452913</v>
      </c>
      <c r="H719" s="107">
        <f>MIN(F719:G719,C719)</f>
        <v>4.6863960027681477</v>
      </c>
      <c r="I719" s="107">
        <f>H719+$B$625</f>
        <v>8.6863960027681486</v>
      </c>
      <c r="K719" s="88">
        <f t="shared" si="142"/>
        <v>12</v>
      </c>
      <c r="L719" s="88">
        <f t="shared" si="142"/>
        <v>12</v>
      </c>
      <c r="M719" s="88">
        <f t="shared" si="142"/>
        <v>12</v>
      </c>
      <c r="N719" s="88">
        <f t="shared" si="142"/>
        <v>12</v>
      </c>
      <c r="O719" s="88">
        <f t="shared" si="142"/>
        <v>12</v>
      </c>
      <c r="P719"/>
      <c r="Q719" s="396" t="s">
        <v>368</v>
      </c>
      <c r="R719" s="88">
        <f t="shared" si="143"/>
        <v>2.1629520012776062</v>
      </c>
      <c r="S719" s="88">
        <f t="shared" si="143"/>
        <v>3.2444280019164102</v>
      </c>
      <c r="T719" s="88">
        <f t="shared" si="144"/>
        <v>4.0091058474314529</v>
      </c>
      <c r="U719" s="88">
        <f t="shared" si="144"/>
        <v>6.0136587711471794</v>
      </c>
      <c r="V719" s="429">
        <f t="shared" si="145"/>
        <v>320.4373335226083</v>
      </c>
      <c r="W719" s="429">
        <f t="shared" si="148"/>
        <v>593.94160702688191</v>
      </c>
    </row>
    <row r="720" spans="1:23">
      <c r="A720" s="91"/>
      <c r="D720" s="99"/>
    </row>
    <row r="721" spans="1:22">
      <c r="A721" s="3"/>
      <c r="D721" s="100"/>
    </row>
    <row r="722" spans="1:22">
      <c r="A722" s="161" t="s">
        <v>202</v>
      </c>
      <c r="B722" s="22">
        <v>65</v>
      </c>
      <c r="C722" t="s">
        <v>65</v>
      </c>
      <c r="D722" s="100"/>
    </row>
    <row r="723" spans="1:22" ht="18">
      <c r="A723" s="161" t="s">
        <v>203</v>
      </c>
      <c r="B723">
        <f>16+B722/2</f>
        <v>48.5</v>
      </c>
      <c r="C723" t="s">
        <v>65</v>
      </c>
      <c r="D723" s="162" t="s">
        <v>204</v>
      </c>
      <c r="K723" s="686" t="s">
        <v>205</v>
      </c>
      <c r="L723" s="687"/>
      <c r="M723" s="687"/>
      <c r="N723" s="688"/>
      <c r="S723" s="696"/>
      <c r="T723" s="696"/>
      <c r="U723" s="696"/>
      <c r="V723" s="696"/>
    </row>
    <row r="724" spans="1:22" ht="18">
      <c r="A724" s="23" t="s">
        <v>39</v>
      </c>
      <c r="B724" s="163">
        <f>B620</f>
        <v>385</v>
      </c>
      <c r="C724" t="s">
        <v>40</v>
      </c>
      <c r="D724" s="100"/>
      <c r="K724" s="689" t="s">
        <v>206</v>
      </c>
      <c r="L724" s="690"/>
      <c r="M724" s="690"/>
      <c r="N724" s="691"/>
      <c r="P724"/>
      <c r="S724" s="696"/>
      <c r="T724" s="696"/>
      <c r="U724" s="696"/>
      <c r="V724" s="696"/>
    </row>
    <row r="725" spans="1:22" ht="31.5" customHeight="1">
      <c r="A725" s="4" t="s">
        <v>2</v>
      </c>
      <c r="B725" s="164" t="s">
        <v>207</v>
      </c>
      <c r="C725" s="5" t="s">
        <v>208</v>
      </c>
      <c r="D725" s="150" t="s">
        <v>183</v>
      </c>
      <c r="E725" s="164" t="s">
        <v>209</v>
      </c>
      <c r="F725" s="5" t="s">
        <v>210</v>
      </c>
      <c r="G725" s="4" t="s">
        <v>211</v>
      </c>
      <c r="K725" s="697" t="s">
        <v>212</v>
      </c>
      <c r="L725" s="698"/>
      <c r="M725" s="697" t="s">
        <v>213</v>
      </c>
      <c r="N725" s="684"/>
      <c r="O725" s="682" t="s">
        <v>199</v>
      </c>
      <c r="P725" s="684"/>
      <c r="S725" s="693"/>
      <c r="T725" s="693"/>
      <c r="U725" s="693"/>
      <c r="V725" s="693"/>
    </row>
    <row r="726" spans="1:22" ht="30">
      <c r="A726" s="8"/>
      <c r="B726" s="166" t="s">
        <v>17</v>
      </c>
      <c r="C726" s="8"/>
      <c r="D726" s="151" t="s">
        <v>18</v>
      </c>
      <c r="E726" s="166" t="s">
        <v>18</v>
      </c>
      <c r="F726" s="8"/>
      <c r="G726" s="82" t="s">
        <v>17</v>
      </c>
      <c r="K726" s="167">
        <v>0.6</v>
      </c>
      <c r="L726" s="167">
        <v>0.9</v>
      </c>
      <c r="M726" s="167">
        <v>0.6</v>
      </c>
      <c r="N726" s="167">
        <v>0.9</v>
      </c>
      <c r="O726" s="159" t="s">
        <v>200</v>
      </c>
      <c r="P726" s="159" t="s">
        <v>201</v>
      </c>
      <c r="S726" s="108"/>
      <c r="T726" s="108"/>
      <c r="U726" s="108"/>
      <c r="V726" s="108"/>
    </row>
    <row r="727" spans="1:22">
      <c r="A727" s="44" t="s">
        <v>214</v>
      </c>
      <c r="B727" s="168">
        <f t="shared" ref="B727:B732" si="159">MIN(B705,D705)</f>
        <v>6.4479422867607532</v>
      </c>
      <c r="C727" s="169">
        <v>0.108</v>
      </c>
      <c r="D727" s="153">
        <v>21</v>
      </c>
      <c r="E727" s="168">
        <f>D727+10+$B$723</f>
        <v>79.5</v>
      </c>
      <c r="F727" s="170">
        <f>1/(1+E727*C727)</f>
        <v>0.10431879824744418</v>
      </c>
      <c r="G727" s="171">
        <f>F727*B727</f>
        <v>0.67264159052375894</v>
      </c>
      <c r="K727" s="88">
        <f>$G727*K$726/1.3</f>
        <v>0.31044996485711951</v>
      </c>
      <c r="L727" s="88">
        <f>$G727*L$726/1.3</f>
        <v>0.46567494728567921</v>
      </c>
      <c r="M727" s="88">
        <f t="shared" ref="M727:N737" si="160">($G727+$B$625)*M$726/1.3</f>
        <v>2.1566038110109655</v>
      </c>
      <c r="N727" s="88">
        <f t="shared" si="160"/>
        <v>3.2349057165164488</v>
      </c>
      <c r="O727" s="160">
        <f t="shared" ref="O727:O737" si="161">K727*200/1.35</f>
        <v>45.992587386239926</v>
      </c>
      <c r="P727" s="160">
        <f t="shared" ref="P727:P737" si="162">(K727+(4/1.3*0.6))*200/1.35</f>
        <v>319.4968608905134</v>
      </c>
      <c r="S727" s="116"/>
      <c r="T727" s="116"/>
      <c r="U727" s="116"/>
      <c r="V727" s="116"/>
    </row>
    <row r="728" spans="1:22">
      <c r="A728" s="44" t="s">
        <v>215</v>
      </c>
      <c r="B728" s="168">
        <f t="shared" si="159"/>
        <v>8.7507788177467365</v>
      </c>
      <c r="C728" s="169">
        <v>6.9000000000000006E-2</v>
      </c>
      <c r="D728" s="153">
        <v>31</v>
      </c>
      <c r="E728" s="168">
        <f t="shared" ref="E728:E737" si="163">D728+10+$B$723</f>
        <v>89.5</v>
      </c>
      <c r="F728" s="170">
        <f t="shared" ref="F728:F737" si="164">1/(1+E728*C728)</f>
        <v>0.13936311058462825</v>
      </c>
      <c r="G728" s="171">
        <f t="shared" ref="G728:G737" si="165">F728*B728</f>
        <v>1.2195357560792608</v>
      </c>
      <c r="K728" s="88">
        <f t="shared" ref="K728:K737" si="166">$G728*K$726/1.3</f>
        <v>0.56286265665196655</v>
      </c>
      <c r="L728" s="88">
        <f t="shared" ref="L728:L737" si="167">$G728*L$726/1.3</f>
        <v>0.84429398497794983</v>
      </c>
      <c r="M728" s="88">
        <f t="shared" si="160"/>
        <v>2.4090165028058128</v>
      </c>
      <c r="N728" s="88">
        <f t="shared" si="160"/>
        <v>3.6135247542087194</v>
      </c>
      <c r="O728" s="160">
        <f t="shared" si="161"/>
        <v>83.387060244735778</v>
      </c>
      <c r="P728" s="160">
        <f t="shared" si="162"/>
        <v>356.89133374900922</v>
      </c>
      <c r="S728" s="116"/>
      <c r="T728" s="116"/>
      <c r="U728" s="116"/>
      <c r="V728" s="116"/>
    </row>
    <row r="729" spans="1:22">
      <c r="A729" s="44" t="s">
        <v>216</v>
      </c>
      <c r="B729" s="168">
        <f t="shared" si="159"/>
        <v>12.895884573521506</v>
      </c>
      <c r="C729" s="169">
        <v>5.3999999999999999E-2</v>
      </c>
      <c r="D729" s="153">
        <v>41</v>
      </c>
      <c r="E729" s="168">
        <f t="shared" si="163"/>
        <v>99.5</v>
      </c>
      <c r="F729" s="170">
        <f t="shared" si="164"/>
        <v>0.15691197238349286</v>
      </c>
      <c r="G729" s="171">
        <f t="shared" si="165"/>
        <v>2.0235186840611181</v>
      </c>
      <c r="K729" s="88">
        <f t="shared" si="166"/>
        <v>0.93393170033590067</v>
      </c>
      <c r="L729" s="88">
        <f t="shared" si="167"/>
        <v>1.400897550503851</v>
      </c>
      <c r="M729" s="88">
        <f t="shared" si="160"/>
        <v>2.7800855464897465</v>
      </c>
      <c r="N729" s="88">
        <f t="shared" si="160"/>
        <v>4.1701283197346202</v>
      </c>
      <c r="O729" s="160">
        <f t="shared" si="161"/>
        <v>138.3602519016149</v>
      </c>
      <c r="P729" s="160">
        <f t="shared" si="162"/>
        <v>411.86452540588834</v>
      </c>
      <c r="S729" s="116"/>
      <c r="T729" s="116"/>
      <c r="U729" s="116"/>
      <c r="V729" s="116"/>
    </row>
    <row r="730" spans="1:22">
      <c r="A730" s="44" t="s">
        <v>217</v>
      </c>
      <c r="B730" s="168">
        <f t="shared" si="159"/>
        <v>16.810706676197679</v>
      </c>
      <c r="C730" s="169">
        <v>4.4999999999999998E-2</v>
      </c>
      <c r="D730" s="153">
        <v>51</v>
      </c>
      <c r="E730" s="168">
        <f t="shared" si="163"/>
        <v>109.5</v>
      </c>
      <c r="F730" s="170">
        <f t="shared" si="164"/>
        <v>0.16870518768452128</v>
      </c>
      <c r="G730" s="171">
        <f t="shared" si="165"/>
        <v>2.8360534249173641</v>
      </c>
      <c r="K730" s="88">
        <f t="shared" si="166"/>
        <v>1.3089477345772449</v>
      </c>
      <c r="L730" s="88">
        <f t="shared" si="167"/>
        <v>1.9634216018658674</v>
      </c>
      <c r="M730" s="88">
        <f t="shared" si="160"/>
        <v>3.1551015807310905</v>
      </c>
      <c r="N730" s="88">
        <f t="shared" si="160"/>
        <v>4.7326523710966368</v>
      </c>
      <c r="O730" s="160">
        <f t="shared" si="161"/>
        <v>193.91818290033257</v>
      </c>
      <c r="P730" s="160">
        <f t="shared" si="162"/>
        <v>467.42245640460601</v>
      </c>
      <c r="S730" s="116"/>
      <c r="T730" s="116"/>
      <c r="U730" s="116"/>
      <c r="V730" s="116"/>
    </row>
    <row r="731" spans="1:22">
      <c r="A731" s="44" t="s">
        <v>218</v>
      </c>
      <c r="B731" s="168">
        <f t="shared" si="159"/>
        <v>20.955812431972447</v>
      </c>
      <c r="C731" s="169">
        <v>3.7999999999999999E-2</v>
      </c>
      <c r="D731" s="153">
        <v>61</v>
      </c>
      <c r="E731" s="168">
        <f t="shared" si="163"/>
        <v>119.5</v>
      </c>
      <c r="F731" s="170">
        <f t="shared" si="164"/>
        <v>0.18047283883775495</v>
      </c>
      <c r="G731" s="171">
        <f t="shared" si="165"/>
        <v>3.781954959749585</v>
      </c>
      <c r="K731" s="88">
        <f t="shared" si="166"/>
        <v>1.7455176737305775</v>
      </c>
      <c r="L731" s="88">
        <f t="shared" si="167"/>
        <v>2.6182765105958667</v>
      </c>
      <c r="M731" s="88">
        <f t="shared" si="160"/>
        <v>3.5916715198844238</v>
      </c>
      <c r="N731" s="88">
        <f t="shared" si="160"/>
        <v>5.3875072798266359</v>
      </c>
      <c r="O731" s="160">
        <f t="shared" si="161"/>
        <v>258.59521092304851</v>
      </c>
      <c r="P731" s="160">
        <f t="shared" si="162"/>
        <v>532.09948442732195</v>
      </c>
      <c r="S731" s="116"/>
      <c r="T731" s="116"/>
      <c r="U731" s="116"/>
      <c r="V731" s="116"/>
    </row>
    <row r="732" spans="1:22">
      <c r="A732" s="44" t="s">
        <v>219</v>
      </c>
      <c r="B732" s="168">
        <f t="shared" si="159"/>
        <v>25.100918187747219</v>
      </c>
      <c r="C732" s="169">
        <v>3.4000000000000002E-2</v>
      </c>
      <c r="D732" s="153">
        <v>71</v>
      </c>
      <c r="E732" s="168">
        <f t="shared" si="163"/>
        <v>129.5</v>
      </c>
      <c r="F732" s="170">
        <f t="shared" si="164"/>
        <v>0.18508236165093464</v>
      </c>
      <c r="G732" s="171">
        <f t="shared" si="165"/>
        <v>4.6457372177951539</v>
      </c>
      <c r="K732" s="88">
        <f t="shared" si="166"/>
        <v>2.1441864082131481</v>
      </c>
      <c r="L732" s="88">
        <f t="shared" si="167"/>
        <v>3.2162796123197221</v>
      </c>
      <c r="M732" s="88">
        <f t="shared" si="160"/>
        <v>3.9903402543669944</v>
      </c>
      <c r="N732" s="88">
        <f t="shared" si="160"/>
        <v>5.9855103815504913</v>
      </c>
      <c r="O732" s="160">
        <f t="shared" si="161"/>
        <v>317.65724566120707</v>
      </c>
      <c r="P732" s="160">
        <f t="shared" si="162"/>
        <v>591.16151916548051</v>
      </c>
      <c r="S732" s="116"/>
      <c r="T732" s="116"/>
      <c r="U732" s="116"/>
      <c r="V732" s="116"/>
    </row>
    <row r="733" spans="1:22">
      <c r="A733" s="44" t="s">
        <v>220</v>
      </c>
      <c r="B733" s="168">
        <f>MIN(B715,D715)</f>
        <v>15.19872110450749</v>
      </c>
      <c r="C733" s="169">
        <v>0.03</v>
      </c>
      <c r="D733" s="153">
        <v>66</v>
      </c>
      <c r="E733" s="168">
        <f t="shared" si="163"/>
        <v>124.5</v>
      </c>
      <c r="F733" s="170">
        <f t="shared" si="164"/>
        <v>0.2111932418162619</v>
      </c>
      <c r="G733" s="171">
        <f t="shared" si="165"/>
        <v>3.2098671815221733</v>
      </c>
      <c r="K733" s="88">
        <f t="shared" si="166"/>
        <v>1.4814771607025414</v>
      </c>
      <c r="L733" s="88">
        <f t="shared" si="167"/>
        <v>2.2222157410538124</v>
      </c>
      <c r="M733" s="88">
        <f t="shared" si="160"/>
        <v>3.3276310068563872</v>
      </c>
      <c r="N733" s="88">
        <f t="shared" si="160"/>
        <v>4.9914465102845815</v>
      </c>
      <c r="O733" s="160">
        <f t="shared" si="161"/>
        <v>219.47809788185799</v>
      </c>
      <c r="P733" s="160">
        <f t="shared" si="162"/>
        <v>492.98237138613143</v>
      </c>
      <c r="S733" s="116"/>
      <c r="T733" s="116"/>
      <c r="U733" s="116"/>
      <c r="V733" s="116"/>
    </row>
    <row r="734" spans="1:22">
      <c r="A734" s="44" t="s">
        <v>221</v>
      </c>
      <c r="B734" s="168">
        <f>MIN(B716,D716)</f>
        <v>23.258648962958429</v>
      </c>
      <c r="C734" s="169">
        <v>2.4E-2</v>
      </c>
      <c r="D734" s="153">
        <v>87</v>
      </c>
      <c r="E734" s="168">
        <f t="shared" si="163"/>
        <v>145.5</v>
      </c>
      <c r="F734" s="170">
        <f t="shared" si="164"/>
        <v>0.22261798753339271</v>
      </c>
      <c r="G734" s="171">
        <f t="shared" si="165"/>
        <v>5.1777936248794365</v>
      </c>
      <c r="K734" s="88">
        <f t="shared" si="166"/>
        <v>2.3897509037905089</v>
      </c>
      <c r="L734" s="88">
        <f t="shared" si="167"/>
        <v>3.5846263556857636</v>
      </c>
      <c r="M734" s="88">
        <f t="shared" si="160"/>
        <v>4.2359047499443552</v>
      </c>
      <c r="N734" s="88">
        <f t="shared" si="160"/>
        <v>6.3538571249165328</v>
      </c>
      <c r="O734" s="160">
        <f t="shared" si="161"/>
        <v>354.03717093192722</v>
      </c>
      <c r="P734" s="160">
        <f t="shared" si="162"/>
        <v>627.54144443620066</v>
      </c>
      <c r="S734" s="116"/>
      <c r="T734" s="116"/>
      <c r="U734" s="116"/>
      <c r="V734" s="116"/>
    </row>
    <row r="735" spans="1:22">
      <c r="A735" s="44" t="s">
        <v>222</v>
      </c>
      <c r="B735" s="168">
        <f>MIN(B717,D717)</f>
        <v>31.548860474507968</v>
      </c>
      <c r="C735" s="169">
        <v>0.02</v>
      </c>
      <c r="D735" s="153">
        <v>110</v>
      </c>
      <c r="E735" s="168">
        <f t="shared" si="163"/>
        <v>168.5</v>
      </c>
      <c r="F735" s="170">
        <f t="shared" si="164"/>
        <v>0.22883295194508008</v>
      </c>
      <c r="G735" s="171">
        <f t="shared" si="165"/>
        <v>7.2194188728851181</v>
      </c>
      <c r="K735" s="88">
        <f t="shared" si="166"/>
        <v>3.332039479793131</v>
      </c>
      <c r="L735" s="88">
        <f t="shared" si="167"/>
        <v>4.9980592196896971</v>
      </c>
      <c r="M735" s="88">
        <f t="shared" si="160"/>
        <v>5.1781933259469772</v>
      </c>
      <c r="N735" s="88">
        <f t="shared" si="160"/>
        <v>7.7672899889204672</v>
      </c>
      <c r="O735" s="160">
        <f t="shared" si="161"/>
        <v>493.63547848787124</v>
      </c>
      <c r="P735" s="160">
        <f t="shared" si="162"/>
        <v>767.13975199214451</v>
      </c>
      <c r="S735" s="116"/>
      <c r="T735" s="116"/>
      <c r="U735" s="116"/>
      <c r="V735" s="116"/>
    </row>
    <row r="736" spans="1:22">
      <c r="A736" s="44" t="s">
        <v>223</v>
      </c>
      <c r="B736" s="168">
        <f>B735</f>
        <v>31.548860474507968</v>
      </c>
      <c r="C736" s="169">
        <v>1.7999999999999999E-2</v>
      </c>
      <c r="D736" s="153">
        <v>130</v>
      </c>
      <c r="E736" s="168">
        <f t="shared" si="163"/>
        <v>188.5</v>
      </c>
      <c r="F736" s="170">
        <f t="shared" si="164"/>
        <v>0.22763487366264512</v>
      </c>
      <c r="G736" s="171">
        <f t="shared" si="165"/>
        <v>7.18162086831504</v>
      </c>
      <c r="K736" s="88">
        <f t="shared" si="166"/>
        <v>3.3145942469146337</v>
      </c>
      <c r="L736" s="88">
        <f t="shared" si="167"/>
        <v>4.9718913703719503</v>
      </c>
      <c r="M736" s="88">
        <f t="shared" si="160"/>
        <v>5.1607480930684799</v>
      </c>
      <c r="N736" s="88">
        <f t="shared" si="160"/>
        <v>7.7411221396027203</v>
      </c>
      <c r="O736" s="160">
        <f t="shared" si="161"/>
        <v>491.05099954290864</v>
      </c>
      <c r="P736" s="160">
        <f t="shared" si="162"/>
        <v>764.55527304718203</v>
      </c>
      <c r="S736" s="116"/>
      <c r="T736" s="116"/>
      <c r="U736" s="116"/>
      <c r="V736" s="116"/>
    </row>
    <row r="737" spans="1:22">
      <c r="A737" s="44" t="s">
        <v>224</v>
      </c>
      <c r="B737" s="168">
        <f>B736</f>
        <v>31.548860474507968</v>
      </c>
      <c r="C737" s="169">
        <v>1.6E-2</v>
      </c>
      <c r="D737" s="153">
        <v>150</v>
      </c>
      <c r="E737" s="168">
        <f t="shared" si="163"/>
        <v>208.5</v>
      </c>
      <c r="F737" s="170">
        <f t="shared" si="164"/>
        <v>0.23062730627306272</v>
      </c>
      <c r="G737" s="171">
        <f t="shared" si="165"/>
        <v>7.2760287072204717</v>
      </c>
      <c r="K737" s="88">
        <f t="shared" si="166"/>
        <v>3.3581670956402174</v>
      </c>
      <c r="L737" s="88">
        <f t="shared" si="167"/>
        <v>5.0372506434603261</v>
      </c>
      <c r="M737" s="88">
        <f t="shared" si="160"/>
        <v>5.2043209417940641</v>
      </c>
      <c r="N737" s="88">
        <f t="shared" si="160"/>
        <v>7.8064814126910962</v>
      </c>
      <c r="O737" s="160">
        <f t="shared" si="161"/>
        <v>497.50623639114326</v>
      </c>
      <c r="P737" s="160">
        <f t="shared" si="162"/>
        <v>771.01050989541682</v>
      </c>
      <c r="S737" s="116"/>
      <c r="T737" s="116"/>
      <c r="U737" s="116"/>
      <c r="V737" s="116"/>
    </row>
    <row r="738" spans="1:22">
      <c r="A738" s="3"/>
      <c r="B738" s="172"/>
      <c r="C738" s="173"/>
      <c r="D738" s="100"/>
      <c r="E738" s="172"/>
      <c r="F738" s="174"/>
      <c r="G738" s="175"/>
      <c r="K738" s="116"/>
      <c r="L738" s="116"/>
      <c r="M738" s="116"/>
      <c r="N738" s="116"/>
      <c r="P738" s="176"/>
      <c r="Q738" s="176"/>
    </row>
    <row r="739" spans="1:22">
      <c r="A739" s="3"/>
      <c r="D739" s="100"/>
    </row>
    <row r="740" spans="1:22" ht="23.25">
      <c r="A740" s="177" t="s">
        <v>225</v>
      </c>
      <c r="D740" s="100"/>
    </row>
    <row r="741" spans="1:22">
      <c r="A741" s="161" t="s">
        <v>202</v>
      </c>
      <c r="B741" s="22">
        <v>58</v>
      </c>
      <c r="C741" t="s">
        <v>65</v>
      </c>
      <c r="D741" s="100"/>
    </row>
    <row r="742" spans="1:22" ht="18">
      <c r="A742" s="161" t="s">
        <v>203</v>
      </c>
      <c r="B742">
        <f>19+B741/2</f>
        <v>48</v>
      </c>
      <c r="C742" t="s">
        <v>65</v>
      </c>
      <c r="D742" s="162" t="s">
        <v>226</v>
      </c>
      <c r="K742" s="686" t="s">
        <v>227</v>
      </c>
      <c r="L742" s="687"/>
      <c r="M742" s="687"/>
      <c r="N742" s="688"/>
      <c r="S742" s="686" t="s">
        <v>227</v>
      </c>
      <c r="T742" s="687"/>
      <c r="U742" s="687"/>
      <c r="V742" s="688"/>
    </row>
    <row r="743" spans="1:22" ht="18">
      <c r="A743" s="23" t="s">
        <v>39</v>
      </c>
      <c r="B743" s="163">
        <v>380</v>
      </c>
      <c r="C743" t="s">
        <v>40</v>
      </c>
      <c r="D743" s="100"/>
      <c r="K743" s="689" t="s">
        <v>206</v>
      </c>
      <c r="L743" s="690"/>
      <c r="M743" s="690"/>
      <c r="N743" s="691"/>
      <c r="P743"/>
      <c r="S743" s="689" t="s">
        <v>228</v>
      </c>
      <c r="T743" s="690"/>
      <c r="U743" s="690"/>
      <c r="V743" s="691"/>
    </row>
    <row r="744" spans="1:22" ht="18">
      <c r="A744" s="4" t="s">
        <v>2</v>
      </c>
      <c r="B744" s="164" t="s">
        <v>207</v>
      </c>
      <c r="C744" s="5" t="s">
        <v>208</v>
      </c>
      <c r="D744" s="150" t="s">
        <v>183</v>
      </c>
      <c r="E744" s="164" t="s">
        <v>209</v>
      </c>
      <c r="F744" s="5" t="s">
        <v>210</v>
      </c>
      <c r="G744" s="4" t="s">
        <v>211</v>
      </c>
      <c r="K744" s="692" t="s">
        <v>229</v>
      </c>
      <c r="L744" s="693"/>
      <c r="M744" s="693"/>
      <c r="N744" s="694"/>
      <c r="P744" s="695" t="s">
        <v>199</v>
      </c>
      <c r="Q744" s="695"/>
      <c r="S744" s="692" t="s">
        <v>229</v>
      </c>
      <c r="T744" s="693"/>
      <c r="U744" s="693"/>
      <c r="V744" s="694"/>
    </row>
    <row r="745" spans="1:22" ht="30">
      <c r="A745" s="8"/>
      <c r="B745" s="166" t="s">
        <v>17</v>
      </c>
      <c r="C745" s="8"/>
      <c r="D745" s="151" t="s">
        <v>18</v>
      </c>
      <c r="E745" s="166" t="s">
        <v>18</v>
      </c>
      <c r="F745" s="8"/>
      <c r="G745" s="82" t="s">
        <v>17</v>
      </c>
      <c r="K745" s="178">
        <v>0.6</v>
      </c>
      <c r="L745" s="178">
        <v>0.7</v>
      </c>
      <c r="M745" s="178">
        <v>0.8</v>
      </c>
      <c r="N745" s="178">
        <v>0.9</v>
      </c>
      <c r="P745" s="159" t="s">
        <v>212</v>
      </c>
      <c r="Q745" s="159" t="s">
        <v>201</v>
      </c>
      <c r="S745" s="178">
        <v>0.6</v>
      </c>
      <c r="T745" s="178">
        <v>0.7</v>
      </c>
      <c r="U745" s="178">
        <v>0.8</v>
      </c>
      <c r="V745" s="178">
        <v>0.9</v>
      </c>
    </row>
    <row r="746" spans="1:22">
      <c r="A746" s="44" t="s">
        <v>214</v>
      </c>
      <c r="B746" s="168">
        <f t="shared" ref="B746:B751" si="168">MIN(B705,D705)</f>
        <v>6.4479422867607532</v>
      </c>
      <c r="C746" s="169">
        <v>0.108</v>
      </c>
      <c r="D746" s="153">
        <v>21</v>
      </c>
      <c r="E746" s="168">
        <f>D746+10+$B$742</f>
        <v>79</v>
      </c>
      <c r="F746" s="170">
        <f>1/(1+E746*C746)</f>
        <v>0.1049097775912715</v>
      </c>
      <c r="G746" s="171">
        <f>F746*B746</f>
        <v>0.67645219122542521</v>
      </c>
      <c r="K746" s="88">
        <f>$G746*K$745/1.3</f>
        <v>0.31220870364250392</v>
      </c>
      <c r="L746" s="88">
        <f t="shared" ref="L746:N756" si="169">$G746*L$745/1.3</f>
        <v>0.36424348758292124</v>
      </c>
      <c r="M746" s="88">
        <f t="shared" si="169"/>
        <v>0.41627827152333857</v>
      </c>
      <c r="N746" s="88">
        <f t="shared" si="169"/>
        <v>0.4683130554637559</v>
      </c>
      <c r="P746" s="179">
        <f t="shared" ref="P746:P756" si="170">K746*200/1.35</f>
        <v>46.253141280370947</v>
      </c>
      <c r="Q746" s="179">
        <f t="shared" ref="Q746:Q756" si="171">(K746+(4/1.3*0.6))*200/1.35</f>
        <v>319.75741478464437</v>
      </c>
      <c r="S746" s="88">
        <f t="shared" ref="S746:V756" si="172">($G746+$B$625)*S$745/1.3</f>
        <v>2.1583625497963501</v>
      </c>
      <c r="T746" s="88">
        <f t="shared" si="172"/>
        <v>2.518089641429075</v>
      </c>
      <c r="U746" s="88">
        <f t="shared" si="172"/>
        <v>2.8778167330618003</v>
      </c>
      <c r="V746" s="88">
        <f t="shared" si="172"/>
        <v>3.2375438246945252</v>
      </c>
    </row>
    <row r="747" spans="1:22">
      <c r="A747" s="44" t="s">
        <v>215</v>
      </c>
      <c r="B747" s="168">
        <f t="shared" si="168"/>
        <v>8.7507788177467365</v>
      </c>
      <c r="C747" s="169">
        <v>6.9000000000000006E-2</v>
      </c>
      <c r="D747" s="153">
        <v>31</v>
      </c>
      <c r="E747" s="168">
        <f t="shared" ref="E747:E756" si="173">D747+10+$B$742</f>
        <v>89</v>
      </c>
      <c r="F747" s="170">
        <f t="shared" ref="F747:F756" si="174">1/(1+E747*C747)</f>
        <v>0.14003640946646126</v>
      </c>
      <c r="G747" s="171">
        <f t="shared" ref="G747:G756" si="175">F747*B747</f>
        <v>1.2254276456724178</v>
      </c>
      <c r="K747" s="88">
        <f t="shared" ref="K747:K756" si="176">$G747*K$745/1.3</f>
        <v>0.56558199031034662</v>
      </c>
      <c r="L747" s="88">
        <f t="shared" si="169"/>
        <v>0.65984565536207107</v>
      </c>
      <c r="M747" s="88">
        <f t="shared" si="169"/>
        <v>0.75410932041379553</v>
      </c>
      <c r="N747" s="88">
        <f t="shared" si="169"/>
        <v>0.84837298546552009</v>
      </c>
      <c r="P747" s="179">
        <f t="shared" si="170"/>
        <v>83.789924490421711</v>
      </c>
      <c r="Q747" s="179">
        <f t="shared" si="171"/>
        <v>357.29419799469514</v>
      </c>
      <c r="S747" s="88">
        <f t="shared" si="172"/>
        <v>2.4117358364641923</v>
      </c>
      <c r="T747" s="88">
        <f t="shared" si="172"/>
        <v>2.8136918092082244</v>
      </c>
      <c r="U747" s="88">
        <f t="shared" si="172"/>
        <v>3.2156477819522573</v>
      </c>
      <c r="V747" s="88">
        <f t="shared" si="172"/>
        <v>3.6176037546962889</v>
      </c>
    </row>
    <row r="748" spans="1:22">
      <c r="A748" s="44" t="s">
        <v>216</v>
      </c>
      <c r="B748" s="168">
        <f t="shared" si="168"/>
        <v>12.895884573521506</v>
      </c>
      <c r="C748" s="169">
        <v>5.3999999999999999E-2</v>
      </c>
      <c r="D748" s="153">
        <v>41</v>
      </c>
      <c r="E748" s="168">
        <f t="shared" si="173"/>
        <v>99</v>
      </c>
      <c r="F748" s="170">
        <f t="shared" si="174"/>
        <v>0.15757957768673181</v>
      </c>
      <c r="G748" s="171">
        <f t="shared" si="175"/>
        <v>2.0321280449923584</v>
      </c>
      <c r="K748" s="88">
        <f t="shared" si="176"/>
        <v>0.93790525153493465</v>
      </c>
      <c r="L748" s="88">
        <f t="shared" si="169"/>
        <v>1.0942227934574238</v>
      </c>
      <c r="M748" s="88">
        <f t="shared" si="169"/>
        <v>1.2505403353799129</v>
      </c>
      <c r="N748" s="88">
        <f t="shared" si="169"/>
        <v>1.4068578773024019</v>
      </c>
      <c r="P748" s="179">
        <f t="shared" si="170"/>
        <v>138.94892615332364</v>
      </c>
      <c r="Q748" s="179">
        <f t="shared" si="171"/>
        <v>412.45319965759711</v>
      </c>
      <c r="S748" s="88">
        <f t="shared" si="172"/>
        <v>2.7840590976887807</v>
      </c>
      <c r="T748" s="88">
        <f t="shared" si="172"/>
        <v>3.2480689473035773</v>
      </c>
      <c r="U748" s="88">
        <f t="shared" si="172"/>
        <v>3.7120787969183744</v>
      </c>
      <c r="V748" s="88">
        <f t="shared" si="172"/>
        <v>4.1760886465331719</v>
      </c>
    </row>
    <row r="749" spans="1:22">
      <c r="A749" s="44" t="s">
        <v>217</v>
      </c>
      <c r="B749" s="168">
        <f t="shared" si="168"/>
        <v>16.810706676197679</v>
      </c>
      <c r="C749" s="169">
        <v>4.4999999999999998E-2</v>
      </c>
      <c r="D749" s="153">
        <v>51</v>
      </c>
      <c r="E749" s="168">
        <f t="shared" si="173"/>
        <v>109</v>
      </c>
      <c r="F749" s="170">
        <f t="shared" si="174"/>
        <v>0.16934801016088061</v>
      </c>
      <c r="G749" s="171">
        <f t="shared" si="175"/>
        <v>2.8468597250123078</v>
      </c>
      <c r="K749" s="88">
        <f t="shared" si="176"/>
        <v>1.3139352576979881</v>
      </c>
      <c r="L749" s="88">
        <f t="shared" si="169"/>
        <v>1.5329244673143194</v>
      </c>
      <c r="M749" s="88">
        <f t="shared" si="169"/>
        <v>1.7519136769306509</v>
      </c>
      <c r="N749" s="88">
        <f t="shared" si="169"/>
        <v>1.9709028865469822</v>
      </c>
      <c r="P749" s="179">
        <f t="shared" si="170"/>
        <v>194.65707521451677</v>
      </c>
      <c r="Q749" s="179">
        <f t="shared" si="171"/>
        <v>468.16134871879024</v>
      </c>
      <c r="S749" s="88">
        <f t="shared" si="172"/>
        <v>3.1600891038518344</v>
      </c>
      <c r="T749" s="88">
        <f t="shared" si="172"/>
        <v>3.6867706211604734</v>
      </c>
      <c r="U749" s="88">
        <f t="shared" si="172"/>
        <v>4.2134521384691128</v>
      </c>
      <c r="V749" s="88">
        <f t="shared" si="172"/>
        <v>4.7401336557777523</v>
      </c>
    </row>
    <row r="750" spans="1:22">
      <c r="A750" s="44" t="s">
        <v>218</v>
      </c>
      <c r="B750" s="168">
        <f t="shared" si="168"/>
        <v>20.955812431972447</v>
      </c>
      <c r="C750" s="169">
        <v>3.7999999999999999E-2</v>
      </c>
      <c r="D750" s="153">
        <v>61</v>
      </c>
      <c r="E750" s="168">
        <f t="shared" si="173"/>
        <v>119</v>
      </c>
      <c r="F750" s="170">
        <f t="shared" si="174"/>
        <v>0.18109380659181457</v>
      </c>
      <c r="G750" s="171">
        <f t="shared" si="175"/>
        <v>3.7949678435299616</v>
      </c>
      <c r="K750" s="88">
        <f t="shared" si="176"/>
        <v>1.7515236200907514</v>
      </c>
      <c r="L750" s="88">
        <f t="shared" si="169"/>
        <v>2.0434442234392098</v>
      </c>
      <c r="M750" s="88">
        <f t="shared" si="169"/>
        <v>2.3353648267876688</v>
      </c>
      <c r="N750" s="88">
        <f t="shared" si="169"/>
        <v>2.6272854301361273</v>
      </c>
      <c r="P750" s="179">
        <f t="shared" si="170"/>
        <v>259.48498075418541</v>
      </c>
      <c r="Q750" s="179">
        <f t="shared" si="171"/>
        <v>532.9892542584588</v>
      </c>
      <c r="S750" s="88">
        <f t="shared" si="172"/>
        <v>3.5976774662445976</v>
      </c>
      <c r="T750" s="88">
        <f t="shared" si="172"/>
        <v>4.1972903772853636</v>
      </c>
      <c r="U750" s="88">
        <f t="shared" si="172"/>
        <v>4.7969032883261313</v>
      </c>
      <c r="V750" s="88">
        <f t="shared" si="172"/>
        <v>5.3965161993668973</v>
      </c>
    </row>
    <row r="751" spans="1:22">
      <c r="A751" s="44" t="s">
        <v>219</v>
      </c>
      <c r="B751" s="168">
        <f t="shared" si="168"/>
        <v>25.100918187747219</v>
      </c>
      <c r="C751" s="169">
        <v>3.4000000000000002E-2</v>
      </c>
      <c r="D751" s="153">
        <v>71</v>
      </c>
      <c r="E751" s="168">
        <f t="shared" si="173"/>
        <v>129</v>
      </c>
      <c r="F751" s="170">
        <f t="shared" si="174"/>
        <v>0.18566654288897141</v>
      </c>
      <c r="G751" s="171">
        <f t="shared" si="175"/>
        <v>4.660400703257932</v>
      </c>
      <c r="K751" s="88">
        <f t="shared" si="176"/>
        <v>2.1509541707344302</v>
      </c>
      <c r="L751" s="88">
        <f t="shared" si="169"/>
        <v>2.5094465325235018</v>
      </c>
      <c r="M751" s="88">
        <f t="shared" si="169"/>
        <v>2.8679388943125734</v>
      </c>
      <c r="N751" s="88">
        <f t="shared" si="169"/>
        <v>3.2264312561016455</v>
      </c>
      <c r="P751" s="179">
        <f t="shared" si="170"/>
        <v>318.65987714584151</v>
      </c>
      <c r="Q751" s="179">
        <f t="shared" si="171"/>
        <v>592.16415065011495</v>
      </c>
      <c r="S751" s="88">
        <f t="shared" si="172"/>
        <v>3.9971080168882756</v>
      </c>
      <c r="T751" s="88">
        <f t="shared" si="172"/>
        <v>4.6632926863696547</v>
      </c>
      <c r="U751" s="88">
        <f t="shared" si="172"/>
        <v>5.3294773558510347</v>
      </c>
      <c r="V751" s="88">
        <f t="shared" si="172"/>
        <v>5.9956620253324138</v>
      </c>
    </row>
    <row r="752" spans="1:22">
      <c r="A752" s="44" t="s">
        <v>220</v>
      </c>
      <c r="B752" s="168">
        <f>MIN(B715,D715)</f>
        <v>15.19872110450749</v>
      </c>
      <c r="C752" s="169">
        <v>0.03</v>
      </c>
      <c r="D752" s="153">
        <v>66</v>
      </c>
      <c r="E752" s="168">
        <f t="shared" si="173"/>
        <v>124</v>
      </c>
      <c r="F752" s="170">
        <f t="shared" si="174"/>
        <v>0.21186440677966104</v>
      </c>
      <c r="G752" s="171">
        <f t="shared" si="175"/>
        <v>3.2200680306159937</v>
      </c>
      <c r="K752" s="88">
        <f t="shared" si="176"/>
        <v>1.4861852448996893</v>
      </c>
      <c r="L752" s="88">
        <f t="shared" si="169"/>
        <v>1.7338827857163039</v>
      </c>
      <c r="M752" s="88">
        <f t="shared" si="169"/>
        <v>1.9815803265329193</v>
      </c>
      <c r="N752" s="88">
        <f t="shared" si="169"/>
        <v>2.2292778673495341</v>
      </c>
      <c r="P752" s="179">
        <f t="shared" si="170"/>
        <v>220.175591836991</v>
      </c>
      <c r="Q752" s="179">
        <f t="shared" si="171"/>
        <v>493.67986534126442</v>
      </c>
      <c r="S752" s="88">
        <f t="shared" si="172"/>
        <v>3.3323390910535355</v>
      </c>
      <c r="T752" s="88">
        <f t="shared" si="172"/>
        <v>3.8877289395624577</v>
      </c>
      <c r="U752" s="88">
        <f t="shared" si="172"/>
        <v>4.4431187880713807</v>
      </c>
      <c r="V752" s="88">
        <f t="shared" si="172"/>
        <v>4.9985086365803033</v>
      </c>
    </row>
    <row r="753" spans="1:22">
      <c r="A753" s="44" t="s">
        <v>221</v>
      </c>
      <c r="B753" s="168">
        <f>MIN(B716,D716)</f>
        <v>23.258648962958429</v>
      </c>
      <c r="C753" s="169">
        <v>2.4E-2</v>
      </c>
      <c r="D753" s="153">
        <v>87</v>
      </c>
      <c r="E753" s="168">
        <f t="shared" si="173"/>
        <v>145</v>
      </c>
      <c r="F753" s="170">
        <f t="shared" si="174"/>
        <v>0.2232142857142857</v>
      </c>
      <c r="G753" s="171">
        <f t="shared" si="175"/>
        <v>5.1916627149460775</v>
      </c>
      <c r="K753" s="88">
        <f t="shared" si="176"/>
        <v>2.3961520222828048</v>
      </c>
      <c r="L753" s="88">
        <f t="shared" si="169"/>
        <v>2.7955106926632722</v>
      </c>
      <c r="M753" s="88">
        <f t="shared" si="169"/>
        <v>3.1948693630437401</v>
      </c>
      <c r="N753" s="88">
        <f t="shared" si="169"/>
        <v>3.5942280334242076</v>
      </c>
      <c r="P753" s="179">
        <f t="shared" si="170"/>
        <v>354.98548478263774</v>
      </c>
      <c r="Q753" s="179">
        <f t="shared" si="171"/>
        <v>628.48975828691107</v>
      </c>
      <c r="S753" s="88">
        <f t="shared" si="172"/>
        <v>4.2423058684366506</v>
      </c>
      <c r="T753" s="88">
        <f t="shared" si="172"/>
        <v>4.9493568465094251</v>
      </c>
      <c r="U753" s="88">
        <f t="shared" si="172"/>
        <v>5.6564078245822014</v>
      </c>
      <c r="V753" s="88">
        <f t="shared" si="172"/>
        <v>6.3634588026549768</v>
      </c>
    </row>
    <row r="754" spans="1:22">
      <c r="A754" s="44" t="s">
        <v>222</v>
      </c>
      <c r="B754" s="168">
        <f>MIN(B717,D717)</f>
        <v>31.548860474507968</v>
      </c>
      <c r="C754" s="169">
        <v>0.02</v>
      </c>
      <c r="D754" s="153">
        <v>110</v>
      </c>
      <c r="E754" s="168">
        <f t="shared" si="173"/>
        <v>168</v>
      </c>
      <c r="F754" s="170">
        <f t="shared" si="174"/>
        <v>0.22935779816513766</v>
      </c>
      <c r="G754" s="171">
        <f t="shared" si="175"/>
        <v>7.2359771730522873</v>
      </c>
      <c r="K754" s="88">
        <f t="shared" si="176"/>
        <v>3.3396817721779786</v>
      </c>
      <c r="L754" s="88">
        <f t="shared" si="169"/>
        <v>3.8962954008743078</v>
      </c>
      <c r="M754" s="88">
        <f t="shared" si="169"/>
        <v>4.4529090295706384</v>
      </c>
      <c r="N754" s="88">
        <f t="shared" si="169"/>
        <v>5.0095226582669685</v>
      </c>
      <c r="P754" s="179">
        <f t="shared" si="170"/>
        <v>494.76766995229309</v>
      </c>
      <c r="Q754" s="179">
        <f t="shared" si="171"/>
        <v>768.27194345656653</v>
      </c>
      <c r="S754" s="88">
        <f t="shared" si="172"/>
        <v>5.1858356183318248</v>
      </c>
      <c r="T754" s="88">
        <f t="shared" si="172"/>
        <v>6.0501415547204616</v>
      </c>
      <c r="U754" s="88">
        <f t="shared" si="172"/>
        <v>6.9144474911091001</v>
      </c>
      <c r="V754" s="88">
        <f t="shared" si="172"/>
        <v>7.7787534274977368</v>
      </c>
    </row>
    <row r="755" spans="1:22">
      <c r="A755" s="44" t="s">
        <v>223</v>
      </c>
      <c r="B755" s="168">
        <f>B754</f>
        <v>31.548860474507968</v>
      </c>
      <c r="C755" s="169">
        <v>1.7999999999999999E-2</v>
      </c>
      <c r="D755" s="153">
        <v>130</v>
      </c>
      <c r="E755" s="168">
        <f t="shared" si="173"/>
        <v>188</v>
      </c>
      <c r="F755" s="170">
        <f t="shared" si="174"/>
        <v>0.22810218978102187</v>
      </c>
      <c r="G755" s="171">
        <f t="shared" si="175"/>
        <v>7.1963641593311962</v>
      </c>
      <c r="K755" s="88">
        <f t="shared" si="176"/>
        <v>3.3213988427682444</v>
      </c>
      <c r="L755" s="88">
        <f t="shared" si="169"/>
        <v>3.8749653165629514</v>
      </c>
      <c r="M755" s="88">
        <f t="shared" si="169"/>
        <v>4.4285317903576598</v>
      </c>
      <c r="N755" s="88">
        <f t="shared" si="169"/>
        <v>4.9820982641523663</v>
      </c>
      <c r="P755" s="179">
        <f t="shared" si="170"/>
        <v>492.05908781751765</v>
      </c>
      <c r="Q755" s="179">
        <f t="shared" si="171"/>
        <v>765.56336132179104</v>
      </c>
      <c r="S755" s="88">
        <f t="shared" si="172"/>
        <v>5.1675526889220906</v>
      </c>
      <c r="T755" s="88">
        <f t="shared" si="172"/>
        <v>6.0288114704091047</v>
      </c>
      <c r="U755" s="88">
        <f t="shared" si="172"/>
        <v>6.8900702518961205</v>
      </c>
      <c r="V755" s="88">
        <f t="shared" si="172"/>
        <v>7.7513290333831364</v>
      </c>
    </row>
    <row r="756" spans="1:22">
      <c r="A756" s="44" t="s">
        <v>224</v>
      </c>
      <c r="B756" s="168">
        <f>B754</f>
        <v>31.548860474507968</v>
      </c>
      <c r="C756" s="169">
        <v>1.6E-2</v>
      </c>
      <c r="D756" s="153">
        <v>150</v>
      </c>
      <c r="E756" s="168">
        <f t="shared" si="173"/>
        <v>208</v>
      </c>
      <c r="F756" s="170">
        <f t="shared" si="174"/>
        <v>0.23105360443622919</v>
      </c>
      <c r="G756" s="171">
        <f t="shared" si="175"/>
        <v>7.2894779284907498</v>
      </c>
      <c r="K756" s="88">
        <f t="shared" si="176"/>
        <v>3.3643744285341919</v>
      </c>
      <c r="L756" s="88">
        <f t="shared" si="169"/>
        <v>3.9251034999565571</v>
      </c>
      <c r="M756" s="88">
        <f t="shared" si="169"/>
        <v>4.4858325713789231</v>
      </c>
      <c r="N756" s="88">
        <f t="shared" si="169"/>
        <v>5.0465616428012883</v>
      </c>
      <c r="P756" s="179">
        <f t="shared" si="170"/>
        <v>498.42584126432473</v>
      </c>
      <c r="Q756" s="179">
        <f t="shared" si="171"/>
        <v>771.93011476859817</v>
      </c>
      <c r="S756" s="88">
        <f t="shared" si="172"/>
        <v>5.2105282746880386</v>
      </c>
      <c r="T756" s="88">
        <f t="shared" si="172"/>
        <v>6.0789496538027112</v>
      </c>
      <c r="U756" s="88">
        <f t="shared" si="172"/>
        <v>6.9473710329173857</v>
      </c>
      <c r="V756" s="88">
        <f t="shared" si="172"/>
        <v>7.8157924120320574</v>
      </c>
    </row>
    <row r="757" spans="1:22">
      <c r="A757" s="3"/>
      <c r="D757" s="100"/>
    </row>
    <row r="758" spans="1:22">
      <c r="A758" s="3"/>
      <c r="D758" s="100"/>
    </row>
    <row r="759" spans="1:22">
      <c r="A759" s="3"/>
      <c r="D759" s="100"/>
    </row>
    <row r="760" spans="1:22">
      <c r="A760" s="3"/>
      <c r="D760" s="100"/>
    </row>
    <row r="761" spans="1:22">
      <c r="A761" s="3"/>
      <c r="D761" s="100"/>
    </row>
    <row r="762" spans="1:22">
      <c r="A762" s="3"/>
      <c r="D762" s="100"/>
    </row>
    <row r="763" spans="1:22">
      <c r="A763" s="3"/>
      <c r="D763" s="100"/>
    </row>
    <row r="764" spans="1:22">
      <c r="A764" s="3"/>
      <c r="D764" s="100"/>
    </row>
    <row r="765" spans="1:22">
      <c r="A765" s="3"/>
      <c r="D765" s="100"/>
    </row>
    <row r="766" spans="1:22">
      <c r="A766" s="3"/>
      <c r="D766" s="100"/>
    </row>
    <row r="767" spans="1:22">
      <c r="A767" s="3"/>
      <c r="D767" s="100"/>
    </row>
    <row r="768" spans="1:22" ht="18.75">
      <c r="A768" s="56" t="s">
        <v>84</v>
      </c>
      <c r="D768" s="100"/>
    </row>
    <row r="769" spans="1:19">
      <c r="A769" s="21" t="s">
        <v>37</v>
      </c>
      <c r="B769" s="22" t="s">
        <v>25</v>
      </c>
      <c r="D769" s="100"/>
    </row>
    <row r="770" spans="1:19" ht="18">
      <c r="A770" s="23" t="s">
        <v>39</v>
      </c>
      <c r="B770" s="24">
        <f>VLOOKUP(B769,$V$7:$W$16,2,FALSE)</f>
        <v>385</v>
      </c>
      <c r="C770" t="s">
        <v>40</v>
      </c>
    </row>
    <row r="771" spans="1:19" ht="18">
      <c r="A771" s="23" t="s">
        <v>62</v>
      </c>
      <c r="B771" s="53">
        <v>35000</v>
      </c>
      <c r="C771" s="53">
        <v>20000</v>
      </c>
      <c r="D771" t="s">
        <v>63</v>
      </c>
    </row>
    <row r="772" spans="1:19">
      <c r="A772" s="23" t="s">
        <v>64</v>
      </c>
      <c r="B772" s="53">
        <v>10</v>
      </c>
      <c r="C772" s="53">
        <v>8</v>
      </c>
      <c r="D772" t="s">
        <v>65</v>
      </c>
    </row>
    <row r="773" spans="1:19" ht="18">
      <c r="A773" s="23" t="s">
        <v>66</v>
      </c>
      <c r="B773" s="75">
        <f>0.033*$B$770*B772^-0.3</f>
        <v>6.3675838032344938</v>
      </c>
      <c r="C773" s="75">
        <f>0.033*$B$770*C772^-0.3</f>
        <v>6.808440920761802</v>
      </c>
      <c r="D773" t="s">
        <v>67</v>
      </c>
      <c r="P773"/>
      <c r="Q773"/>
      <c r="R773"/>
      <c r="S773"/>
    </row>
    <row r="774" spans="1:19" ht="18">
      <c r="A774" s="23" t="s">
        <v>68</v>
      </c>
      <c r="B774" s="76">
        <f>0.082*B772^-0.3*$B$770</f>
        <v>15.822480965612984</v>
      </c>
      <c r="C774" s="76">
        <f>0.082*C772^-0.3*$B$770</f>
        <v>16.917944106135387</v>
      </c>
      <c r="D774" t="s">
        <v>67</v>
      </c>
      <c r="P774"/>
      <c r="Q774"/>
      <c r="R774"/>
      <c r="S774"/>
    </row>
    <row r="776" spans="1:19">
      <c r="A776" s="3"/>
      <c r="D776" s="100"/>
      <c r="P776"/>
      <c r="Q776"/>
      <c r="R776"/>
      <c r="S776"/>
    </row>
    <row r="777" spans="1:19">
      <c r="A777" s="3"/>
      <c r="P777"/>
      <c r="Q777"/>
      <c r="R777"/>
      <c r="S777"/>
    </row>
    <row r="778" spans="1:19" ht="18">
      <c r="A778" s="4" t="s">
        <v>2</v>
      </c>
      <c r="B778" s="5" t="s">
        <v>43</v>
      </c>
      <c r="C778" s="5" t="s">
        <v>9</v>
      </c>
      <c r="D778" s="5" t="s">
        <v>44</v>
      </c>
      <c r="E778" s="5" t="s">
        <v>59</v>
      </c>
      <c r="F778" s="5" t="s">
        <v>60</v>
      </c>
      <c r="G778" s="5" t="s">
        <v>230</v>
      </c>
      <c r="H778" s="181"/>
      <c r="I778" s="165"/>
      <c r="J778" s="165"/>
      <c r="K778" s="165"/>
      <c r="P778"/>
      <c r="Q778"/>
      <c r="R778"/>
      <c r="S778"/>
    </row>
    <row r="779" spans="1:19">
      <c r="A779" s="8"/>
      <c r="B779" s="9" t="s">
        <v>19</v>
      </c>
      <c r="C779" s="9" t="s">
        <v>18</v>
      </c>
      <c r="D779" s="9" t="s">
        <v>18</v>
      </c>
      <c r="E779" s="9" t="s">
        <v>17</v>
      </c>
      <c r="F779" s="9" t="s">
        <v>17</v>
      </c>
      <c r="G779" s="62" t="s">
        <v>17</v>
      </c>
      <c r="H779" s="181"/>
      <c r="I779" s="165"/>
      <c r="J779" s="165"/>
      <c r="K779" s="165"/>
      <c r="P779"/>
      <c r="Q779"/>
      <c r="R779"/>
      <c r="S779"/>
    </row>
    <row r="780" spans="1:19" hidden="1">
      <c r="A780" s="14" t="s">
        <v>29</v>
      </c>
      <c r="B780" s="66">
        <v>1</v>
      </c>
      <c r="C780" s="66">
        <v>8</v>
      </c>
      <c r="D780" s="34">
        <v>137</v>
      </c>
      <c r="E780" s="65">
        <f>(0.3*0.52*SQRT(C780)*D780^0.9*$B$770^0.8)/1000</f>
        <v>4.3260017012857244</v>
      </c>
      <c r="F780" s="65">
        <f>MIN(2.3*SQRT($C$771*$C$773*$C$772)/1000+(E780/4),$C$772*$C$773*D780/1000,$C$772*$C$773*D780/1000*(SQRT(2+4*$C$771/($C$772*$C$773*D780^2))-1)+E780/4)</f>
        <v>3.482055443506348</v>
      </c>
      <c r="G780" s="65" t="e">
        <f>(B780*F780+#REF!*K780)/(B780+#REF!)</f>
        <v>#REF!</v>
      </c>
      <c r="H780" s="386"/>
      <c r="I780" s="314"/>
      <c r="J780" s="123"/>
      <c r="K780" s="123"/>
      <c r="P780"/>
      <c r="Q780"/>
      <c r="R780"/>
      <c r="S780"/>
    </row>
    <row r="781" spans="1:19" hidden="1">
      <c r="A781" s="44" t="s">
        <v>30</v>
      </c>
      <c r="B781" s="66">
        <v>1</v>
      </c>
      <c r="C781" s="66">
        <v>8</v>
      </c>
      <c r="D781" s="34">
        <v>137</v>
      </c>
      <c r="E781" s="65">
        <f t="shared" ref="E781:E787" si="177">(0.3*0.52*SQRT(C781)*D781^0.9*$B$770^0.8)/1000</f>
        <v>4.3260017012857244</v>
      </c>
      <c r="F781" s="65">
        <f>MIN(2.3*SQRT($C$771*$C$773*$C$772)/1000+(E781/4),$C$772*$C$773*D781/1000,$C$772*$C$773*D781/1000*(SQRT(2+4*$C$771/($C$772*$C$773*D781^2))-1)+E781/4)</f>
        <v>3.482055443506348</v>
      </c>
      <c r="G781" s="65" t="e">
        <f>(B781*F781+#REF!*K781)/(B781+#REF!)</f>
        <v>#REF!</v>
      </c>
      <c r="H781" s="386"/>
      <c r="I781" s="314"/>
      <c r="J781" s="123"/>
      <c r="K781" s="123"/>
      <c r="P781"/>
      <c r="Q781"/>
      <c r="R781"/>
      <c r="S781"/>
    </row>
    <row r="782" spans="1:19" hidden="1">
      <c r="A782" s="14" t="s">
        <v>31</v>
      </c>
      <c r="B782" s="66">
        <v>1</v>
      </c>
      <c r="C782" s="66">
        <v>8</v>
      </c>
      <c r="D782" s="34">
        <v>137</v>
      </c>
      <c r="E782" s="65">
        <f t="shared" si="177"/>
        <v>4.3260017012857244</v>
      </c>
      <c r="F782" s="65">
        <f>MIN(2.3*SQRT($C$771*$C$773*$C$772)/1000+(E782/4),$C$772*$C$773*D782/1000,$C$772*$C$773*D782/1000*(SQRT(2+4*$C$771/($C$772*$C$773*D782^2))-1)+E782/4)</f>
        <v>3.482055443506348</v>
      </c>
      <c r="G782" s="65" t="e">
        <f>(B782*F782+#REF!*K782)/(B782+#REF!)</f>
        <v>#REF!</v>
      </c>
      <c r="H782" s="386"/>
      <c r="I782" s="314"/>
      <c r="J782" s="123"/>
      <c r="K782" s="123"/>
      <c r="P782"/>
      <c r="Q782"/>
      <c r="R782"/>
      <c r="S782"/>
    </row>
    <row r="783" spans="1:19" hidden="1">
      <c r="A783" s="44" t="s">
        <v>32</v>
      </c>
      <c r="B783" s="66">
        <v>1</v>
      </c>
      <c r="C783" s="66">
        <v>8</v>
      </c>
      <c r="D783" s="34">
        <v>137</v>
      </c>
      <c r="E783" s="65">
        <f t="shared" si="177"/>
        <v>4.3260017012857244</v>
      </c>
      <c r="F783" s="65">
        <f>MIN(2.3*SQRT($C$771*$C$773*$C$772)/1000+(E783/4),$C$772*$C$773*D783/1000,$C$772*$C$773*D783/1000*(SQRT(2+4*$C$771/($C$772*$C$773*D783^2))-1)+E783/4)</f>
        <v>3.482055443506348</v>
      </c>
      <c r="G783" s="65" t="e">
        <f>(B783*F783+#REF!*K783)/(B783+#REF!)</f>
        <v>#REF!</v>
      </c>
      <c r="H783" s="386"/>
      <c r="I783" s="314"/>
      <c r="J783" s="123"/>
      <c r="K783" s="123"/>
      <c r="P783"/>
      <c r="Q783"/>
      <c r="R783"/>
      <c r="S783"/>
    </row>
    <row r="784" spans="1:19" hidden="1">
      <c r="A784" s="14" t="s">
        <v>33</v>
      </c>
      <c r="B784" s="66">
        <v>1</v>
      </c>
      <c r="C784" s="66">
        <v>10</v>
      </c>
      <c r="D784" s="34">
        <v>175</v>
      </c>
      <c r="E784" s="65">
        <f t="shared" si="177"/>
        <v>6.0287520940422592</v>
      </c>
      <c r="F784" s="65">
        <f>MIN(2.3*SQRT($B$771*$B$773*$B$772)/1000+(E784/4),$B$772*$B$773*D784/1000,$B$772*$B$773*D784/1000*(SQRT(2+4*$B$771/($B$772*$B$773*D784^2))-1)+E784/4)</f>
        <v>4.9407840119298001</v>
      </c>
      <c r="G784" s="65" t="e">
        <f>(B784*F784+#REF!*K784)/(B784+#REF!)</f>
        <v>#REF!</v>
      </c>
      <c r="H784" s="386"/>
      <c r="I784" s="314"/>
      <c r="J784" s="123"/>
      <c r="K784" s="123"/>
      <c r="P784"/>
      <c r="Q784"/>
      <c r="R784"/>
      <c r="S784"/>
    </row>
    <row r="785" spans="1:19" hidden="1">
      <c r="A785" s="44" t="s">
        <v>34</v>
      </c>
      <c r="B785" s="66">
        <v>1</v>
      </c>
      <c r="C785" s="66">
        <v>10</v>
      </c>
      <c r="D785" s="34">
        <v>175</v>
      </c>
      <c r="E785" s="65">
        <f t="shared" si="177"/>
        <v>6.0287520940422592</v>
      </c>
      <c r="F785" s="65">
        <f>MIN(2.3*SQRT($B$771*$B$773*$B$772)/1000+(E785/4),$B$772*$B$773*D785/1000,$B$772*$B$773*D785/1000*(SQRT(2+4*$B$771/($B$772*$B$773*D785^2))-1)+E785/4)</f>
        <v>4.9407840119298001</v>
      </c>
      <c r="G785" s="65" t="e">
        <f>(B785*F785+#REF!*K785)/(B785+#REF!)</f>
        <v>#REF!</v>
      </c>
      <c r="H785" s="386"/>
      <c r="I785" s="314"/>
      <c r="J785" s="123"/>
      <c r="K785" s="123"/>
      <c r="P785"/>
      <c r="Q785"/>
      <c r="R785"/>
      <c r="S785"/>
    </row>
    <row r="786" spans="1:19" hidden="1">
      <c r="A786" s="44" t="s">
        <v>35</v>
      </c>
      <c r="B786" s="66">
        <v>1</v>
      </c>
      <c r="C786" s="66">
        <v>10</v>
      </c>
      <c r="D786" s="34">
        <v>175</v>
      </c>
      <c r="E786" s="65">
        <f t="shared" si="177"/>
        <v>6.0287520940422592</v>
      </c>
      <c r="F786" s="65">
        <f>MIN(2.3*SQRT($B$771*$B$773*$B$772)/1000+(E786/4),$B$772*$B$773*D786/1000,$B$772*$B$773*D786/1000*(SQRT(2+4*$B$771/($B$772*$B$773*D786^2))-1)+E786/4)</f>
        <v>4.9407840119298001</v>
      </c>
      <c r="G786" s="65" t="e">
        <f>(B786*F786+#REF!*K786)/(B786+#REF!)</f>
        <v>#REF!</v>
      </c>
      <c r="H786" s="386"/>
      <c r="I786" s="314"/>
      <c r="J786" s="123"/>
      <c r="K786" s="123"/>
      <c r="P786"/>
      <c r="Q786"/>
      <c r="R786"/>
      <c r="S786"/>
    </row>
    <row r="787" spans="1:19" hidden="1">
      <c r="A787" s="14" t="s">
        <v>36</v>
      </c>
      <c r="B787" s="66">
        <v>1</v>
      </c>
      <c r="C787" s="66">
        <v>10</v>
      </c>
      <c r="D787" s="34">
        <v>175</v>
      </c>
      <c r="E787" s="65">
        <f t="shared" si="177"/>
        <v>6.0287520940422592</v>
      </c>
      <c r="F787" s="65">
        <f>MIN(2.3*SQRT($B$771*$B$773*$B$772)/1000+(E787/4),$B$772*$B$773*D787/1000,$B$772*$B$773*D787/1000*(SQRT(2+4*$B$771/($B$772*$B$773*D787^2))-1)+E787/4)</f>
        <v>4.9407840119298001</v>
      </c>
      <c r="G787" s="65" t="e">
        <f>(B787*F787+#REF!*K787)/(B787+#REF!)</f>
        <v>#REF!</v>
      </c>
      <c r="H787" s="386"/>
      <c r="I787" s="314"/>
      <c r="J787" s="123"/>
      <c r="K787" s="123"/>
      <c r="P787"/>
      <c r="Q787"/>
      <c r="R787"/>
      <c r="S787"/>
    </row>
    <row r="788" spans="1:19" ht="30">
      <c r="A788" s="424" t="s">
        <v>377</v>
      </c>
      <c r="B788" s="66">
        <v>10</v>
      </c>
      <c r="C788" s="66">
        <v>8</v>
      </c>
      <c r="D788" s="34">
        <v>150</v>
      </c>
      <c r="E788" s="65">
        <f t="shared" ref="E788:E793" si="178">($E$794*0.52*SQRT(C788)*D788^0.9*$B$770^0.8)/1000</f>
        <v>4.6937538287484974</v>
      </c>
      <c r="F788" s="65">
        <f>MIN(2.3*SQRT($C$771*$C$773*$C$772)/1000+(E788/4),$C$772*$C$773*D788/1000,$C$772*$C$773*D788/1000*(SQRT(2+4*$C$771/($C$772*$C$773*D788^2))-1)+E788/4)</f>
        <v>3.573993475372041</v>
      </c>
      <c r="G788" s="65">
        <f t="shared" ref="G788:G793" si="179">F788</f>
        <v>3.573993475372041</v>
      </c>
      <c r="H788" s="386"/>
      <c r="I788" s="314"/>
      <c r="J788" s="123"/>
      <c r="K788" s="123"/>
      <c r="P788"/>
      <c r="Q788"/>
      <c r="R788"/>
      <c r="S788"/>
    </row>
    <row r="789" spans="1:19" ht="30">
      <c r="A789" s="342" t="s">
        <v>379</v>
      </c>
      <c r="B789" s="66">
        <v>10</v>
      </c>
      <c r="C789" s="66">
        <v>8</v>
      </c>
      <c r="D789" s="34">
        <v>230</v>
      </c>
      <c r="E789" s="65">
        <f t="shared" si="178"/>
        <v>6.8959360897190116</v>
      </c>
      <c r="F789" s="65">
        <f>MIN(2.3*SQRT($C$771*$C$773*$C$772)/1000+(E789/4),$C$772*$C$773*D789/1000,$C$772*$C$773*D789/1000*(SQRT(2+4*$C$771/($C$772*$C$773*D789^2))-1)+E789/4)</f>
        <v>4.1245390406146694</v>
      </c>
      <c r="G789" s="65">
        <f t="shared" si="179"/>
        <v>4.1245390406146694</v>
      </c>
      <c r="H789" s="386"/>
      <c r="I789" s="314"/>
      <c r="J789" s="123"/>
      <c r="K789" s="123"/>
      <c r="P789"/>
      <c r="Q789"/>
      <c r="R789"/>
      <c r="S789"/>
    </row>
    <row r="790" spans="1:19" ht="30">
      <c r="A790" s="342" t="s">
        <v>380</v>
      </c>
      <c r="B790" s="66">
        <v>16</v>
      </c>
      <c r="C790" s="66">
        <v>8</v>
      </c>
      <c r="D790" s="34">
        <v>150</v>
      </c>
      <c r="E790" s="65">
        <f t="shared" si="178"/>
        <v>4.6937538287484974</v>
      </c>
      <c r="F790" s="65">
        <f>MIN(2.3*SQRT($C$771*$C$773*$C$772)/1000+(E790/4),$C$772*$C$773*D790/1000,$C$772*$C$773*D790/1000*(SQRT(2+4*$C$771/($C$772*$C$773*D790^2))-1)+E790/4)</f>
        <v>3.573993475372041</v>
      </c>
      <c r="G790" s="65">
        <f t="shared" si="179"/>
        <v>3.573993475372041</v>
      </c>
      <c r="H790" s="386"/>
      <c r="I790" s="314"/>
      <c r="J790" s="123"/>
      <c r="K790" s="123"/>
      <c r="P790"/>
      <c r="Q790"/>
      <c r="R790"/>
      <c r="S790"/>
    </row>
    <row r="791" spans="1:19" ht="30">
      <c r="A791" s="342" t="s">
        <v>381</v>
      </c>
      <c r="B791" s="66">
        <v>16</v>
      </c>
      <c r="C791" s="66">
        <v>8</v>
      </c>
      <c r="D791" s="34">
        <v>230</v>
      </c>
      <c r="E791" s="65">
        <f t="shared" si="178"/>
        <v>6.8959360897190116</v>
      </c>
      <c r="F791" s="65">
        <f>MIN(2.3*SQRT($C$771*$C$773*$C$772)/1000+(E791/4),$C$772*$C$773*D791/1000,$C$772*$C$773*D791/1000*(SQRT(2+4*$C$771/($C$772*$C$773*D791^2))-1)+E791/4)</f>
        <v>4.1245390406146694</v>
      </c>
      <c r="G791" s="65">
        <f t="shared" si="179"/>
        <v>4.1245390406146694</v>
      </c>
      <c r="H791" s="386"/>
      <c r="I791" s="314"/>
      <c r="J791" s="123"/>
      <c r="K791" s="123"/>
      <c r="P791"/>
      <c r="Q791"/>
      <c r="R791"/>
      <c r="S791"/>
    </row>
    <row r="792" spans="1:19" ht="30">
      <c r="A792" s="342" t="s">
        <v>383</v>
      </c>
      <c r="B792" s="66">
        <v>16</v>
      </c>
      <c r="C792" s="66">
        <v>10</v>
      </c>
      <c r="D792" s="34">
        <v>190</v>
      </c>
      <c r="E792" s="65">
        <f t="shared" si="178"/>
        <v>6.4918940417166029</v>
      </c>
      <c r="F792" s="65">
        <f>MIN(2.3*SQRT($B$771*$B$773*$B$772)/1000+(E792/4),$B$772*$B$773*D792/1000,$B$772*$B$773*D792/1000*(SQRT(2+4*$B$771/($B$772*$B$773*D792^2))-1)+E792/4)</f>
        <v>5.0565694988483862</v>
      </c>
      <c r="G792" s="65">
        <f t="shared" si="179"/>
        <v>5.0565694988483862</v>
      </c>
      <c r="H792" s="386"/>
      <c r="I792" s="314"/>
      <c r="J792" s="123"/>
      <c r="K792" s="123"/>
      <c r="P792"/>
      <c r="Q792"/>
      <c r="R792"/>
      <c r="S792"/>
    </row>
    <row r="793" spans="1:19" ht="30">
      <c r="A793" s="342" t="s">
        <v>382</v>
      </c>
      <c r="B793" s="66">
        <v>25</v>
      </c>
      <c r="C793" s="66">
        <v>10</v>
      </c>
      <c r="D793" s="34">
        <v>190</v>
      </c>
      <c r="E793" s="65">
        <f t="shared" si="178"/>
        <v>6.4918940417166029</v>
      </c>
      <c r="F793" s="65">
        <f>MIN(2.3*SQRT($B$771*$B$773*$B$772)/1000+(E793/4),$B$772*$B$773*D793/1000,$B$772*$B$773*D793/1000*(SQRT(2+4*$B$771/($B$772*$B$773*D793^2))-1)+E793/4)</f>
        <v>5.0565694988483862</v>
      </c>
      <c r="G793" s="65">
        <f t="shared" si="179"/>
        <v>5.0565694988483862</v>
      </c>
      <c r="H793" s="386"/>
      <c r="I793" s="314"/>
      <c r="J793" s="123"/>
      <c r="K793" s="123"/>
      <c r="P793"/>
      <c r="Q793"/>
      <c r="R793"/>
      <c r="S793"/>
    </row>
    <row r="794" spans="1:19">
      <c r="D794" s="23" t="s">
        <v>308</v>
      </c>
      <c r="E794" s="430">
        <v>0.3</v>
      </c>
    </row>
    <row r="796" spans="1:19">
      <c r="A796" s="3"/>
      <c r="P796"/>
      <c r="Q796"/>
      <c r="R796"/>
      <c r="S796"/>
    </row>
    <row r="797" spans="1:19" ht="18">
      <c r="A797" s="4" t="s">
        <v>2</v>
      </c>
      <c r="B797" s="5" t="s">
        <v>169</v>
      </c>
      <c r="C797" s="5" t="s">
        <v>154</v>
      </c>
      <c r="D797" s="5" t="s">
        <v>159</v>
      </c>
      <c r="E797" s="5" t="s">
        <v>179</v>
      </c>
      <c r="F797" s="5" t="s">
        <v>157</v>
      </c>
      <c r="G797" s="180" t="s">
        <v>180</v>
      </c>
      <c r="H797" s="181"/>
      <c r="I797" s="108"/>
      <c r="J797" s="108"/>
      <c r="K797" s="108"/>
      <c r="L797" s="108"/>
      <c r="P797"/>
      <c r="Q797"/>
      <c r="R797"/>
      <c r="S797"/>
    </row>
    <row r="798" spans="1:19">
      <c r="A798" s="8"/>
      <c r="B798" s="62" t="s">
        <v>17</v>
      </c>
      <c r="C798" s="9" t="s">
        <v>19</v>
      </c>
      <c r="D798" s="9" t="s">
        <v>78</v>
      </c>
      <c r="E798" s="9" t="s">
        <v>78</v>
      </c>
      <c r="F798" s="9" t="s">
        <v>18</v>
      </c>
      <c r="G798" s="182" t="s">
        <v>17</v>
      </c>
      <c r="H798" s="181"/>
      <c r="I798" s="108"/>
      <c r="J798" s="108"/>
      <c r="K798" s="108"/>
      <c r="L798" s="108"/>
      <c r="P798"/>
      <c r="Q798"/>
      <c r="R798"/>
      <c r="S798"/>
    </row>
    <row r="799" spans="1:19" hidden="1">
      <c r="A799" s="14" t="s">
        <v>29</v>
      </c>
      <c r="B799" s="34" t="e">
        <f t="shared" ref="B799:B812" si="180">G780</f>
        <v>#REF!</v>
      </c>
      <c r="C799" s="66">
        <v>7</v>
      </c>
      <c r="D799" s="66">
        <v>247</v>
      </c>
      <c r="E799" s="183">
        <v>529</v>
      </c>
      <c r="F799" s="152">
        <v>0</v>
      </c>
      <c r="G799" s="184" t="e">
        <f t="shared" ref="G799:G812" si="181">B799/(SQRT((1/C799+F799/D799)^2+(F799/E799)^2))</f>
        <v>#REF!</v>
      </c>
      <c r="H799" s="185"/>
      <c r="I799" s="172"/>
      <c r="J799" s="100"/>
      <c r="K799" s="100"/>
      <c r="L799" s="100"/>
      <c r="P799"/>
      <c r="Q799"/>
      <c r="R799"/>
      <c r="S799"/>
    </row>
    <row r="800" spans="1:19" hidden="1">
      <c r="A800" s="44" t="s">
        <v>30</v>
      </c>
      <c r="B800" s="34" t="e">
        <f t="shared" si="180"/>
        <v>#REF!</v>
      </c>
      <c r="C800" s="66">
        <v>8</v>
      </c>
      <c r="D800" s="66">
        <v>312</v>
      </c>
      <c r="E800" s="183">
        <v>904</v>
      </c>
      <c r="F800" s="152">
        <f t="shared" ref="F800:F812" si="182">F799</f>
        <v>0</v>
      </c>
      <c r="G800" s="184" t="e">
        <f t="shared" si="181"/>
        <v>#REF!</v>
      </c>
      <c r="H800" s="185"/>
      <c r="I800" s="172"/>
      <c r="J800" s="100"/>
      <c r="K800" s="100"/>
      <c r="L800" s="100"/>
      <c r="P800"/>
      <c r="Q800"/>
      <c r="R800"/>
      <c r="S800"/>
    </row>
    <row r="801" spans="1:24" hidden="1">
      <c r="A801" s="14" t="s">
        <v>31</v>
      </c>
      <c r="B801" s="34" t="e">
        <f t="shared" si="180"/>
        <v>#REF!</v>
      </c>
      <c r="C801" s="66">
        <v>8</v>
      </c>
      <c r="D801" s="66">
        <v>318</v>
      </c>
      <c r="E801" s="183">
        <v>868</v>
      </c>
      <c r="F801" s="152">
        <f t="shared" si="182"/>
        <v>0</v>
      </c>
      <c r="G801" s="184" t="e">
        <f t="shared" si="181"/>
        <v>#REF!</v>
      </c>
      <c r="H801" s="185"/>
      <c r="I801" s="172"/>
      <c r="J801" s="100"/>
      <c r="K801" s="100"/>
      <c r="L801" s="100"/>
      <c r="P801"/>
      <c r="Q801"/>
      <c r="R801"/>
      <c r="S801"/>
    </row>
    <row r="802" spans="1:24" hidden="1">
      <c r="A802" s="44" t="s">
        <v>32</v>
      </c>
      <c r="B802" s="34" t="e">
        <f t="shared" si="180"/>
        <v>#REF!</v>
      </c>
      <c r="C802" s="66">
        <v>8</v>
      </c>
      <c r="D802" s="66">
        <v>378</v>
      </c>
      <c r="E802" s="183">
        <v>1354</v>
      </c>
      <c r="F802" s="152">
        <f t="shared" si="182"/>
        <v>0</v>
      </c>
      <c r="G802" s="184" t="e">
        <f t="shared" si="181"/>
        <v>#REF!</v>
      </c>
      <c r="H802" s="185"/>
      <c r="I802" s="172"/>
      <c r="J802" s="100"/>
      <c r="K802" s="100"/>
      <c r="L802" s="100"/>
      <c r="P802"/>
      <c r="Q802"/>
      <c r="R802"/>
      <c r="S802"/>
    </row>
    <row r="803" spans="1:24" hidden="1">
      <c r="A803" s="14" t="s">
        <v>33</v>
      </c>
      <c r="B803" s="34" t="e">
        <f t="shared" si="180"/>
        <v>#REF!</v>
      </c>
      <c r="C803" s="66">
        <v>8</v>
      </c>
      <c r="D803" s="66">
        <v>360</v>
      </c>
      <c r="E803" s="183">
        <v>720</v>
      </c>
      <c r="F803" s="152">
        <f t="shared" si="182"/>
        <v>0</v>
      </c>
      <c r="G803" s="184" t="e">
        <f t="shared" si="181"/>
        <v>#REF!</v>
      </c>
      <c r="H803" s="185"/>
      <c r="I803" s="172"/>
      <c r="J803" s="100"/>
      <c r="K803" s="100"/>
      <c r="L803" s="100"/>
    </row>
    <row r="804" spans="1:24" hidden="1">
      <c r="A804" s="44" t="s">
        <v>34</v>
      </c>
      <c r="B804" s="34" t="e">
        <f t="shared" si="180"/>
        <v>#REF!</v>
      </c>
      <c r="C804" s="66">
        <v>8</v>
      </c>
      <c r="D804" s="66">
        <v>410</v>
      </c>
      <c r="E804" s="183">
        <v>1076</v>
      </c>
      <c r="F804" s="152">
        <f t="shared" si="182"/>
        <v>0</v>
      </c>
      <c r="G804" s="184" t="e">
        <f t="shared" si="181"/>
        <v>#REF!</v>
      </c>
      <c r="H804" s="185"/>
      <c r="I804" s="172"/>
      <c r="J804" s="100"/>
      <c r="K804" s="100"/>
      <c r="L804" s="100"/>
    </row>
    <row r="805" spans="1:24" hidden="1">
      <c r="A805" s="44" t="s">
        <v>35</v>
      </c>
      <c r="B805" s="34" t="e">
        <f t="shared" si="180"/>
        <v>#REF!</v>
      </c>
      <c r="C805" s="66">
        <v>8</v>
      </c>
      <c r="D805" s="66">
        <v>480</v>
      </c>
      <c r="E805" s="183">
        <v>1440</v>
      </c>
      <c r="F805" s="152">
        <f t="shared" si="182"/>
        <v>0</v>
      </c>
      <c r="G805" s="184" t="e">
        <f t="shared" si="181"/>
        <v>#REF!</v>
      </c>
      <c r="H805" s="185"/>
      <c r="I805" s="172"/>
      <c r="J805" s="100"/>
      <c r="K805" s="100"/>
      <c r="L805" s="100"/>
    </row>
    <row r="806" spans="1:24" hidden="1">
      <c r="A806" s="14" t="s">
        <v>36</v>
      </c>
      <c r="B806" s="34" t="e">
        <f t="shared" si="180"/>
        <v>#REF!</v>
      </c>
      <c r="C806" s="66">
        <v>8</v>
      </c>
      <c r="D806" s="66">
        <v>566</v>
      </c>
      <c r="E806" s="183">
        <v>1980</v>
      </c>
      <c r="F806" s="152">
        <f t="shared" si="182"/>
        <v>0</v>
      </c>
      <c r="G806" s="184" t="e">
        <f t="shared" si="181"/>
        <v>#REF!</v>
      </c>
      <c r="H806" s="185"/>
      <c r="I806" s="172"/>
      <c r="J806" s="100"/>
      <c r="K806" s="100"/>
      <c r="L806" s="100"/>
    </row>
    <row r="807" spans="1:24" ht="30">
      <c r="A807" s="424" t="s">
        <v>377</v>
      </c>
      <c r="B807" s="34">
        <f t="shared" si="180"/>
        <v>3.573993475372041</v>
      </c>
      <c r="C807" s="66">
        <v>10</v>
      </c>
      <c r="D807" s="66">
        <v>313</v>
      </c>
      <c r="E807" s="183">
        <v>683</v>
      </c>
      <c r="F807" s="152">
        <f t="shared" si="182"/>
        <v>0</v>
      </c>
      <c r="G807" s="184">
        <f t="shared" si="181"/>
        <v>35.739934753720405</v>
      </c>
      <c r="H807" s="185"/>
      <c r="I807" s="172"/>
      <c r="J807" s="100"/>
      <c r="K807" s="100"/>
      <c r="L807" s="100"/>
    </row>
    <row r="808" spans="1:24" ht="30">
      <c r="A808" s="342" t="s">
        <v>379</v>
      </c>
      <c r="B808" s="34">
        <f t="shared" si="180"/>
        <v>4.1245390406146694</v>
      </c>
      <c r="C808" s="66">
        <v>10</v>
      </c>
      <c r="D808" s="66">
        <v>313</v>
      </c>
      <c r="E808" s="183">
        <v>683</v>
      </c>
      <c r="F808" s="152">
        <f t="shared" si="182"/>
        <v>0</v>
      </c>
      <c r="G808" s="184">
        <f t="shared" si="181"/>
        <v>41.24539040614669</v>
      </c>
      <c r="H808" s="185"/>
      <c r="I808" s="172"/>
      <c r="J808" s="100"/>
      <c r="K808" s="100"/>
      <c r="L808" s="100"/>
    </row>
    <row r="809" spans="1:24" ht="30">
      <c r="A809" s="342" t="s">
        <v>380</v>
      </c>
      <c r="B809" s="34">
        <f t="shared" si="180"/>
        <v>3.573993475372041</v>
      </c>
      <c r="C809" s="66">
        <v>16</v>
      </c>
      <c r="D809" s="66">
        <v>590</v>
      </c>
      <c r="E809" s="183">
        <v>2061</v>
      </c>
      <c r="F809" s="152">
        <f t="shared" si="182"/>
        <v>0</v>
      </c>
      <c r="G809" s="184">
        <f t="shared" si="181"/>
        <v>57.183895605952657</v>
      </c>
      <c r="H809" s="185"/>
      <c r="I809" s="172"/>
      <c r="J809" s="100"/>
      <c r="K809" s="100"/>
      <c r="L809" s="100"/>
      <c r="U809" s="186"/>
      <c r="V809" s="186"/>
      <c r="W809" s="186"/>
      <c r="X809" s="186"/>
    </row>
    <row r="810" spans="1:24" ht="30">
      <c r="A810" s="342" t="s">
        <v>381</v>
      </c>
      <c r="B810" s="34">
        <f t="shared" si="180"/>
        <v>4.1245390406146694</v>
      </c>
      <c r="C810" s="66">
        <v>16</v>
      </c>
      <c r="D810" s="66">
        <v>590</v>
      </c>
      <c r="E810" s="183">
        <v>2061</v>
      </c>
      <c r="F810" s="152">
        <f t="shared" si="182"/>
        <v>0</v>
      </c>
      <c r="G810" s="184">
        <f t="shared" si="181"/>
        <v>65.99262464983471</v>
      </c>
      <c r="H810" s="185"/>
      <c r="I810" s="172"/>
      <c r="J810" s="100"/>
      <c r="K810" s="100"/>
      <c r="L810" s="100"/>
      <c r="U810" s="186"/>
      <c r="V810" s="186"/>
      <c r="W810" s="186"/>
      <c r="X810" s="186"/>
    </row>
    <row r="811" spans="1:24" ht="30">
      <c r="A811" s="342" t="s">
        <v>383</v>
      </c>
      <c r="B811" s="34">
        <f t="shared" si="180"/>
        <v>5.0565694988483862</v>
      </c>
      <c r="C811" s="66">
        <v>16</v>
      </c>
      <c r="D811" s="66">
        <v>665</v>
      </c>
      <c r="E811" s="183">
        <v>1678</v>
      </c>
      <c r="F811" s="152">
        <f t="shared" si="182"/>
        <v>0</v>
      </c>
      <c r="G811" s="184">
        <f t="shared" si="181"/>
        <v>80.90511198157418</v>
      </c>
      <c r="H811" s="185"/>
      <c r="I811" s="172"/>
      <c r="J811" s="100"/>
      <c r="K811" s="100"/>
      <c r="L811" s="100"/>
      <c r="U811" s="186"/>
      <c r="V811" s="186"/>
      <c r="W811" s="186"/>
      <c r="X811" s="186"/>
    </row>
    <row r="812" spans="1:24" ht="30">
      <c r="A812" s="342" t="s">
        <v>382</v>
      </c>
      <c r="B812" s="34">
        <f t="shared" si="180"/>
        <v>5.0565694988483862</v>
      </c>
      <c r="C812" s="66">
        <v>25</v>
      </c>
      <c r="D812" s="66">
        <v>1284</v>
      </c>
      <c r="E812" s="183">
        <v>5189</v>
      </c>
      <c r="F812" s="152">
        <f t="shared" si="182"/>
        <v>0</v>
      </c>
      <c r="G812" s="184">
        <f t="shared" si="181"/>
        <v>126.41423747120966</v>
      </c>
      <c r="H812" s="185"/>
      <c r="I812" s="172"/>
      <c r="J812" s="100"/>
      <c r="K812" s="100"/>
      <c r="L812" s="100"/>
      <c r="U812" s="186"/>
      <c r="V812" s="186"/>
      <c r="W812" s="186"/>
      <c r="X812" s="186"/>
    </row>
    <row r="813" spans="1:24">
      <c r="A813" s="3"/>
      <c r="B813" s="118"/>
      <c r="C813" s="118"/>
      <c r="D813" s="172"/>
      <c r="E813" s="100"/>
      <c r="F813" s="100"/>
      <c r="G813" s="118"/>
      <c r="H813" s="118"/>
      <c r="I813" s="172"/>
      <c r="J813" s="100"/>
      <c r="K813" s="100"/>
      <c r="L813" s="100"/>
      <c r="U813" s="186"/>
      <c r="V813" s="186"/>
      <c r="W813" s="186"/>
      <c r="X813" s="186"/>
    </row>
    <row r="814" spans="1:24">
      <c r="U814" s="186"/>
      <c r="V814" s="186"/>
      <c r="W814" s="186"/>
      <c r="X814" s="186"/>
    </row>
    <row r="815" spans="1:24" ht="18">
      <c r="A815" s="4" t="s">
        <v>2</v>
      </c>
      <c r="B815" s="5" t="s">
        <v>43</v>
      </c>
      <c r="C815" s="5" t="s">
        <v>9</v>
      </c>
      <c r="D815" s="5" t="s">
        <v>44</v>
      </c>
      <c r="E815" s="5" t="s">
        <v>69</v>
      </c>
      <c r="F815" s="5" t="s">
        <v>70</v>
      </c>
      <c r="G815" s="5" t="s">
        <v>231</v>
      </c>
      <c r="H815" s="181"/>
      <c r="I815" s="165"/>
      <c r="J815" s="165"/>
      <c r="K815" s="165"/>
      <c r="U815" s="186"/>
      <c r="V815" s="186"/>
      <c r="W815" s="186"/>
      <c r="X815" s="186"/>
    </row>
    <row r="816" spans="1:24">
      <c r="A816" s="8"/>
      <c r="B816" s="9" t="s">
        <v>19</v>
      </c>
      <c r="C816" s="9" t="s">
        <v>18</v>
      </c>
      <c r="D816" s="9" t="s">
        <v>18</v>
      </c>
      <c r="E816" s="9" t="s">
        <v>17</v>
      </c>
      <c r="F816" s="9" t="s">
        <v>17</v>
      </c>
      <c r="G816" s="62" t="s">
        <v>17</v>
      </c>
      <c r="H816" s="181"/>
      <c r="I816" s="165"/>
      <c r="J816" s="165"/>
      <c r="K816" s="165"/>
      <c r="U816" s="186"/>
      <c r="V816" s="186"/>
      <c r="W816" s="186"/>
      <c r="X816" s="186"/>
    </row>
    <row r="817" spans="1:24" hidden="1">
      <c r="A817" s="14" t="s">
        <v>29</v>
      </c>
      <c r="B817" s="66">
        <v>1</v>
      </c>
      <c r="C817" s="66">
        <v>8</v>
      </c>
      <c r="D817" s="34">
        <f>80-23</f>
        <v>57</v>
      </c>
      <c r="E817" s="65">
        <f>(0.52*SQRT(C817)*D817^0.9*$B$770^0.8)/1000</f>
        <v>6.5494418543005892</v>
      </c>
      <c r="F817" s="65">
        <f>MIN(2.3*SQRT($C$771*$C$774*$C$772)/1000+(E817/4),$C$772*$C$774*D817/1000,$C$772*$C$774*D817/1000*(SQRT(2+4*$C$771/($C$772*$C$774*D817^2))-1)+E817/4)</f>
        <v>5.3182617456072272</v>
      </c>
      <c r="G817" s="65" t="e">
        <f>(B817*F817+#REF!*K817)/(B817+#REF!)</f>
        <v>#REF!</v>
      </c>
      <c r="H817" s="386">
        <v>8</v>
      </c>
      <c r="I817" s="314">
        <v>70</v>
      </c>
      <c r="J817" s="123">
        <f>0.52*SQRT(H817)*I817^0.9*$B$770^0.8/1000</f>
        <v>7.8796178754106014</v>
      </c>
      <c r="K817" s="123">
        <f>MIN(2.3*SQRT($C$771*$C$774*$C$772)/1000+(J817/4),$C$772*$C$774*I817/1000,$C$772*$C$774*I817/1000*(SQRT(2+4*$C$771/($C$772*$C$774*I817^2))-1)+J817/4)</f>
        <v>5.7539958910348616</v>
      </c>
      <c r="U817" s="186"/>
      <c r="V817" s="186"/>
      <c r="W817" s="186"/>
      <c r="X817" s="186"/>
    </row>
    <row r="818" spans="1:24" hidden="1">
      <c r="A818" s="44" t="s">
        <v>30</v>
      </c>
      <c r="B818" s="66">
        <v>1</v>
      </c>
      <c r="C818" s="66">
        <v>8</v>
      </c>
      <c r="D818" s="34">
        <f>80-23</f>
        <v>57</v>
      </c>
      <c r="E818" s="65">
        <f t="shared" ref="E818:E830" si="183">(0.52*SQRT(C818)*D818^0.9*$B$770^0.8)/1000</f>
        <v>6.5494418543005892</v>
      </c>
      <c r="F818" s="65">
        <f>MIN(2.3*SQRT($C$771*$C$774*$C$772)/1000+(E818/4),$C$772*$C$774*D818/1000,$C$772*$C$774*D818/1000*(SQRT(2+4*$C$771/($C$772*$C$774*D818^2))-1)+E818/4)</f>
        <v>5.3182617456072272</v>
      </c>
      <c r="G818" s="65" t="e">
        <f>(B818*F818+#REF!*K818)/(B818+#REF!)</f>
        <v>#REF!</v>
      </c>
      <c r="H818" s="386">
        <v>8</v>
      </c>
      <c r="I818" s="314">
        <v>70</v>
      </c>
      <c r="J818" s="123">
        <f t="shared" ref="J818:J824" si="184">0.52*SQRT(H818)*I818^0.9*$B$770^0.8/1000</f>
        <v>7.8796178754106014</v>
      </c>
      <c r="K818" s="123">
        <f>MIN(2.3*SQRT($C$771*$C$774*$C$772)/1000+(J818/4),$C$772*$C$774*I818/1000,$C$772*$C$774*I818/1000*(SQRT(2+4*$C$771/($C$772*$C$774*I818^2))-1)+J818/4)</f>
        <v>5.7539958910348616</v>
      </c>
    </row>
    <row r="819" spans="1:24" hidden="1">
      <c r="A819" s="14" t="s">
        <v>31</v>
      </c>
      <c r="B819" s="66">
        <v>1</v>
      </c>
      <c r="C819" s="66">
        <v>8</v>
      </c>
      <c r="D819" s="34">
        <f>80-23</f>
        <v>57</v>
      </c>
      <c r="E819" s="65">
        <f t="shared" si="183"/>
        <v>6.5494418543005892</v>
      </c>
      <c r="F819" s="65">
        <f>MIN(2.3*SQRT($C$771*$C$774*$C$772)/1000+(E819/4),$C$772*$C$774*D819/1000,$C$772*$C$774*D819/1000*(SQRT(2+4*$C$771/($C$772*$C$774*D819^2))-1)+E819/4)</f>
        <v>5.3182617456072272</v>
      </c>
      <c r="G819" s="65" t="e">
        <f>(B819*F819+#REF!*K819)/(B819+#REF!)</f>
        <v>#REF!</v>
      </c>
      <c r="H819" s="386">
        <v>8</v>
      </c>
      <c r="I819" s="314">
        <v>70</v>
      </c>
      <c r="J819" s="123">
        <f t="shared" si="184"/>
        <v>7.8796178754106014</v>
      </c>
      <c r="K819" s="123">
        <f>MIN(2.3*SQRT($C$771*$C$774*$C$772)/1000+(J819/4),$C$772*$C$774*I819/1000,$C$772*$C$774*I819/1000*(SQRT(2+4*$C$771/($C$772*$C$774*I819^2))-1)+J819/4)</f>
        <v>5.7539958910348616</v>
      </c>
    </row>
    <row r="820" spans="1:24" hidden="1">
      <c r="A820" s="44" t="s">
        <v>32</v>
      </c>
      <c r="B820" s="66">
        <v>1</v>
      </c>
      <c r="C820" s="66">
        <v>8</v>
      </c>
      <c r="D820" s="34">
        <f>80-23</f>
        <v>57</v>
      </c>
      <c r="E820" s="65">
        <f t="shared" si="183"/>
        <v>6.5494418543005892</v>
      </c>
      <c r="F820" s="65">
        <f>MIN(2.3*SQRT($C$771*$C$774*$C$772)/1000+(E820/4),$C$772*$C$774*D820/1000,$C$772*$C$774*D820/1000*(SQRT(2+4*$C$771/($C$772*$C$774*D820^2))-1)+E820/4)</f>
        <v>5.3182617456072272</v>
      </c>
      <c r="G820" s="65" t="e">
        <f>(B820*F820+#REF!*K820)/(B820+#REF!)</f>
        <v>#REF!</v>
      </c>
      <c r="H820" s="386">
        <v>8</v>
      </c>
      <c r="I820" s="314">
        <v>70</v>
      </c>
      <c r="J820" s="123">
        <f t="shared" si="184"/>
        <v>7.8796178754106014</v>
      </c>
      <c r="K820" s="123">
        <f>MIN(2.3*SQRT($C$771*$C$774*$C$772)/1000+(J820/4),$C$772*$C$774*I820/1000,$C$772*$C$774*I820/1000*(SQRT(2+4*$C$771/($C$772*$C$774*I820^2))-1)+J820/4)</f>
        <v>5.7539958910348616</v>
      </c>
    </row>
    <row r="821" spans="1:24" hidden="1">
      <c r="A821" s="14" t="s">
        <v>33</v>
      </c>
      <c r="B821" s="66">
        <v>1</v>
      </c>
      <c r="C821" s="66">
        <v>10</v>
      </c>
      <c r="D821" s="34">
        <f>100-25</f>
        <v>75</v>
      </c>
      <c r="E821" s="65">
        <f t="shared" si="183"/>
        <v>9.3740456535592109</v>
      </c>
      <c r="F821" s="65">
        <f>MIN(2.3*SQRT($B$771*$B$774*$B$772)/1000+(E821/4),$B$772*$B$774*D821/1000,$B$772*$B$774*D821/1000*(SQRT(2+4*$B$771/($B$772*$B$774*D821^2))-1)+E821/4)</f>
        <v>7.7560268644377208</v>
      </c>
      <c r="G821" s="65" t="e">
        <f>(B821*F821+#REF!*K821)/(B821+#REF!)</f>
        <v>#REF!</v>
      </c>
      <c r="H821" s="386">
        <v>10</v>
      </c>
      <c r="I821" s="314">
        <v>90</v>
      </c>
      <c r="J821" s="123">
        <f t="shared" si="184"/>
        <v>11.045622226154116</v>
      </c>
      <c r="K821" s="123">
        <f>MIN(2.3*SQRT($B$771*$B$774*$B$772)/1000+(J821/4),$B$772*$B$774*I821/1000,$B$772*$B$774*I821/1000*(SQRT(2+4*$B$771/($B$772*$B$774*I821^2))-1)+J821/4)</f>
        <v>8.173921007586447</v>
      </c>
    </row>
    <row r="822" spans="1:24" hidden="1">
      <c r="A822" s="44" t="s">
        <v>34</v>
      </c>
      <c r="B822" s="66">
        <v>1</v>
      </c>
      <c r="C822" s="66">
        <v>10</v>
      </c>
      <c r="D822" s="34">
        <f>100-25</f>
        <v>75</v>
      </c>
      <c r="E822" s="65">
        <f t="shared" si="183"/>
        <v>9.3740456535592109</v>
      </c>
      <c r="F822" s="65">
        <f>MIN(2.3*SQRT($B$771*$B$774*$B$772)/1000+(E822/4),$B$772*$B$774*D822/1000,$B$772*$B$774*D822/1000*(SQRT(2+4*$B$771/($B$772*$B$774*D822^2))-1)+E822/4)</f>
        <v>7.7560268644377208</v>
      </c>
      <c r="G822" s="65" t="e">
        <f>(B822*F822+#REF!*K822)/(B822+#REF!)</f>
        <v>#REF!</v>
      </c>
      <c r="H822" s="386">
        <v>10</v>
      </c>
      <c r="I822" s="314">
        <v>90</v>
      </c>
      <c r="J822" s="123">
        <f t="shared" si="184"/>
        <v>11.045622226154116</v>
      </c>
      <c r="K822" s="123">
        <f>MIN(2.3*SQRT($B$771*$B$774*$B$772)/1000+(J822/4),$B$772*$B$774*I822/1000,$B$772*$B$774*I822/1000*(SQRT(2+4*$B$771/($B$772*$B$774*I822^2))-1)+J822/4)</f>
        <v>8.173921007586447</v>
      </c>
    </row>
    <row r="823" spans="1:24" hidden="1">
      <c r="A823" s="44" t="s">
        <v>35</v>
      </c>
      <c r="B823" s="66">
        <v>1</v>
      </c>
      <c r="C823" s="66">
        <v>10</v>
      </c>
      <c r="D823" s="34">
        <f>100-25</f>
        <v>75</v>
      </c>
      <c r="E823" s="65">
        <f t="shared" si="183"/>
        <v>9.3740456535592109</v>
      </c>
      <c r="F823" s="65">
        <f>MIN(2.3*SQRT($B$771*$B$774*$B$772)/1000+(E823/4),$B$772*$B$774*D823/1000,$B$772*$B$774*D823/1000*(SQRT(2+4*$B$771/($B$772*$B$774*D823^2))-1)+E823/4)</f>
        <v>7.7560268644377208</v>
      </c>
      <c r="G823" s="65" t="e">
        <f>(B823*F823+#REF!*K823)/(B823+#REF!)</f>
        <v>#REF!</v>
      </c>
      <c r="H823" s="386">
        <v>10</v>
      </c>
      <c r="I823" s="314">
        <v>90</v>
      </c>
      <c r="J823" s="123">
        <f t="shared" si="184"/>
        <v>11.045622226154116</v>
      </c>
      <c r="K823" s="123">
        <f>MIN(2.3*SQRT($B$771*$B$774*$B$772)/1000+(J823/4),$B$772*$B$774*I823/1000,$B$772*$B$774*I823/1000*(SQRT(2+4*$B$771/($B$772*$B$774*I823^2))-1)+J823/4)</f>
        <v>8.173921007586447</v>
      </c>
    </row>
    <row r="824" spans="1:24" hidden="1">
      <c r="A824" s="14" t="s">
        <v>36</v>
      </c>
      <c r="B824" s="66">
        <v>1</v>
      </c>
      <c r="C824" s="66">
        <v>10</v>
      </c>
      <c r="D824" s="34">
        <f>100-25</f>
        <v>75</v>
      </c>
      <c r="E824" s="65">
        <f t="shared" si="183"/>
        <v>9.3740456535592109</v>
      </c>
      <c r="F824" s="65">
        <f>MIN(2.3*SQRT($B$771*$B$774*$B$772)/1000+(E824/4),$B$772*$B$774*D824/1000,$B$772*$B$774*D824/1000*(SQRT(2+4*$B$771/($B$772*$B$774*D824^2))-1)+E824/4)</f>
        <v>7.7560268644377208</v>
      </c>
      <c r="G824" s="65" t="e">
        <f>(B824*F824+#REF!*K824)/(B824+#REF!)</f>
        <v>#REF!</v>
      </c>
      <c r="H824" s="386">
        <v>10</v>
      </c>
      <c r="I824" s="314">
        <v>90</v>
      </c>
      <c r="J824" s="123">
        <f t="shared" si="184"/>
        <v>11.045622226154116</v>
      </c>
      <c r="K824" s="123">
        <f>MIN(2.3*SQRT($B$771*$B$774*$B$772)/1000+(J824/4),$B$772*$B$774*I824/1000,$B$772*$B$774*I824/1000*(SQRT(2+4*$B$771/($B$772*$B$774*I824^2))-1)+J824/4)</f>
        <v>8.173921007586447</v>
      </c>
    </row>
    <row r="825" spans="1:24" ht="30">
      <c r="A825" s="424" t="s">
        <v>377</v>
      </c>
      <c r="B825" s="66">
        <v>10</v>
      </c>
      <c r="C825" s="66">
        <v>8</v>
      </c>
      <c r="D825" s="34">
        <v>70</v>
      </c>
      <c r="E825" s="65">
        <f t="shared" si="183"/>
        <v>7.8796178754106014</v>
      </c>
      <c r="F825" s="65">
        <f>MIN(2.3*SQRT($C$771*$C$774*$C$772)/1000+(E825/4),$C$772*$C$774*D825/1000,$C$772*$C$774*D825/1000*(SQRT(2+4*$C$771/($C$772*$C$774*D825^2))-1)+E825/4)</f>
        <v>5.7539958910348616</v>
      </c>
      <c r="G825" s="65">
        <f t="shared" ref="G825:G830" si="185">F825</f>
        <v>5.7539958910348616</v>
      </c>
      <c r="H825" s="386"/>
      <c r="I825" s="314"/>
      <c r="J825" s="123"/>
      <c r="K825" s="123"/>
    </row>
    <row r="826" spans="1:24" ht="30">
      <c r="A826" s="342" t="s">
        <v>379</v>
      </c>
      <c r="B826" s="66">
        <v>10</v>
      </c>
      <c r="C826" s="66">
        <v>8</v>
      </c>
      <c r="D826" s="34">
        <v>70</v>
      </c>
      <c r="E826" s="65">
        <f t="shared" si="183"/>
        <v>7.8796178754106014</v>
      </c>
      <c r="F826" s="65">
        <f>MIN(2.3*SQRT($C$771*$C$774*$C$772)/1000+(E826/4),$C$772*$C$774*D826/1000,$C$772*$C$774*D826/1000*(SQRT(2+4*$C$771/($C$772*$C$774*D826^2))-1)+E826/4)</f>
        <v>5.7539958910348616</v>
      </c>
      <c r="G826" s="65">
        <f t="shared" si="185"/>
        <v>5.7539958910348616</v>
      </c>
      <c r="H826" s="386"/>
      <c r="I826" s="314"/>
      <c r="J826" s="123"/>
      <c r="K826" s="123"/>
    </row>
    <row r="827" spans="1:24" ht="30">
      <c r="A827" s="342" t="s">
        <v>380</v>
      </c>
      <c r="B827" s="66">
        <v>16</v>
      </c>
      <c r="C827" s="66">
        <v>8</v>
      </c>
      <c r="D827" s="34">
        <v>70</v>
      </c>
      <c r="E827" s="65">
        <f t="shared" si="183"/>
        <v>7.8796178754106014</v>
      </c>
      <c r="F827" s="65">
        <f>MIN(2.3*SQRT($C$771*$C$774*$C$772)/1000+(E827/4),$C$772*$C$774*D827/1000,$C$772*$C$774*D827/1000*(SQRT(2+4*$C$771/($C$772*$C$774*D827^2))-1)+E827/4)</f>
        <v>5.7539958910348616</v>
      </c>
      <c r="G827" s="65">
        <f t="shared" si="185"/>
        <v>5.7539958910348616</v>
      </c>
      <c r="H827" s="386"/>
      <c r="I827" s="314"/>
      <c r="J827" s="123"/>
      <c r="K827" s="123"/>
    </row>
    <row r="828" spans="1:24" ht="30">
      <c r="A828" s="342" t="s">
        <v>381</v>
      </c>
      <c r="B828" s="66">
        <v>16</v>
      </c>
      <c r="C828" s="66">
        <v>8</v>
      </c>
      <c r="D828" s="34">
        <v>70</v>
      </c>
      <c r="E828" s="65">
        <f t="shared" si="183"/>
        <v>7.8796178754106014</v>
      </c>
      <c r="F828" s="65">
        <f>MIN(2.3*SQRT($C$771*$C$774*$C$772)/1000+(E828/4),$C$772*$C$774*D828/1000,$C$772*$C$774*D828/1000*(SQRT(2+4*$C$771/($C$772*$C$774*D828^2))-1)+E828/4)</f>
        <v>5.7539958910348616</v>
      </c>
      <c r="G828" s="65">
        <f t="shared" si="185"/>
        <v>5.7539958910348616</v>
      </c>
      <c r="H828" s="386"/>
      <c r="I828" s="314"/>
      <c r="J828" s="123"/>
      <c r="K828" s="123"/>
    </row>
    <row r="829" spans="1:24" ht="30">
      <c r="A829" s="342" t="s">
        <v>383</v>
      </c>
      <c r="B829" s="66">
        <v>16</v>
      </c>
      <c r="C829" s="66">
        <v>10</v>
      </c>
      <c r="D829" s="34">
        <v>90</v>
      </c>
      <c r="E829" s="65">
        <f t="shared" si="183"/>
        <v>11.045622226154116</v>
      </c>
      <c r="F829" s="65">
        <f>MIN(2.3*SQRT($B$771*$B$774*$B$772)/1000+(E829/4),$B$772*$B$774*D829/1000,$B$772*$B$774*D829/1000*(SQRT(2+4*$B$771/($B$772*$B$774*D829^2))-1)+E829/4)</f>
        <v>8.173921007586447</v>
      </c>
      <c r="G829" s="65">
        <f t="shared" si="185"/>
        <v>8.173921007586447</v>
      </c>
      <c r="H829" s="386"/>
      <c r="I829" s="314"/>
      <c r="J829" s="123"/>
      <c r="K829" s="123"/>
    </row>
    <row r="830" spans="1:24" ht="30">
      <c r="A830" s="342" t="s">
        <v>382</v>
      </c>
      <c r="B830" s="66">
        <v>25</v>
      </c>
      <c r="C830" s="66">
        <v>10</v>
      </c>
      <c r="D830" s="34">
        <v>90</v>
      </c>
      <c r="E830" s="65">
        <f t="shared" si="183"/>
        <v>11.045622226154116</v>
      </c>
      <c r="F830" s="65">
        <f>MIN(2.3*SQRT($B$771*$B$774*$B$772)/1000+(E830/4),$B$772*$B$774*D830/1000,$B$772*$B$774*D830/1000*(SQRT(2+4*$B$771/($B$772*$B$774*D830^2))-1)+E830/4)</f>
        <v>8.173921007586447</v>
      </c>
      <c r="G830" s="65">
        <f t="shared" si="185"/>
        <v>8.173921007586447</v>
      </c>
      <c r="H830" s="386"/>
      <c r="I830" s="314"/>
      <c r="J830" s="123"/>
      <c r="K830" s="123"/>
    </row>
    <row r="831" spans="1:24">
      <c r="L831" s="187"/>
    </row>
    <row r="833" spans="1:39" ht="18">
      <c r="A833" s="4" t="s">
        <v>2</v>
      </c>
      <c r="B833" s="5" t="s">
        <v>185</v>
      </c>
      <c r="C833" s="5" t="s">
        <v>232</v>
      </c>
      <c r="D833" s="5" t="s">
        <v>154</v>
      </c>
      <c r="E833" s="5" t="s">
        <v>159</v>
      </c>
      <c r="F833" s="5" t="s">
        <v>179</v>
      </c>
      <c r="G833" s="5" t="s">
        <v>233</v>
      </c>
      <c r="H833" s="5" t="s">
        <v>161</v>
      </c>
      <c r="I833" s="5" t="s">
        <v>189</v>
      </c>
    </row>
    <row r="834" spans="1:39">
      <c r="A834" s="8"/>
      <c r="B834" s="62" t="s">
        <v>17</v>
      </c>
      <c r="C834" s="62" t="s">
        <v>17</v>
      </c>
      <c r="D834" s="9" t="s">
        <v>19</v>
      </c>
      <c r="E834" s="9" t="s">
        <v>78</v>
      </c>
      <c r="F834" s="9" t="s">
        <v>78</v>
      </c>
      <c r="G834" s="9" t="s">
        <v>78</v>
      </c>
      <c r="H834" s="9" t="s">
        <v>18</v>
      </c>
      <c r="I834" s="9" t="s">
        <v>17</v>
      </c>
    </row>
    <row r="835" spans="1:39" hidden="1">
      <c r="A835" s="14" t="s">
        <v>29</v>
      </c>
      <c r="B835" s="34" t="e">
        <f t="shared" ref="B835:B848" si="186">G817</f>
        <v>#REF!</v>
      </c>
      <c r="C835" s="34" t="e">
        <f>(B817*E817+#REF!*J817)/(B817+#REF!)</f>
        <v>#REF!</v>
      </c>
      <c r="D835" s="66">
        <v>7</v>
      </c>
      <c r="E835" s="66">
        <v>247</v>
      </c>
      <c r="F835" s="183">
        <v>529</v>
      </c>
      <c r="G835" s="106">
        <v>5.9</v>
      </c>
      <c r="H835" s="152">
        <f>F799</f>
        <v>0</v>
      </c>
      <c r="I835" s="34" t="e">
        <f t="shared" ref="I835:I848" si="187">B835/(SQRT((1/D835+H835/E835)^2+(H835/F835)^2+(B835/(G835*C835))^2))</f>
        <v>#REF!</v>
      </c>
    </row>
    <row r="836" spans="1:39" hidden="1">
      <c r="A836" s="44" t="s">
        <v>30</v>
      </c>
      <c r="B836" s="34" t="e">
        <f t="shared" si="186"/>
        <v>#REF!</v>
      </c>
      <c r="C836" s="34" t="e">
        <f>(B818*E818+#REF!*J818)/(B818+#REF!)</f>
        <v>#REF!</v>
      </c>
      <c r="D836" s="66">
        <v>8</v>
      </c>
      <c r="E836" s="66">
        <v>312</v>
      </c>
      <c r="F836" s="183">
        <v>904</v>
      </c>
      <c r="G836" s="106">
        <v>6.48</v>
      </c>
      <c r="H836" s="152">
        <f t="shared" ref="H836:H848" si="188">H835</f>
        <v>0</v>
      </c>
      <c r="I836" s="34" t="e">
        <f t="shared" si="187"/>
        <v>#REF!</v>
      </c>
    </row>
    <row r="837" spans="1:39" hidden="1">
      <c r="A837" s="14" t="s">
        <v>31</v>
      </c>
      <c r="B837" s="34" t="e">
        <f t="shared" si="186"/>
        <v>#REF!</v>
      </c>
      <c r="C837" s="34" t="e">
        <f>(B819*E819+#REF!*J819)/(B819+#REF!)</f>
        <v>#REF!</v>
      </c>
      <c r="D837" s="66">
        <v>8</v>
      </c>
      <c r="E837" s="66">
        <v>318</v>
      </c>
      <c r="F837" s="183">
        <v>868</v>
      </c>
      <c r="G837" s="106">
        <v>6.48</v>
      </c>
      <c r="H837" s="152">
        <f t="shared" si="188"/>
        <v>0</v>
      </c>
      <c r="I837" s="34" t="e">
        <f t="shared" si="187"/>
        <v>#REF!</v>
      </c>
    </row>
    <row r="838" spans="1:39" hidden="1">
      <c r="A838" s="44" t="s">
        <v>32</v>
      </c>
      <c r="B838" s="34" t="e">
        <f t="shared" si="186"/>
        <v>#REF!</v>
      </c>
      <c r="C838" s="34" t="e">
        <f>(B820*E820+#REF!*J820)/(B820+#REF!)</f>
        <v>#REF!</v>
      </c>
      <c r="D838" s="66">
        <v>8</v>
      </c>
      <c r="E838" s="66">
        <v>378</v>
      </c>
      <c r="F838" s="183">
        <v>1354</v>
      </c>
      <c r="G838" s="106">
        <v>6.48</v>
      </c>
      <c r="H838" s="152">
        <f t="shared" si="188"/>
        <v>0</v>
      </c>
      <c r="I838" s="34" t="e">
        <f t="shared" si="187"/>
        <v>#REF!</v>
      </c>
    </row>
    <row r="839" spans="1:39" hidden="1">
      <c r="A839" s="14" t="s">
        <v>33</v>
      </c>
      <c r="B839" s="34" t="e">
        <f t="shared" si="186"/>
        <v>#REF!</v>
      </c>
      <c r="C839" s="34" t="e">
        <f>(B821*E821+#REF!*J821)/(B821+#REF!)</f>
        <v>#REF!</v>
      </c>
      <c r="D839" s="66">
        <v>8</v>
      </c>
      <c r="E839" s="66">
        <v>360</v>
      </c>
      <c r="F839" s="183">
        <v>720</v>
      </c>
      <c r="G839" s="106">
        <v>8.67</v>
      </c>
      <c r="H839" s="152">
        <f t="shared" si="188"/>
        <v>0</v>
      </c>
      <c r="I839" s="34" t="e">
        <f t="shared" si="187"/>
        <v>#REF!</v>
      </c>
    </row>
    <row r="840" spans="1:39" hidden="1">
      <c r="A840" s="44" t="s">
        <v>34</v>
      </c>
      <c r="B840" s="34" t="e">
        <f t="shared" si="186"/>
        <v>#REF!</v>
      </c>
      <c r="C840" s="34" t="e">
        <f>(B822*E822+#REF!*J822)/(B822+#REF!)</f>
        <v>#REF!</v>
      </c>
      <c r="D840" s="66">
        <v>8</v>
      </c>
      <c r="E840" s="66">
        <v>410</v>
      </c>
      <c r="F840" s="183">
        <v>1076</v>
      </c>
      <c r="G840" s="106">
        <v>8.67</v>
      </c>
      <c r="H840" s="152">
        <f t="shared" si="188"/>
        <v>0</v>
      </c>
      <c r="I840" s="34" t="e">
        <f t="shared" si="187"/>
        <v>#REF!</v>
      </c>
      <c r="AE840" s="24"/>
      <c r="AF840" s="24"/>
      <c r="AG840" s="24"/>
      <c r="AH840" s="24"/>
      <c r="AI840" s="24"/>
      <c r="AJ840" s="24"/>
      <c r="AK840" s="24"/>
      <c r="AL840" s="24"/>
      <c r="AM840" s="24"/>
    </row>
    <row r="841" spans="1:39" hidden="1">
      <c r="A841" s="44" t="s">
        <v>35</v>
      </c>
      <c r="B841" s="34" t="e">
        <f t="shared" si="186"/>
        <v>#REF!</v>
      </c>
      <c r="C841" s="34" t="e">
        <f>(B823*E823+#REF!*J823)/(B823+#REF!)</f>
        <v>#REF!</v>
      </c>
      <c r="D841" s="66">
        <v>8</v>
      </c>
      <c r="E841" s="66">
        <v>480</v>
      </c>
      <c r="F841" s="183">
        <v>1440</v>
      </c>
      <c r="G841" s="106">
        <v>9.52</v>
      </c>
      <c r="H841" s="152">
        <f t="shared" si="188"/>
        <v>0</v>
      </c>
      <c r="I841" s="34" t="e">
        <f t="shared" si="187"/>
        <v>#REF!</v>
      </c>
      <c r="AE841" s="24"/>
      <c r="AF841" s="24"/>
      <c r="AG841" s="24"/>
      <c r="AH841" s="24"/>
      <c r="AI841" s="24"/>
      <c r="AJ841" s="24"/>
      <c r="AK841" s="24"/>
      <c r="AL841" s="24"/>
      <c r="AM841" s="24"/>
    </row>
    <row r="842" spans="1:39" hidden="1">
      <c r="A842" s="14" t="s">
        <v>36</v>
      </c>
      <c r="B842" s="34" t="e">
        <f t="shared" si="186"/>
        <v>#REF!</v>
      </c>
      <c r="C842" s="34" t="e">
        <f>(B824*E824+#REF!*J824)/(B824+#REF!)</f>
        <v>#REF!</v>
      </c>
      <c r="D842" s="66">
        <v>8</v>
      </c>
      <c r="E842" s="66">
        <v>566</v>
      </c>
      <c r="F842" s="183">
        <v>1980</v>
      </c>
      <c r="G842" s="106">
        <v>9.52</v>
      </c>
      <c r="H842" s="152">
        <f t="shared" si="188"/>
        <v>0</v>
      </c>
      <c r="I842" s="34" t="e">
        <f t="shared" si="187"/>
        <v>#REF!</v>
      </c>
      <c r="AE842" s="24"/>
      <c r="AF842" s="24"/>
      <c r="AG842" s="24"/>
      <c r="AH842" s="24"/>
      <c r="AI842" s="24"/>
      <c r="AJ842" s="24"/>
      <c r="AK842" s="24"/>
      <c r="AL842" s="24"/>
      <c r="AM842" s="24"/>
    </row>
    <row r="843" spans="1:39" ht="30">
      <c r="A843" s="424" t="s">
        <v>377</v>
      </c>
      <c r="B843" s="34">
        <f t="shared" si="186"/>
        <v>5.7539958910348616</v>
      </c>
      <c r="C843" s="34">
        <f t="shared" ref="C843:C848" si="189">(B825*E825)</f>
        <v>78.796178754106009</v>
      </c>
      <c r="D843" s="66">
        <v>10</v>
      </c>
      <c r="E843" s="66">
        <v>313</v>
      </c>
      <c r="F843" s="183">
        <v>683</v>
      </c>
      <c r="G843" s="106">
        <v>8.25</v>
      </c>
      <c r="H843" s="152">
        <f t="shared" si="188"/>
        <v>0</v>
      </c>
      <c r="I843" s="34">
        <f t="shared" si="187"/>
        <v>57.3158714071267</v>
      </c>
      <c r="AE843" s="24"/>
      <c r="AF843" s="24"/>
      <c r="AG843" s="24"/>
      <c r="AH843" s="24"/>
      <c r="AI843" s="24"/>
      <c r="AJ843" s="24"/>
      <c r="AK843" s="24"/>
      <c r="AL843" s="24"/>
      <c r="AM843" s="24"/>
    </row>
    <row r="844" spans="1:39" ht="30">
      <c r="A844" s="342" t="s">
        <v>379</v>
      </c>
      <c r="B844" s="34">
        <f t="shared" si="186"/>
        <v>5.7539958910348616</v>
      </c>
      <c r="C844" s="34">
        <f t="shared" si="189"/>
        <v>78.796178754106009</v>
      </c>
      <c r="D844" s="66">
        <v>10</v>
      </c>
      <c r="E844" s="66">
        <v>313</v>
      </c>
      <c r="F844" s="183">
        <v>683</v>
      </c>
      <c r="G844" s="106">
        <v>8.25</v>
      </c>
      <c r="H844" s="152">
        <f t="shared" si="188"/>
        <v>0</v>
      </c>
      <c r="I844" s="34">
        <f t="shared" si="187"/>
        <v>57.3158714071267</v>
      </c>
      <c r="AE844" s="24"/>
      <c r="AF844" s="24"/>
      <c r="AG844" s="24"/>
      <c r="AH844" s="24"/>
      <c r="AI844" s="24"/>
      <c r="AJ844" s="24"/>
      <c r="AK844" s="24"/>
      <c r="AL844" s="24"/>
      <c r="AM844" s="24"/>
    </row>
    <row r="845" spans="1:39" ht="30">
      <c r="A845" s="342" t="s">
        <v>380</v>
      </c>
      <c r="B845" s="34">
        <f t="shared" si="186"/>
        <v>5.7539958910348616</v>
      </c>
      <c r="C845" s="34">
        <f t="shared" si="189"/>
        <v>126.07388600656962</v>
      </c>
      <c r="D845" s="66">
        <v>16</v>
      </c>
      <c r="E845" s="66">
        <v>590</v>
      </c>
      <c r="F845" s="183">
        <v>2061</v>
      </c>
      <c r="G845" s="106">
        <v>13</v>
      </c>
      <c r="H845" s="152">
        <f t="shared" si="188"/>
        <v>0</v>
      </c>
      <c r="I845" s="34">
        <f t="shared" si="187"/>
        <v>91.919031934834024</v>
      </c>
      <c r="AE845" s="24"/>
      <c r="AF845" s="24"/>
      <c r="AG845" s="24"/>
      <c r="AH845" s="24"/>
      <c r="AI845" s="24"/>
      <c r="AJ845" s="24"/>
      <c r="AK845" s="24"/>
      <c r="AL845" s="24"/>
      <c r="AM845" s="24"/>
    </row>
    <row r="846" spans="1:39" ht="30">
      <c r="A846" s="342" t="s">
        <v>381</v>
      </c>
      <c r="B846" s="34">
        <f t="shared" si="186"/>
        <v>5.7539958910348616</v>
      </c>
      <c r="C846" s="34">
        <f t="shared" si="189"/>
        <v>126.07388600656962</v>
      </c>
      <c r="D846" s="66">
        <v>16</v>
      </c>
      <c r="E846" s="66">
        <v>590</v>
      </c>
      <c r="F846" s="183">
        <v>2061</v>
      </c>
      <c r="G846" s="106">
        <v>13</v>
      </c>
      <c r="H846" s="152">
        <f t="shared" si="188"/>
        <v>0</v>
      </c>
      <c r="I846" s="34">
        <f t="shared" si="187"/>
        <v>91.919031934834024</v>
      </c>
      <c r="AE846" s="24"/>
      <c r="AF846" s="24"/>
      <c r="AG846" s="24"/>
      <c r="AH846" s="24"/>
      <c r="AI846" s="24"/>
      <c r="AJ846" s="24"/>
      <c r="AK846" s="24"/>
      <c r="AL846" s="24"/>
      <c r="AM846" s="24"/>
    </row>
    <row r="847" spans="1:39" ht="30">
      <c r="A847" s="342" t="s">
        <v>383</v>
      </c>
      <c r="B847" s="34">
        <f t="shared" si="186"/>
        <v>8.173921007586447</v>
      </c>
      <c r="C847" s="34">
        <f t="shared" si="189"/>
        <v>176.72995561846585</v>
      </c>
      <c r="D847" s="66">
        <v>16</v>
      </c>
      <c r="E847" s="66">
        <v>665</v>
      </c>
      <c r="F847" s="183">
        <v>1678</v>
      </c>
      <c r="G847" s="106">
        <v>17.3</v>
      </c>
      <c r="H847" s="152">
        <f t="shared" si="188"/>
        <v>0</v>
      </c>
      <c r="I847" s="34">
        <f t="shared" si="187"/>
        <v>130.66325116354344</v>
      </c>
      <c r="AE847" s="24"/>
      <c r="AF847" s="24"/>
      <c r="AG847" s="24"/>
      <c r="AH847" s="24"/>
      <c r="AI847" s="24"/>
      <c r="AJ847" s="24"/>
      <c r="AK847" s="24"/>
      <c r="AL847" s="24"/>
      <c r="AM847" s="24"/>
    </row>
    <row r="848" spans="1:39" ht="30">
      <c r="A848" s="342" t="s">
        <v>382</v>
      </c>
      <c r="B848" s="34">
        <f t="shared" si="186"/>
        <v>8.173921007586447</v>
      </c>
      <c r="C848" s="34">
        <f t="shared" si="189"/>
        <v>276.14055565385291</v>
      </c>
      <c r="D848" s="66">
        <v>25</v>
      </c>
      <c r="E848" s="66">
        <v>1284</v>
      </c>
      <c r="F848" s="183">
        <v>5189</v>
      </c>
      <c r="G848" s="106">
        <v>26.8</v>
      </c>
      <c r="H848" s="152">
        <f t="shared" si="188"/>
        <v>0</v>
      </c>
      <c r="I848" s="34">
        <f t="shared" si="187"/>
        <v>204.27016721470059</v>
      </c>
      <c r="AE848" s="24"/>
      <c r="AF848" s="24"/>
      <c r="AG848" s="24"/>
      <c r="AH848" s="24"/>
      <c r="AI848" s="24"/>
      <c r="AJ848" s="24"/>
      <c r="AK848" s="24"/>
      <c r="AL848" s="24"/>
      <c r="AM848" s="24"/>
    </row>
    <row r="849" spans="1:40">
      <c r="AE849" s="24"/>
      <c r="AF849" s="24"/>
      <c r="AG849" s="24"/>
      <c r="AH849" s="24"/>
      <c r="AI849" s="24"/>
      <c r="AJ849" s="24"/>
      <c r="AK849" s="24"/>
      <c r="AL849" s="24"/>
      <c r="AM849" s="24"/>
    </row>
    <row r="850" spans="1:40">
      <c r="A850" s="3"/>
      <c r="B850" s="77"/>
      <c r="F850" s="3"/>
      <c r="AE850" s="24"/>
      <c r="AF850" s="24"/>
      <c r="AG850" s="24"/>
      <c r="AH850" s="24"/>
      <c r="AI850" s="24"/>
      <c r="AJ850" s="24"/>
      <c r="AK850" s="24"/>
      <c r="AL850" s="24"/>
      <c r="AM850" s="24"/>
    </row>
    <row r="851" spans="1:40" ht="18">
      <c r="A851" s="4" t="s">
        <v>2</v>
      </c>
      <c r="B851" s="78" t="s">
        <v>163</v>
      </c>
      <c r="C851" s="78" t="s">
        <v>164</v>
      </c>
      <c r="D851" s="78" t="s">
        <v>234</v>
      </c>
      <c r="E851" s="79" t="s">
        <v>235</v>
      </c>
      <c r="F851" s="80"/>
      <c r="O851" s="4" t="s">
        <v>2</v>
      </c>
      <c r="P851" s="682" t="s">
        <v>166</v>
      </c>
      <c r="Q851" s="683"/>
      <c r="R851" s="683"/>
      <c r="S851" s="683"/>
      <c r="T851" s="684"/>
      <c r="V851" s="2" t="s">
        <v>236</v>
      </c>
      <c r="W851" s="2">
        <v>350</v>
      </c>
      <c r="X851" s="2">
        <v>380</v>
      </c>
      <c r="Y851" s="2">
        <v>410</v>
      </c>
      <c r="Z851" s="2">
        <v>430</v>
      </c>
      <c r="AA851" s="2">
        <v>450</v>
      </c>
      <c r="AB851" s="2">
        <v>400</v>
      </c>
      <c r="AC851" s="2"/>
      <c r="AE851" s="188"/>
      <c r="AF851" s="188" t="s">
        <v>237</v>
      </c>
      <c r="AG851" s="188">
        <v>350</v>
      </c>
      <c r="AH851" s="188">
        <v>380</v>
      </c>
      <c r="AI851" s="188">
        <v>410</v>
      </c>
      <c r="AJ851" s="188">
        <v>430</v>
      </c>
      <c r="AK851" s="188">
        <v>450</v>
      </c>
      <c r="AL851" s="188">
        <v>400</v>
      </c>
      <c r="AM851" s="188"/>
    </row>
    <row r="852" spans="1:40">
      <c r="A852" s="8"/>
      <c r="B852" s="81" t="s">
        <v>17</v>
      </c>
      <c r="C852" s="82" t="s">
        <v>17</v>
      </c>
      <c r="D852" s="82" t="s">
        <v>17</v>
      </c>
      <c r="E852" s="83" t="s">
        <v>17</v>
      </c>
      <c r="F852" s="84"/>
      <c r="O852" s="8"/>
      <c r="P852" s="95">
        <v>0.6</v>
      </c>
      <c r="Q852" s="95">
        <v>0.7</v>
      </c>
      <c r="R852" s="95">
        <v>0.8</v>
      </c>
      <c r="S852" s="95">
        <v>0.9</v>
      </c>
      <c r="T852" s="95">
        <v>1</v>
      </c>
      <c r="V852" s="189">
        <v>10</v>
      </c>
      <c r="W852" s="190">
        <v>24</v>
      </c>
      <c r="X852" s="2">
        <v>25.3</v>
      </c>
      <c r="Y852" s="2">
        <v>26.7</v>
      </c>
      <c r="Z852" s="2">
        <v>27.6</v>
      </c>
      <c r="AA852" s="2">
        <v>28.4</v>
      </c>
      <c r="AB852" s="2">
        <v>26.3</v>
      </c>
      <c r="AC852" t="str">
        <f t="shared" ref="AC852:AC858" si="190">IF(MAX(W852:AB852)/1.3&gt;U$854,"Verbinder","")</f>
        <v/>
      </c>
      <c r="AE852" s="105"/>
      <c r="AF852" s="191">
        <v>10</v>
      </c>
      <c r="AG852" s="105">
        <v>33.9</v>
      </c>
      <c r="AH852" s="188"/>
      <c r="AI852" s="188"/>
      <c r="AJ852" s="188"/>
      <c r="AK852" s="188">
        <v>40</v>
      </c>
      <c r="AL852" s="188"/>
      <c r="AM852" s="24" t="str">
        <f t="shared" ref="AM852:AM858" si="191">IF(MAX(AG852:AL852)/1.3&gt;AE$854,"Verbinder","")</f>
        <v/>
      </c>
      <c r="AN852" t="str">
        <f>IF(OR(AG852&lt;W852,AK852&lt;AA852),"ACHTUNG","")</f>
        <v/>
      </c>
    </row>
    <row r="853" spans="1:40" hidden="1">
      <c r="A853" s="14" t="s">
        <v>29</v>
      </c>
      <c r="B853" s="16" t="e">
        <f t="shared" ref="B853:B866" si="192">G799</f>
        <v>#REF!</v>
      </c>
      <c r="C853" s="16">
        <v>34</v>
      </c>
      <c r="D853" s="16" t="e">
        <f t="shared" ref="D853:D866" si="193">I835</f>
        <v>#REF!</v>
      </c>
      <c r="E853" s="192" t="e">
        <f>MIN(B853,D853)</f>
        <v>#REF!</v>
      </c>
      <c r="F853" s="97"/>
      <c r="J853" s="103"/>
      <c r="O853" s="14" t="s">
        <v>29</v>
      </c>
      <c r="P853" s="88" t="e">
        <f t="shared" ref="P853:T866" si="194">MIN(P$852*$B853/1.3,$C853/1,P$852*$D853/1.3)</f>
        <v>#REF!</v>
      </c>
      <c r="Q853" s="88" t="e">
        <f t="shared" si="194"/>
        <v>#REF!</v>
      </c>
      <c r="R853" s="88" t="e">
        <f t="shared" si="194"/>
        <v>#REF!</v>
      </c>
      <c r="S853" s="88" t="e">
        <f t="shared" si="194"/>
        <v>#REF!</v>
      </c>
      <c r="T853" s="88" t="e">
        <f t="shared" si="194"/>
        <v>#REF!</v>
      </c>
      <c r="U853" s="2">
        <v>3</v>
      </c>
      <c r="V853" s="2">
        <v>20</v>
      </c>
      <c r="W853" s="2">
        <v>20.6</v>
      </c>
      <c r="X853" s="2">
        <v>21.8</v>
      </c>
      <c r="Y853" s="2">
        <v>22.9</v>
      </c>
      <c r="Z853" s="2">
        <v>23.7</v>
      </c>
      <c r="AA853" s="2">
        <v>24.4</v>
      </c>
      <c r="AB853" s="2">
        <v>22.6</v>
      </c>
      <c r="AC853" t="str">
        <f t="shared" si="190"/>
        <v/>
      </c>
      <c r="AE853" s="188"/>
      <c r="AF853" s="188">
        <v>20</v>
      </c>
      <c r="AG853" s="188">
        <v>28.7</v>
      </c>
      <c r="AH853" s="188"/>
      <c r="AI853" s="188"/>
      <c r="AJ853" s="188"/>
      <c r="AK853" s="188">
        <v>33.799999999999997</v>
      </c>
      <c r="AL853" s="188"/>
      <c r="AM853" s="24" t="str">
        <f t="shared" si="191"/>
        <v/>
      </c>
      <c r="AN853" t="str">
        <f t="shared" ref="AN853:AN901" si="195">IF(OR(AG853&lt;W853,AK853&lt;AA853),"ACHTUNG","")</f>
        <v/>
      </c>
    </row>
    <row r="854" spans="1:40" hidden="1">
      <c r="A854" s="44" t="s">
        <v>30</v>
      </c>
      <c r="B854" s="16" t="e">
        <f t="shared" si="192"/>
        <v>#REF!</v>
      </c>
      <c r="C854" s="16">
        <v>34</v>
      </c>
      <c r="D854" s="16" t="e">
        <f t="shared" si="193"/>
        <v>#REF!</v>
      </c>
      <c r="E854" s="192" t="e">
        <f t="shared" ref="E854:E866" si="196">MIN(B854,D854)</f>
        <v>#REF!</v>
      </c>
      <c r="F854" s="97"/>
      <c r="J854" s="103"/>
      <c r="O854" s="44" t="s">
        <v>30</v>
      </c>
      <c r="P854" s="88" t="e">
        <f t="shared" si="194"/>
        <v>#REF!</v>
      </c>
      <c r="Q854" s="88" t="e">
        <f t="shared" si="194"/>
        <v>#REF!</v>
      </c>
      <c r="R854" s="88" t="e">
        <f t="shared" si="194"/>
        <v>#REF!</v>
      </c>
      <c r="S854" s="88" t="e">
        <f t="shared" si="194"/>
        <v>#REF!</v>
      </c>
      <c r="T854" s="88" t="e">
        <f t="shared" si="194"/>
        <v>#REF!</v>
      </c>
      <c r="U854" s="2">
        <v>34</v>
      </c>
      <c r="V854" s="2">
        <v>30</v>
      </c>
      <c r="W854" s="189">
        <v>18</v>
      </c>
      <c r="X854" s="189">
        <v>19</v>
      </c>
      <c r="Y854" s="2">
        <v>19.899999999999999</v>
      </c>
      <c r="Z854" s="2">
        <v>20.6</v>
      </c>
      <c r="AA854" s="2">
        <v>21.2</v>
      </c>
      <c r="AB854" s="2">
        <v>19.600000000000001</v>
      </c>
      <c r="AC854" t="str">
        <f t="shared" si="190"/>
        <v/>
      </c>
      <c r="AE854" s="188">
        <v>34</v>
      </c>
      <c r="AF854" s="188">
        <v>30</v>
      </c>
      <c r="AG854" s="188">
        <v>24.7</v>
      </c>
      <c r="AH854" s="188"/>
      <c r="AI854" s="188"/>
      <c r="AJ854" s="188"/>
      <c r="AK854" s="188">
        <v>29</v>
      </c>
      <c r="AL854" s="188"/>
      <c r="AM854" s="24" t="str">
        <f t="shared" si="191"/>
        <v/>
      </c>
      <c r="AN854" t="str">
        <f t="shared" si="195"/>
        <v/>
      </c>
    </row>
    <row r="855" spans="1:40" hidden="1">
      <c r="A855" s="14" t="s">
        <v>31</v>
      </c>
      <c r="B855" s="16" t="e">
        <f t="shared" si="192"/>
        <v>#REF!</v>
      </c>
      <c r="C855" s="16">
        <v>34</v>
      </c>
      <c r="D855" s="16" t="e">
        <f t="shared" si="193"/>
        <v>#REF!</v>
      </c>
      <c r="E855" s="192" t="e">
        <f t="shared" si="196"/>
        <v>#REF!</v>
      </c>
      <c r="F855" s="97"/>
      <c r="J855" s="103"/>
      <c r="O855" s="14" t="s">
        <v>31</v>
      </c>
      <c r="P855" s="88" t="e">
        <f t="shared" si="194"/>
        <v>#REF!</v>
      </c>
      <c r="Q855" s="88" t="e">
        <f t="shared" si="194"/>
        <v>#REF!</v>
      </c>
      <c r="R855" s="88" t="e">
        <f t="shared" si="194"/>
        <v>#REF!</v>
      </c>
      <c r="S855" s="88" t="e">
        <f t="shared" si="194"/>
        <v>#REF!</v>
      </c>
      <c r="T855" s="88" t="e">
        <f t="shared" si="194"/>
        <v>#REF!</v>
      </c>
      <c r="U855" s="189">
        <f>N853</f>
        <v>0</v>
      </c>
      <c r="V855" s="2">
        <v>40</v>
      </c>
      <c r="W855" s="2">
        <v>15.8</v>
      </c>
      <c r="X855" s="2">
        <v>16.7</v>
      </c>
      <c r="Y855" s="2">
        <v>17.600000000000001</v>
      </c>
      <c r="Z855" s="2">
        <v>18.100000000000001</v>
      </c>
      <c r="AA855" s="2">
        <v>18.600000000000001</v>
      </c>
      <c r="AB855" s="2">
        <v>17.3</v>
      </c>
      <c r="AC855" t="str">
        <f t="shared" si="190"/>
        <v/>
      </c>
      <c r="AE855" s="191">
        <f>N861</f>
        <v>0</v>
      </c>
      <c r="AF855" s="188">
        <v>40</v>
      </c>
      <c r="AG855" s="188">
        <v>21.6</v>
      </c>
      <c r="AH855" s="188"/>
      <c r="AI855" s="188"/>
      <c r="AJ855" s="188"/>
      <c r="AK855" s="188">
        <v>25.3</v>
      </c>
      <c r="AL855" s="188"/>
      <c r="AM855" s="24" t="str">
        <f t="shared" si="191"/>
        <v/>
      </c>
      <c r="AN855" t="str">
        <f t="shared" si="195"/>
        <v/>
      </c>
    </row>
    <row r="856" spans="1:40" hidden="1">
      <c r="A856" s="44" t="s">
        <v>32</v>
      </c>
      <c r="B856" s="16" t="e">
        <f t="shared" si="192"/>
        <v>#REF!</v>
      </c>
      <c r="C856" s="16">
        <v>34</v>
      </c>
      <c r="D856" s="16" t="e">
        <f t="shared" si="193"/>
        <v>#REF!</v>
      </c>
      <c r="E856" s="192" t="e">
        <f t="shared" si="196"/>
        <v>#REF!</v>
      </c>
      <c r="F856" s="97"/>
      <c r="J856" s="103"/>
      <c r="O856" s="44" t="s">
        <v>32</v>
      </c>
      <c r="P856" s="88" t="e">
        <f t="shared" si="194"/>
        <v>#REF!</v>
      </c>
      <c r="Q856" s="88" t="e">
        <f t="shared" si="194"/>
        <v>#REF!</v>
      </c>
      <c r="R856" s="88" t="e">
        <f t="shared" si="194"/>
        <v>#REF!</v>
      </c>
      <c r="S856" s="88" t="e">
        <f t="shared" si="194"/>
        <v>#REF!</v>
      </c>
      <c r="T856" s="88" t="e">
        <f t="shared" si="194"/>
        <v>#REF!</v>
      </c>
      <c r="U856" s="2"/>
      <c r="V856" s="2">
        <v>50</v>
      </c>
      <c r="W856" s="2">
        <v>14.1</v>
      </c>
      <c r="X856" s="2">
        <v>14.9</v>
      </c>
      <c r="Y856" s="2">
        <v>15.7</v>
      </c>
      <c r="Z856" s="2">
        <v>16.100000000000001</v>
      </c>
      <c r="AA856" s="2">
        <v>16.600000000000001</v>
      </c>
      <c r="AB856" s="2">
        <v>15.4</v>
      </c>
      <c r="AC856" t="str">
        <f t="shared" si="190"/>
        <v/>
      </c>
      <c r="AE856" s="188"/>
      <c r="AF856" s="188">
        <v>50</v>
      </c>
      <c r="AG856" s="188">
        <v>19.100000000000001</v>
      </c>
      <c r="AH856" s="188"/>
      <c r="AI856" s="188"/>
      <c r="AJ856" s="188"/>
      <c r="AK856" s="188">
        <v>22.3</v>
      </c>
      <c r="AL856" s="188"/>
      <c r="AM856" s="24" t="str">
        <f t="shared" si="191"/>
        <v/>
      </c>
      <c r="AN856" t="str">
        <f t="shared" si="195"/>
        <v/>
      </c>
    </row>
    <row r="857" spans="1:40" hidden="1">
      <c r="A857" s="14" t="s">
        <v>33</v>
      </c>
      <c r="B857" s="16" t="e">
        <f t="shared" si="192"/>
        <v>#REF!</v>
      </c>
      <c r="C857" s="16">
        <v>50</v>
      </c>
      <c r="D857" s="16" t="e">
        <f t="shared" si="193"/>
        <v>#REF!</v>
      </c>
      <c r="E857" s="192" t="e">
        <f t="shared" si="196"/>
        <v>#REF!</v>
      </c>
      <c r="F857" s="97"/>
      <c r="J857" s="103"/>
      <c r="O857" s="14" t="s">
        <v>33</v>
      </c>
      <c r="P857" s="193" t="e">
        <f t="shared" si="194"/>
        <v>#REF!</v>
      </c>
      <c r="Q857" s="193" t="e">
        <f t="shared" si="194"/>
        <v>#REF!</v>
      </c>
      <c r="R857" s="193" t="e">
        <f t="shared" si="194"/>
        <v>#REF!</v>
      </c>
      <c r="S857" s="193" t="e">
        <f t="shared" si="194"/>
        <v>#REF!</v>
      </c>
      <c r="T857" s="193" t="e">
        <f t="shared" si="194"/>
        <v>#REF!</v>
      </c>
      <c r="U857" s="2"/>
      <c r="V857" s="2">
        <v>60</v>
      </c>
      <c r="W857" s="2">
        <v>12.7</v>
      </c>
      <c r="X857" s="2">
        <v>13.4</v>
      </c>
      <c r="Y857" s="2">
        <v>14.1</v>
      </c>
      <c r="Z857" s="2">
        <v>14.5</v>
      </c>
      <c r="AA857" s="2">
        <v>14.9</v>
      </c>
      <c r="AB857" s="2">
        <v>13.9</v>
      </c>
      <c r="AC857" t="str">
        <f t="shared" si="190"/>
        <v/>
      </c>
      <c r="AE857" s="188"/>
      <c r="AF857" s="188">
        <v>60</v>
      </c>
      <c r="AG857" s="188">
        <v>17.100000000000001</v>
      </c>
      <c r="AH857" s="188"/>
      <c r="AI857" s="188"/>
      <c r="AJ857" s="188"/>
      <c r="AK857" s="188">
        <v>20</v>
      </c>
      <c r="AL857" s="188"/>
      <c r="AM857" s="24" t="str">
        <f t="shared" si="191"/>
        <v/>
      </c>
      <c r="AN857" t="str">
        <f t="shared" si="195"/>
        <v/>
      </c>
    </row>
    <row r="858" spans="1:40" hidden="1">
      <c r="A858" s="44" t="s">
        <v>34</v>
      </c>
      <c r="B858" s="16" t="e">
        <f t="shared" si="192"/>
        <v>#REF!</v>
      </c>
      <c r="C858" s="16">
        <v>50</v>
      </c>
      <c r="D858" s="16" t="e">
        <f t="shared" si="193"/>
        <v>#REF!</v>
      </c>
      <c r="E858" s="192" t="e">
        <f t="shared" si="196"/>
        <v>#REF!</v>
      </c>
      <c r="F858" s="97"/>
      <c r="J858" s="103"/>
      <c r="O858" s="44" t="s">
        <v>34</v>
      </c>
      <c r="P858" s="193" t="e">
        <f t="shared" si="194"/>
        <v>#REF!</v>
      </c>
      <c r="Q858" s="193" t="e">
        <f t="shared" si="194"/>
        <v>#REF!</v>
      </c>
      <c r="R858" s="193" t="e">
        <f t="shared" si="194"/>
        <v>#REF!</v>
      </c>
      <c r="S858" s="193" t="e">
        <f t="shared" si="194"/>
        <v>#REF!</v>
      </c>
      <c r="T858" s="193" t="e">
        <f t="shared" si="194"/>
        <v>#REF!</v>
      </c>
      <c r="U858" s="2"/>
      <c r="V858" s="2">
        <v>70</v>
      </c>
      <c r="W858" s="2">
        <v>11.6</v>
      </c>
      <c r="X858" s="2">
        <v>12.2</v>
      </c>
      <c r="Y858" s="2">
        <v>12.8</v>
      </c>
      <c r="Z858" s="2">
        <v>13.2</v>
      </c>
      <c r="AA858" s="2">
        <v>13.6</v>
      </c>
      <c r="AB858" s="2">
        <v>12.6</v>
      </c>
      <c r="AC858" t="str">
        <f t="shared" si="190"/>
        <v/>
      </c>
      <c r="AE858" s="188"/>
      <c r="AF858" s="188">
        <v>70</v>
      </c>
      <c r="AG858" s="188">
        <v>15.5</v>
      </c>
      <c r="AH858" s="188"/>
      <c r="AI858" s="188"/>
      <c r="AJ858" s="188"/>
      <c r="AK858" s="188">
        <v>18.100000000000001</v>
      </c>
      <c r="AL858" s="188"/>
      <c r="AM858" s="24" t="str">
        <f t="shared" si="191"/>
        <v/>
      </c>
      <c r="AN858" t="str">
        <f t="shared" si="195"/>
        <v/>
      </c>
    </row>
    <row r="859" spans="1:40" hidden="1">
      <c r="A859" s="44" t="s">
        <v>35</v>
      </c>
      <c r="B859" s="16" t="e">
        <f t="shared" si="192"/>
        <v>#REF!</v>
      </c>
      <c r="C859" s="16">
        <v>50</v>
      </c>
      <c r="D859" s="16" t="e">
        <f t="shared" si="193"/>
        <v>#REF!</v>
      </c>
      <c r="E859" s="192" t="e">
        <f t="shared" si="196"/>
        <v>#REF!</v>
      </c>
      <c r="F859" s="97"/>
      <c r="J859" s="103"/>
      <c r="O859" s="44" t="s">
        <v>35</v>
      </c>
      <c r="P859" s="193" t="e">
        <f t="shared" si="194"/>
        <v>#REF!</v>
      </c>
      <c r="Q859" s="193" t="e">
        <f t="shared" si="194"/>
        <v>#REF!</v>
      </c>
      <c r="R859" s="193" t="e">
        <f t="shared" si="194"/>
        <v>#REF!</v>
      </c>
      <c r="S859" s="193" t="e">
        <f t="shared" si="194"/>
        <v>#REF!</v>
      </c>
      <c r="T859" s="193" t="e">
        <f t="shared" si="194"/>
        <v>#REF!</v>
      </c>
      <c r="AE859" s="24"/>
      <c r="AF859" s="24"/>
      <c r="AG859" s="24"/>
      <c r="AH859" s="24"/>
      <c r="AI859" s="24"/>
      <c r="AJ859" s="24"/>
      <c r="AK859" s="24"/>
      <c r="AL859" s="24"/>
      <c r="AM859" s="24"/>
    </row>
    <row r="860" spans="1:40" hidden="1">
      <c r="A860" s="14" t="s">
        <v>36</v>
      </c>
      <c r="B860" s="16" t="e">
        <f t="shared" si="192"/>
        <v>#REF!</v>
      </c>
      <c r="C860" s="16">
        <v>50</v>
      </c>
      <c r="D860" s="16" t="e">
        <f t="shared" si="193"/>
        <v>#REF!</v>
      </c>
      <c r="E860" s="192" t="e">
        <f t="shared" si="196"/>
        <v>#REF!</v>
      </c>
      <c r="F860" s="97"/>
      <c r="J860" s="103"/>
      <c r="O860" s="14" t="s">
        <v>36</v>
      </c>
      <c r="P860" s="193" t="e">
        <f t="shared" si="194"/>
        <v>#REF!</v>
      </c>
      <c r="Q860" s="193" t="e">
        <f t="shared" si="194"/>
        <v>#REF!</v>
      </c>
      <c r="R860" s="193" t="e">
        <f t="shared" si="194"/>
        <v>#REF!</v>
      </c>
      <c r="S860" s="193" t="e">
        <f t="shared" si="194"/>
        <v>#REF!</v>
      </c>
      <c r="T860" s="193" t="e">
        <f t="shared" si="194"/>
        <v>#REF!</v>
      </c>
      <c r="AE860" s="24"/>
      <c r="AF860" s="24"/>
      <c r="AG860" s="24"/>
      <c r="AH860" s="24"/>
      <c r="AI860" s="24"/>
      <c r="AJ860" s="24"/>
      <c r="AK860" s="24"/>
      <c r="AL860" s="24"/>
      <c r="AM860" s="24"/>
    </row>
    <row r="861" spans="1:40" ht="30">
      <c r="A861" s="424" t="s">
        <v>377</v>
      </c>
      <c r="B861" s="16">
        <f t="shared" si="192"/>
        <v>35.739934753720405</v>
      </c>
      <c r="C861" s="16">
        <v>34</v>
      </c>
      <c r="D861" s="16">
        <f t="shared" si="193"/>
        <v>57.3158714071267</v>
      </c>
      <c r="E861" s="192">
        <f t="shared" si="196"/>
        <v>35.739934753720405</v>
      </c>
      <c r="F861" s="97"/>
      <c r="J861" s="103"/>
      <c r="O861" s="424" t="s">
        <v>377</v>
      </c>
      <c r="P861" s="193">
        <f t="shared" si="194"/>
        <v>16.495354501717109</v>
      </c>
      <c r="Q861" s="193">
        <f t="shared" si="194"/>
        <v>19.244580252003296</v>
      </c>
      <c r="R861" s="193">
        <f t="shared" si="194"/>
        <v>21.993806002289478</v>
      </c>
      <c r="S861" s="193">
        <f t="shared" si="194"/>
        <v>24.743031752575664</v>
      </c>
      <c r="T861" s="193">
        <f t="shared" si="194"/>
        <v>27.49225750286185</v>
      </c>
      <c r="U861" s="2"/>
      <c r="V861" s="2" t="s">
        <v>238</v>
      </c>
      <c r="W861" s="2">
        <v>350</v>
      </c>
      <c r="X861" s="2">
        <v>380</v>
      </c>
      <c r="Y861" s="2">
        <v>410</v>
      </c>
      <c r="Z861" s="2">
        <v>430</v>
      </c>
      <c r="AA861" s="2">
        <v>450</v>
      </c>
      <c r="AB861" s="2">
        <v>400</v>
      </c>
      <c r="AC861" s="2"/>
      <c r="AE861" s="188"/>
      <c r="AF861" s="188" t="s">
        <v>239</v>
      </c>
      <c r="AG861" s="188">
        <v>350</v>
      </c>
      <c r="AH861" s="188">
        <v>380</v>
      </c>
      <c r="AI861" s="188">
        <v>410</v>
      </c>
      <c r="AJ861" s="188">
        <v>430</v>
      </c>
      <c r="AK861" s="188">
        <v>450</v>
      </c>
      <c r="AL861" s="188">
        <v>400</v>
      </c>
      <c r="AM861" s="188"/>
    </row>
    <row r="862" spans="1:40" ht="30">
      <c r="A862" s="342" t="s">
        <v>379</v>
      </c>
      <c r="B862" s="16">
        <f t="shared" si="192"/>
        <v>41.24539040614669</v>
      </c>
      <c r="C862" s="16">
        <v>34</v>
      </c>
      <c r="D862" s="16">
        <f t="shared" si="193"/>
        <v>57.3158714071267</v>
      </c>
      <c r="E862" s="192">
        <f t="shared" si="196"/>
        <v>41.24539040614669</v>
      </c>
      <c r="F862" s="97"/>
      <c r="J862" s="103"/>
      <c r="O862" s="342" t="s">
        <v>379</v>
      </c>
      <c r="P862" s="193">
        <f t="shared" si="194"/>
        <v>19.036334033606163</v>
      </c>
      <c r="Q862" s="193">
        <f t="shared" si="194"/>
        <v>22.209056372540523</v>
      </c>
      <c r="R862" s="193">
        <f t="shared" si="194"/>
        <v>25.381778711474887</v>
      </c>
      <c r="S862" s="193">
        <f t="shared" si="194"/>
        <v>28.554501050409243</v>
      </c>
      <c r="T862" s="193">
        <f t="shared" si="194"/>
        <v>31.727223389343607</v>
      </c>
      <c r="U862" s="105"/>
      <c r="V862" s="189">
        <v>10</v>
      </c>
      <c r="W862" s="105">
        <v>27.5</v>
      </c>
      <c r="X862" s="188">
        <v>29.1</v>
      </c>
      <c r="Y862" s="188">
        <v>30.7</v>
      </c>
      <c r="Z862" s="188">
        <v>31.7</v>
      </c>
      <c r="AA862" s="188">
        <v>32.6</v>
      </c>
      <c r="AB862" s="188">
        <v>30.1</v>
      </c>
      <c r="AC862" t="str">
        <f>IF(MAX(W862:AB862)/1.3&gt;U$864,"Verbinder","")</f>
        <v/>
      </c>
      <c r="AE862" s="105"/>
      <c r="AF862" s="191">
        <v>10</v>
      </c>
      <c r="AG862" s="105">
        <v>44.4</v>
      </c>
      <c r="AH862" s="188"/>
      <c r="AI862" s="188"/>
      <c r="AJ862" s="188"/>
      <c r="AK862" s="188">
        <v>52.5</v>
      </c>
      <c r="AL862" s="188"/>
      <c r="AM862" s="24" t="str">
        <f>IF(MAX(AG862:AL862)/1.3&gt;AE$864,"Verbinder","")</f>
        <v>Verbinder</v>
      </c>
      <c r="AN862" t="str">
        <f t="shared" si="195"/>
        <v/>
      </c>
    </row>
    <row r="863" spans="1:40" ht="30">
      <c r="A863" s="342" t="s">
        <v>380</v>
      </c>
      <c r="B863" s="16">
        <f t="shared" si="192"/>
        <v>57.183895605952657</v>
      </c>
      <c r="C863" s="16">
        <v>34</v>
      </c>
      <c r="D863" s="16">
        <f t="shared" si="193"/>
        <v>91.919031934834024</v>
      </c>
      <c r="E863" s="192">
        <f t="shared" si="196"/>
        <v>57.183895605952657</v>
      </c>
      <c r="F863" s="97"/>
      <c r="J863" s="103"/>
      <c r="O863" s="342" t="s">
        <v>380</v>
      </c>
      <c r="P863" s="193">
        <f t="shared" si="194"/>
        <v>26.392567202747376</v>
      </c>
      <c r="Q863" s="193">
        <f t="shared" si="194"/>
        <v>30.79132840320527</v>
      </c>
      <c r="R863" s="193">
        <f t="shared" si="194"/>
        <v>34</v>
      </c>
      <c r="S863" s="193">
        <f t="shared" si="194"/>
        <v>34</v>
      </c>
      <c r="T863" s="193">
        <f t="shared" si="194"/>
        <v>34</v>
      </c>
      <c r="U863" s="2"/>
      <c r="V863" s="2">
        <v>20</v>
      </c>
      <c r="W863" s="2">
        <v>24.1</v>
      </c>
      <c r="X863" s="188">
        <v>25.5</v>
      </c>
      <c r="Y863" s="188">
        <v>26.8</v>
      </c>
      <c r="Z863" s="188">
        <v>27.7</v>
      </c>
      <c r="AA863" s="188">
        <v>28.5</v>
      </c>
      <c r="AB863" s="188">
        <v>26.4</v>
      </c>
      <c r="AC863" t="str">
        <f>IF(MAX(W863:AB863)/1.3&gt;U$864,"Verbinder","")</f>
        <v/>
      </c>
      <c r="AE863" s="188"/>
      <c r="AF863" s="188">
        <v>20</v>
      </c>
      <c r="AG863" s="188">
        <v>38.200000000000003</v>
      </c>
      <c r="AH863" s="188"/>
      <c r="AI863" s="188"/>
      <c r="AJ863" s="188"/>
      <c r="AK863" s="188">
        <v>45</v>
      </c>
      <c r="AL863" s="188"/>
      <c r="AM863" s="24" t="str">
        <f>IF(MAX(AG863:AL863)/1.3&gt;AE$864,"Verbinder","")</f>
        <v>Verbinder</v>
      </c>
      <c r="AN863" t="str">
        <f t="shared" si="195"/>
        <v/>
      </c>
    </row>
    <row r="864" spans="1:40" ht="30">
      <c r="A864" s="342" t="s">
        <v>381</v>
      </c>
      <c r="B864" s="16">
        <f t="shared" si="192"/>
        <v>65.99262464983471</v>
      </c>
      <c r="C864" s="16">
        <v>34</v>
      </c>
      <c r="D864" s="16">
        <f t="shared" si="193"/>
        <v>91.919031934834024</v>
      </c>
      <c r="E864" s="192">
        <f t="shared" si="196"/>
        <v>65.99262464983471</v>
      </c>
      <c r="F864" s="97"/>
      <c r="J864" s="103"/>
      <c r="O864" s="342" t="s">
        <v>381</v>
      </c>
      <c r="P864" s="193">
        <f t="shared" si="194"/>
        <v>30.458134453769862</v>
      </c>
      <c r="Q864" s="193">
        <f t="shared" si="194"/>
        <v>34</v>
      </c>
      <c r="R864" s="193">
        <f t="shared" si="194"/>
        <v>34</v>
      </c>
      <c r="S864" s="193">
        <f t="shared" si="194"/>
        <v>34</v>
      </c>
      <c r="T864" s="193">
        <f t="shared" si="194"/>
        <v>34</v>
      </c>
      <c r="U864" s="2">
        <v>34</v>
      </c>
      <c r="V864" s="2">
        <v>30</v>
      </c>
      <c r="W864" s="2">
        <v>21.3</v>
      </c>
      <c r="X864" s="2">
        <v>22.5</v>
      </c>
      <c r="Y864" s="2">
        <v>23.7</v>
      </c>
      <c r="Z864" s="2">
        <v>24.4</v>
      </c>
      <c r="AA864" s="2">
        <v>25.2</v>
      </c>
      <c r="AB864" s="2">
        <v>23.3</v>
      </c>
      <c r="AC864" t="str">
        <f>IF(MAX(W864:AB864)/1.3&gt;U$864,"Verbinder","")</f>
        <v/>
      </c>
      <c r="AE864" s="188">
        <v>34</v>
      </c>
      <c r="AF864" s="188">
        <v>30</v>
      </c>
      <c r="AG864" s="188">
        <v>33.299999999999997</v>
      </c>
      <c r="AH864" s="188"/>
      <c r="AI864" s="188"/>
      <c r="AJ864" s="188"/>
      <c r="AK864" s="188">
        <v>39.9</v>
      </c>
      <c r="AL864" s="188"/>
      <c r="AM864" s="24" t="str">
        <f>IF(MAX(AG864:AL864)/1.3&gt;AE$864,"Verbinder","")</f>
        <v/>
      </c>
      <c r="AN864" t="str">
        <f t="shared" si="195"/>
        <v/>
      </c>
    </row>
    <row r="865" spans="1:40" ht="30">
      <c r="A865" s="342" t="s">
        <v>383</v>
      </c>
      <c r="B865" s="16">
        <f t="shared" si="192"/>
        <v>80.90511198157418</v>
      </c>
      <c r="C865" s="16">
        <v>50</v>
      </c>
      <c r="D865" s="16">
        <f t="shared" si="193"/>
        <v>130.66325116354344</v>
      </c>
      <c r="E865" s="192">
        <f t="shared" si="196"/>
        <v>80.90511198157418</v>
      </c>
      <c r="F865" s="97"/>
      <c r="J865" s="103"/>
      <c r="O865" s="342" t="s">
        <v>383</v>
      </c>
      <c r="P865" s="193">
        <f t="shared" si="194"/>
        <v>37.340820914572696</v>
      </c>
      <c r="Q865" s="193">
        <f t="shared" si="194"/>
        <v>43.564291067001477</v>
      </c>
      <c r="R865" s="193">
        <f t="shared" si="194"/>
        <v>49.787761219430266</v>
      </c>
      <c r="S865" s="193">
        <f t="shared" si="194"/>
        <v>50</v>
      </c>
      <c r="T865" s="193">
        <f t="shared" si="194"/>
        <v>50</v>
      </c>
      <c r="U865" s="189">
        <f>N854</f>
        <v>0</v>
      </c>
      <c r="V865" s="2">
        <v>40</v>
      </c>
      <c r="W865" s="2">
        <v>19.100000000000001</v>
      </c>
      <c r="X865" s="2">
        <v>20.100000000000001</v>
      </c>
      <c r="Y865" s="2">
        <v>21.2</v>
      </c>
      <c r="Z865" s="2">
        <v>21.8</v>
      </c>
      <c r="AA865" s="2">
        <v>22.4</v>
      </c>
      <c r="AB865" s="2">
        <v>20.8</v>
      </c>
      <c r="AC865" t="str">
        <f>IF(MAX(W865:AB865)/1.3&gt;U$864,"Verbinder","")</f>
        <v/>
      </c>
      <c r="AE865" s="191">
        <f>N862</f>
        <v>0</v>
      </c>
      <c r="AF865" s="188">
        <v>40</v>
      </c>
      <c r="AG865" s="188">
        <v>29.3</v>
      </c>
      <c r="AH865" s="188"/>
      <c r="AI865" s="188"/>
      <c r="AJ865" s="188"/>
      <c r="AK865" s="188">
        <v>34.4</v>
      </c>
      <c r="AL865" s="188"/>
      <c r="AM865" s="24" t="str">
        <f>IF(MAX(AG865:AL865)/1.3&gt;AE$864,"Verbinder","")</f>
        <v/>
      </c>
      <c r="AN865" t="str">
        <f t="shared" si="195"/>
        <v/>
      </c>
    </row>
    <row r="866" spans="1:40" ht="30">
      <c r="A866" s="342" t="s">
        <v>382</v>
      </c>
      <c r="B866" s="16">
        <f t="shared" si="192"/>
        <v>126.41423747120966</v>
      </c>
      <c r="C866" s="16">
        <v>50</v>
      </c>
      <c r="D866" s="16">
        <f t="shared" si="193"/>
        <v>204.27016721470059</v>
      </c>
      <c r="E866" s="192">
        <f t="shared" si="196"/>
        <v>126.41423747120966</v>
      </c>
      <c r="F866" s="97"/>
      <c r="J866" s="103"/>
      <c r="O866" s="342" t="s">
        <v>382</v>
      </c>
      <c r="P866" s="193">
        <f t="shared" si="194"/>
        <v>50</v>
      </c>
      <c r="Q866" s="193">
        <f t="shared" si="194"/>
        <v>50</v>
      </c>
      <c r="R866" s="193">
        <f t="shared" si="194"/>
        <v>50</v>
      </c>
      <c r="S866" s="193">
        <f t="shared" si="194"/>
        <v>50</v>
      </c>
      <c r="T866" s="193">
        <f t="shared" si="194"/>
        <v>50</v>
      </c>
      <c r="U866" s="2"/>
      <c r="V866" s="2">
        <v>50</v>
      </c>
      <c r="W866" s="2">
        <v>17.2</v>
      </c>
      <c r="X866" s="2">
        <v>18.100000000000001</v>
      </c>
      <c r="Y866" s="189">
        <v>19</v>
      </c>
      <c r="Z866" s="2">
        <v>19.600000000000001</v>
      </c>
      <c r="AA866" s="2">
        <v>20.2</v>
      </c>
      <c r="AB866" s="2">
        <v>18.7</v>
      </c>
      <c r="AC866" t="str">
        <f>IF(MAX(W866:AB866)/1.3&gt;U$864,"Verbinder","")</f>
        <v/>
      </c>
      <c r="AE866" s="188"/>
      <c r="AF866" s="188">
        <v>50</v>
      </c>
      <c r="AG866" s="188">
        <v>26.2</v>
      </c>
      <c r="AH866" s="188"/>
      <c r="AI866" s="188"/>
      <c r="AJ866" s="188"/>
      <c r="AK866" s="188">
        <v>30.6</v>
      </c>
      <c r="AL866" s="188"/>
      <c r="AM866" s="24" t="str">
        <f>IF(MAX(AG866:AL866)/1.3&gt;AE$864,"Verbinder","")</f>
        <v/>
      </c>
      <c r="AN866" t="str">
        <f t="shared" si="195"/>
        <v/>
      </c>
    </row>
    <row r="867" spans="1:40">
      <c r="AE867" s="24"/>
      <c r="AF867" s="24"/>
      <c r="AG867" s="24"/>
      <c r="AH867" s="24"/>
      <c r="AI867" s="24"/>
      <c r="AJ867" s="24"/>
      <c r="AK867" s="24"/>
      <c r="AL867" s="24"/>
      <c r="AM867" s="24"/>
    </row>
    <row r="868" spans="1:40">
      <c r="AE868" s="24"/>
      <c r="AF868" s="24"/>
      <c r="AG868" s="24"/>
      <c r="AH868" s="24"/>
      <c r="AI868" s="24"/>
      <c r="AJ868" s="24"/>
      <c r="AK868" s="24"/>
      <c r="AL868" s="24"/>
      <c r="AM868" s="24"/>
    </row>
    <row r="869" spans="1:40">
      <c r="U869" s="189"/>
      <c r="V869" s="2" t="s">
        <v>240</v>
      </c>
      <c r="W869" s="2">
        <v>350</v>
      </c>
      <c r="X869" s="2">
        <v>380</v>
      </c>
      <c r="Y869" s="2">
        <v>410</v>
      </c>
      <c r="Z869" s="2">
        <v>430</v>
      </c>
      <c r="AA869" s="2">
        <v>450</v>
      </c>
      <c r="AB869" s="2">
        <v>400</v>
      </c>
      <c r="AC869" s="2"/>
      <c r="AE869" s="191"/>
      <c r="AF869" s="188" t="s">
        <v>241</v>
      </c>
      <c r="AG869" s="188">
        <v>350</v>
      </c>
      <c r="AH869" s="188">
        <v>380</v>
      </c>
      <c r="AI869" s="188">
        <v>410</v>
      </c>
      <c r="AJ869" s="188">
        <v>430</v>
      </c>
      <c r="AK869" s="188">
        <v>450</v>
      </c>
      <c r="AL869" s="188">
        <v>400</v>
      </c>
      <c r="AM869" s="188"/>
    </row>
    <row r="870" spans="1:40" ht="18.75">
      <c r="A870" s="56" t="s">
        <v>86</v>
      </c>
      <c r="U870" s="105"/>
      <c r="V870" s="189">
        <v>10</v>
      </c>
      <c r="W870" s="105">
        <v>27.6</v>
      </c>
      <c r="X870" s="191">
        <v>29.2</v>
      </c>
      <c r="Y870" s="188">
        <v>30.7</v>
      </c>
      <c r="Z870" s="188">
        <v>31.7</v>
      </c>
      <c r="AA870" s="188">
        <v>32.700000000000003</v>
      </c>
      <c r="AB870" s="188">
        <v>30.2</v>
      </c>
      <c r="AC870" t="str">
        <f t="shared" ref="AC870:AC884" si="197">IF(MAX(W870:AB870)/1.3&gt;U$872,"Verbinder","")</f>
        <v/>
      </c>
      <c r="AE870" s="105"/>
      <c r="AF870" s="191">
        <v>10</v>
      </c>
      <c r="AG870" s="105">
        <v>55.4</v>
      </c>
      <c r="AH870" s="191"/>
      <c r="AI870" s="188"/>
      <c r="AJ870" s="188"/>
      <c r="AK870" s="188">
        <v>65.599999999999994</v>
      </c>
      <c r="AL870" s="188"/>
      <c r="AM870" s="24" t="str">
        <f t="shared" ref="AM870:AM884" si="198">IF(MAX(AG870:AL870)/1.3&gt;AE$872,"Verbinder","")</f>
        <v>Verbinder</v>
      </c>
      <c r="AN870" t="str">
        <f t="shared" si="195"/>
        <v/>
      </c>
    </row>
    <row r="871" spans="1:40">
      <c r="L871" s="3"/>
      <c r="U871" s="189"/>
      <c r="V871" s="2">
        <v>20</v>
      </c>
      <c r="W871" s="188">
        <v>24.2</v>
      </c>
      <c r="X871" s="188">
        <v>25.6</v>
      </c>
      <c r="Y871" s="188">
        <v>26.9</v>
      </c>
      <c r="Z871" s="188">
        <v>27.8</v>
      </c>
      <c r="AA871" s="191">
        <v>28.6</v>
      </c>
      <c r="AB871" s="188">
        <v>26.5</v>
      </c>
      <c r="AC871" t="str">
        <f t="shared" si="197"/>
        <v/>
      </c>
      <c r="AE871" s="191"/>
      <c r="AF871" s="188">
        <v>20</v>
      </c>
      <c r="AG871" s="188">
        <v>48.3</v>
      </c>
      <c r="AH871" s="188"/>
      <c r="AI871" s="188"/>
      <c r="AJ871" s="188"/>
      <c r="AK871" s="191">
        <v>56.9</v>
      </c>
      <c r="AL871" s="188"/>
      <c r="AM871" s="24" t="str">
        <f t="shared" si="198"/>
        <v>Verbinder</v>
      </c>
      <c r="AN871" t="str">
        <f t="shared" si="195"/>
        <v/>
      </c>
    </row>
    <row r="872" spans="1:40" ht="18">
      <c r="A872" s="4" t="s">
        <v>2</v>
      </c>
      <c r="B872" s="5" t="s">
        <v>43</v>
      </c>
      <c r="C872" s="5" t="s">
        <v>87</v>
      </c>
      <c r="D872" s="5" t="s">
        <v>88</v>
      </c>
      <c r="E872" s="5" t="s">
        <v>89</v>
      </c>
      <c r="F872" s="5" t="s">
        <v>90</v>
      </c>
      <c r="I872" s="105" t="s">
        <v>91</v>
      </c>
      <c r="L872" s="108"/>
      <c r="U872" s="2">
        <v>34</v>
      </c>
      <c r="V872" s="2">
        <v>30</v>
      </c>
      <c r="W872" s="188">
        <v>21.5</v>
      </c>
      <c r="X872" s="188">
        <v>22.7</v>
      </c>
      <c r="Y872" s="188">
        <v>23.8</v>
      </c>
      <c r="Z872" s="188">
        <v>24.6</v>
      </c>
      <c r="AA872" s="191">
        <v>25.3</v>
      </c>
      <c r="AB872" s="188">
        <v>23.5</v>
      </c>
      <c r="AC872" t="str">
        <f t="shared" si="197"/>
        <v/>
      </c>
      <c r="AE872" s="188">
        <v>34</v>
      </c>
      <c r="AF872" s="188">
        <v>30</v>
      </c>
      <c r="AG872" s="188">
        <v>42.5</v>
      </c>
      <c r="AH872" s="188"/>
      <c r="AI872" s="188"/>
      <c r="AJ872" s="188"/>
      <c r="AK872" s="191">
        <v>49.9</v>
      </c>
      <c r="AL872" s="188"/>
      <c r="AM872" s="24" t="str">
        <f t="shared" si="198"/>
        <v>Verbinder</v>
      </c>
      <c r="AN872" t="str">
        <f t="shared" si="195"/>
        <v/>
      </c>
    </row>
    <row r="873" spans="1:40">
      <c r="A873" s="8"/>
      <c r="B873" s="9" t="s">
        <v>19</v>
      </c>
      <c r="C873" s="9" t="s">
        <v>18</v>
      </c>
      <c r="D873" s="9" t="s">
        <v>18</v>
      </c>
      <c r="E873" s="9" t="s">
        <v>92</v>
      </c>
      <c r="F873" s="9" t="s">
        <v>17</v>
      </c>
      <c r="I873" s="105" t="s">
        <v>93</v>
      </c>
      <c r="L873" s="108"/>
      <c r="U873" s="189">
        <f>N855</f>
        <v>0</v>
      </c>
      <c r="V873" s="2">
        <v>40</v>
      </c>
      <c r="W873" s="2">
        <v>19.2</v>
      </c>
      <c r="X873" s="2">
        <v>20.3</v>
      </c>
      <c r="Y873" s="2">
        <v>21.3</v>
      </c>
      <c r="Z873" s="189">
        <v>22</v>
      </c>
      <c r="AA873" s="2">
        <v>22.6</v>
      </c>
      <c r="AB873" s="189">
        <v>21</v>
      </c>
      <c r="AC873" t="str">
        <f t="shared" si="197"/>
        <v/>
      </c>
      <c r="AE873" s="191">
        <f>N863</f>
        <v>0</v>
      </c>
      <c r="AF873" s="188">
        <v>40</v>
      </c>
      <c r="AG873" s="188">
        <v>37.799999999999997</v>
      </c>
      <c r="AH873" s="188"/>
      <c r="AI873" s="188"/>
      <c r="AJ873" s="188"/>
      <c r="AK873" s="188">
        <v>44.4</v>
      </c>
      <c r="AL873" s="188"/>
      <c r="AM873" s="24" t="str">
        <f t="shared" si="198"/>
        <v>Verbinder</v>
      </c>
      <c r="AN873" t="str">
        <f t="shared" si="195"/>
        <v/>
      </c>
    </row>
    <row r="874" spans="1:40">
      <c r="A874" s="44" t="s">
        <v>242</v>
      </c>
      <c r="B874" s="35">
        <v>1</v>
      </c>
      <c r="C874" s="66">
        <v>12</v>
      </c>
      <c r="D874" s="66">
        <v>49</v>
      </c>
      <c r="E874" s="65" t="e">
        <f>0.082*(1-0.01*C874)*$B$897/(1.35+0.015*C877)</f>
        <v>#N/A</v>
      </c>
      <c r="F874" s="65" t="e">
        <f t="shared" ref="F874:F881" si="199">B874*MIN(0.4*C874*D874*E874/1000,1.15/1000*SQRT(2*I874*E874*C874)+((0.52*SQRT(C874)*D874^0.9*$B$897^0.8)/1000)/4)</f>
        <v>#N/A</v>
      </c>
      <c r="G874" s="90" t="s">
        <v>243</v>
      </c>
      <c r="H874" s="90"/>
      <c r="I874" s="194">
        <f t="shared" ref="I874:I880" si="200">0.15*600*C874^2.6</f>
        <v>57559.067465202104</v>
      </c>
      <c r="L874" s="108"/>
      <c r="U874" s="2"/>
      <c r="V874" s="2">
        <v>50</v>
      </c>
      <c r="W874" s="2">
        <v>17.3</v>
      </c>
      <c r="X874" s="2">
        <v>18.3</v>
      </c>
      <c r="Y874" s="2">
        <v>19.2</v>
      </c>
      <c r="Z874" s="2">
        <v>19.8</v>
      </c>
      <c r="AA874" s="2">
        <v>20.399999999999999</v>
      </c>
      <c r="AB874" s="2">
        <v>18.899999999999999</v>
      </c>
      <c r="AC874" t="str">
        <f t="shared" si="197"/>
        <v/>
      </c>
      <c r="AE874" s="188"/>
      <c r="AF874" s="188">
        <v>50</v>
      </c>
      <c r="AG874" s="188">
        <v>34</v>
      </c>
      <c r="AH874" s="188"/>
      <c r="AI874" s="188"/>
      <c r="AJ874" s="188"/>
      <c r="AK874" s="188">
        <v>39.799999999999997</v>
      </c>
      <c r="AL874" s="188"/>
      <c r="AM874" s="24" t="str">
        <f t="shared" si="198"/>
        <v/>
      </c>
      <c r="AN874" t="str">
        <f t="shared" si="195"/>
        <v/>
      </c>
    </row>
    <row r="875" spans="1:40">
      <c r="A875" s="44" t="s">
        <v>244</v>
      </c>
      <c r="B875" s="35">
        <v>1</v>
      </c>
      <c r="C875" s="66">
        <v>12</v>
      </c>
      <c r="D875" s="66">
        <v>45</v>
      </c>
      <c r="E875" s="65" t="e">
        <f>0.082*(1-0.01*C875)*$B$897/(1.35+0.015*C875)</f>
        <v>#N/A</v>
      </c>
      <c r="F875" s="65" t="e">
        <f t="shared" si="199"/>
        <v>#N/A</v>
      </c>
      <c r="G875" s="90" t="s">
        <v>245</v>
      </c>
      <c r="H875" s="90"/>
      <c r="I875" s="194">
        <f t="shared" si="200"/>
        <v>57559.067465202104</v>
      </c>
      <c r="L875" s="108"/>
      <c r="U875" s="2"/>
      <c r="V875" s="2"/>
      <c r="W875" s="2"/>
      <c r="X875" s="2"/>
      <c r="Y875" s="2"/>
      <c r="Z875" s="2"/>
      <c r="AA875" s="2"/>
      <c r="AB875" s="2"/>
      <c r="AE875" s="188"/>
      <c r="AF875" s="188"/>
      <c r="AG875" s="188"/>
      <c r="AH875" s="188"/>
      <c r="AI875" s="188"/>
      <c r="AJ875" s="188"/>
      <c r="AK875" s="188"/>
      <c r="AL875" s="188"/>
      <c r="AM875" s="24"/>
    </row>
    <row r="876" spans="1:40">
      <c r="A876" s="44" t="s">
        <v>246</v>
      </c>
      <c r="B876" s="35">
        <v>1</v>
      </c>
      <c r="C876" s="66">
        <v>12</v>
      </c>
      <c r="D876" s="66">
        <v>49</v>
      </c>
      <c r="E876" s="65" t="e">
        <f>0.082*(1-0.01*C876)*$B$897</f>
        <v>#N/A</v>
      </c>
      <c r="F876" s="65" t="e">
        <f t="shared" si="199"/>
        <v>#N/A</v>
      </c>
      <c r="G876" s="90"/>
      <c r="H876" s="90"/>
      <c r="I876" s="194">
        <f t="shared" si="200"/>
        <v>57559.067465202104</v>
      </c>
      <c r="L876" s="108"/>
      <c r="U876" s="2"/>
      <c r="V876" s="2"/>
      <c r="W876" s="2"/>
      <c r="X876" s="2"/>
      <c r="Y876" s="2"/>
      <c r="Z876" s="2"/>
      <c r="AA876" s="2"/>
      <c r="AB876" s="2"/>
      <c r="AE876" s="188"/>
      <c r="AF876" s="188"/>
      <c r="AG876" s="188"/>
      <c r="AH876" s="188"/>
      <c r="AI876" s="188"/>
      <c r="AJ876" s="188"/>
      <c r="AK876" s="188"/>
      <c r="AL876" s="188"/>
      <c r="AM876" s="24"/>
    </row>
    <row r="877" spans="1:40">
      <c r="A877" s="44" t="s">
        <v>247</v>
      </c>
      <c r="B877" s="35">
        <v>1</v>
      </c>
      <c r="C877" s="66">
        <v>12</v>
      </c>
      <c r="D877" s="66">
        <v>49</v>
      </c>
      <c r="E877" s="65" t="e">
        <f>0.082*(1-0.01*C877)*$B$897</f>
        <v>#N/A</v>
      </c>
      <c r="F877" s="65" t="e">
        <f t="shared" si="199"/>
        <v>#N/A</v>
      </c>
      <c r="G877" s="90"/>
      <c r="H877" s="90"/>
      <c r="I877" s="194">
        <f t="shared" si="200"/>
        <v>57559.067465202104</v>
      </c>
      <c r="L877" s="108"/>
      <c r="U877" s="2"/>
      <c r="V877" s="2"/>
      <c r="W877" s="2"/>
      <c r="X877" s="2"/>
      <c r="Y877" s="2"/>
      <c r="Z877" s="2"/>
      <c r="AA877" s="2"/>
      <c r="AB877" s="2"/>
      <c r="AE877" s="188"/>
      <c r="AF877" s="188"/>
      <c r="AG877" s="188"/>
      <c r="AH877" s="188"/>
      <c r="AI877" s="188"/>
      <c r="AJ877" s="188"/>
      <c r="AK877" s="188"/>
      <c r="AL877" s="188"/>
      <c r="AM877" s="24"/>
    </row>
    <row r="878" spans="1:40">
      <c r="A878" s="44" t="s">
        <v>248</v>
      </c>
      <c r="B878" s="35">
        <v>1</v>
      </c>
      <c r="C878" s="66">
        <v>16</v>
      </c>
      <c r="D878" s="66">
        <v>46</v>
      </c>
      <c r="E878" s="65" t="e">
        <f>0.082*(1-0.01*C878)*$B$897/(1.35+0.015*C878)</f>
        <v>#N/A</v>
      </c>
      <c r="F878" s="65" t="e">
        <f t="shared" si="199"/>
        <v>#N/A</v>
      </c>
      <c r="G878" s="90" t="s">
        <v>243</v>
      </c>
      <c r="H878" s="90"/>
      <c r="I878" s="194">
        <f t="shared" si="200"/>
        <v>121605.84905682993</v>
      </c>
      <c r="L878" s="108"/>
      <c r="U878" s="2"/>
      <c r="V878" s="2">
        <v>60</v>
      </c>
      <c r="W878" s="2">
        <v>15.7</v>
      </c>
      <c r="X878" s="2">
        <v>16.600000000000001</v>
      </c>
      <c r="Y878" s="2">
        <v>17.399999999999999</v>
      </c>
      <c r="Z878" s="189">
        <v>18</v>
      </c>
      <c r="AA878" s="2">
        <v>18.5</v>
      </c>
      <c r="AB878" s="2">
        <v>17.2</v>
      </c>
      <c r="AC878" t="str">
        <f t="shared" si="197"/>
        <v/>
      </c>
      <c r="AE878" s="188"/>
      <c r="AF878" s="188">
        <v>60</v>
      </c>
      <c r="AG878" s="188">
        <v>30.8</v>
      </c>
      <c r="AH878" s="188"/>
      <c r="AI878" s="188"/>
      <c r="AJ878" s="188"/>
      <c r="AK878" s="188">
        <v>36</v>
      </c>
      <c r="AL878" s="188"/>
      <c r="AM878" s="24" t="str">
        <f t="shared" si="198"/>
        <v/>
      </c>
      <c r="AN878" t="str">
        <f t="shared" si="195"/>
        <v/>
      </c>
    </row>
    <row r="879" spans="1:40">
      <c r="A879" s="44" t="s">
        <v>249</v>
      </c>
      <c r="B879" s="35">
        <v>1</v>
      </c>
      <c r="C879" s="66">
        <v>16</v>
      </c>
      <c r="D879" s="66">
        <v>46</v>
      </c>
      <c r="E879" s="65" t="e">
        <f>0.082*(1-0.01*C879)*$B$897/(1.35+0.015*C879)</f>
        <v>#N/A</v>
      </c>
      <c r="F879" s="65" t="e">
        <f t="shared" si="199"/>
        <v>#N/A</v>
      </c>
      <c r="G879" s="90" t="s">
        <v>243</v>
      </c>
      <c r="H879" s="90"/>
      <c r="I879" s="194">
        <f>0.15*600*C879^2.6</f>
        <v>121605.84905682993</v>
      </c>
      <c r="L879" s="108"/>
      <c r="U879" s="2"/>
      <c r="V879" s="2"/>
      <c r="W879" s="2"/>
      <c r="X879" s="2"/>
      <c r="Y879" s="2"/>
      <c r="Z879" s="189"/>
      <c r="AA879" s="2"/>
      <c r="AB879" s="2"/>
      <c r="AE879" s="188"/>
      <c r="AF879" s="188"/>
      <c r="AG879" s="188"/>
      <c r="AH879" s="188"/>
      <c r="AI879" s="188"/>
      <c r="AJ879" s="188"/>
      <c r="AK879" s="188"/>
      <c r="AL879" s="188"/>
      <c r="AM879" s="24"/>
    </row>
    <row r="880" spans="1:40">
      <c r="A880" s="44" t="s">
        <v>250</v>
      </c>
      <c r="B880" s="35">
        <v>1</v>
      </c>
      <c r="C880" s="66">
        <v>16</v>
      </c>
      <c r="D880" s="66">
        <v>45</v>
      </c>
      <c r="E880" s="65" t="e">
        <f>0.082*(1-0.01*C880)*$B$897/(1.35+0.015*C880)</f>
        <v>#N/A</v>
      </c>
      <c r="F880" s="65" t="e">
        <f t="shared" si="199"/>
        <v>#N/A</v>
      </c>
      <c r="G880" s="90" t="s">
        <v>245</v>
      </c>
      <c r="H880" s="90"/>
      <c r="I880" s="194">
        <f t="shared" si="200"/>
        <v>121605.84905682993</v>
      </c>
      <c r="L880" s="108"/>
      <c r="U880" s="2"/>
      <c r="V880" s="2"/>
      <c r="W880" s="2"/>
      <c r="X880" s="2"/>
      <c r="Y880" s="2"/>
      <c r="Z880" s="189"/>
      <c r="AA880" s="2"/>
      <c r="AB880" s="2"/>
      <c r="AE880" s="188"/>
      <c r="AF880" s="188"/>
      <c r="AG880" s="188"/>
      <c r="AH880" s="188"/>
      <c r="AI880" s="188"/>
      <c r="AJ880" s="188"/>
      <c r="AK880" s="188"/>
      <c r="AL880" s="188"/>
      <c r="AM880" s="24"/>
    </row>
    <row r="881" spans="1:40">
      <c r="A881" s="44" t="s">
        <v>251</v>
      </c>
      <c r="B881" s="35">
        <v>1</v>
      </c>
      <c r="C881" s="66">
        <v>10</v>
      </c>
      <c r="D881" s="66">
        <v>60</v>
      </c>
      <c r="E881" s="65" t="e">
        <f>0.082*(1-0.01*C881)*$B$897/(1.35+0.015*C881)</f>
        <v>#N/A</v>
      </c>
      <c r="F881" s="65" t="e">
        <f t="shared" si="199"/>
        <v>#N/A</v>
      </c>
      <c r="G881" s="90" t="s">
        <v>243</v>
      </c>
      <c r="H881" s="90"/>
      <c r="I881" s="194">
        <v>35000</v>
      </c>
      <c r="L881" s="108"/>
      <c r="U881" s="2"/>
      <c r="V881" s="2"/>
      <c r="W881" s="2"/>
      <c r="X881" s="2"/>
      <c r="Y881" s="2"/>
      <c r="Z881" s="189"/>
      <c r="AA881" s="2"/>
      <c r="AB881" s="2"/>
      <c r="AE881" s="188"/>
      <c r="AF881" s="188"/>
      <c r="AG881" s="188"/>
      <c r="AH881" s="188"/>
      <c r="AI881" s="188"/>
      <c r="AJ881" s="188"/>
      <c r="AK881" s="188"/>
      <c r="AL881" s="188"/>
      <c r="AM881" s="24"/>
    </row>
    <row r="882" spans="1:40">
      <c r="A882" s="44" t="s">
        <v>252</v>
      </c>
      <c r="B882" s="35">
        <v>1</v>
      </c>
      <c r="C882" s="66">
        <v>16</v>
      </c>
      <c r="D882" s="66">
        <v>46</v>
      </c>
      <c r="E882" s="65" t="e">
        <f>0.082*(1-0.01*C882)*$B$897</f>
        <v>#N/A</v>
      </c>
      <c r="F882" s="65" t="e">
        <f>B882*MIN(0.4*C882*D882*E882/1000,1.15/1000*SQRT(2*I883*E882*C882)+((0.52*SQRT(C882)*D882^0.9*$B$897^0.8)/1000)/4)</f>
        <v>#N/A</v>
      </c>
      <c r="G882" s="90"/>
      <c r="H882" s="90"/>
      <c r="I882" s="194">
        <f>0.15*600*C883^2.6</f>
        <v>121605.84905682993</v>
      </c>
      <c r="L882" s="108"/>
      <c r="U882" s="2"/>
      <c r="V882" s="2"/>
      <c r="W882" s="2"/>
      <c r="X882" s="2"/>
      <c r="Y882" s="2"/>
      <c r="Z882" s="189"/>
      <c r="AA882" s="2"/>
      <c r="AB882" s="2"/>
      <c r="AE882" s="188"/>
      <c r="AF882" s="188"/>
      <c r="AG882" s="188"/>
      <c r="AH882" s="188"/>
      <c r="AI882" s="188"/>
      <c r="AJ882" s="188"/>
      <c r="AK882" s="188"/>
      <c r="AL882" s="188"/>
      <c r="AM882" s="24"/>
    </row>
    <row r="883" spans="1:40">
      <c r="A883" s="44" t="s">
        <v>253</v>
      </c>
      <c r="B883" s="35">
        <v>1</v>
      </c>
      <c r="C883" s="66">
        <v>16</v>
      </c>
      <c r="D883" s="66">
        <v>46</v>
      </c>
      <c r="E883" s="65" t="e">
        <f>0.082*(1-0.01*C883)*$B$897</f>
        <v>#N/A</v>
      </c>
      <c r="F883" s="65" t="e">
        <f>B883*MIN(0.4*C883*D883*E883/1000,1.15/1000*SQRT(2*I882*E883*C883)+((0.52*SQRT(C883)*D883^0.9*$B$897^0.8)/1000)/4)</f>
        <v>#N/A</v>
      </c>
      <c r="G883" s="90"/>
      <c r="H883" s="90"/>
      <c r="I883" s="194">
        <f>0.15*600*C882^2.6</f>
        <v>121605.84905682993</v>
      </c>
      <c r="L883" s="108"/>
      <c r="U883" s="2"/>
      <c r="V883" s="2"/>
      <c r="W883" s="2"/>
      <c r="X883" s="2"/>
      <c r="Y883" s="2"/>
      <c r="Z883" s="189"/>
      <c r="AA883" s="2"/>
      <c r="AB883" s="2"/>
      <c r="AE883" s="188"/>
      <c r="AF883" s="188"/>
      <c r="AG883" s="188"/>
      <c r="AH883" s="188"/>
      <c r="AI883" s="188"/>
      <c r="AJ883" s="188"/>
      <c r="AK883" s="188"/>
      <c r="AL883" s="188"/>
      <c r="AM883" s="24"/>
    </row>
    <row r="884" spans="1:40">
      <c r="B884" s="90"/>
      <c r="C884" s="90"/>
      <c r="D884" s="90"/>
      <c r="E884" s="90"/>
      <c r="F884" s="90"/>
      <c r="G884" s="90"/>
      <c r="H884" s="90"/>
      <c r="I884" s="90"/>
      <c r="L884" s="3"/>
      <c r="U884" s="2"/>
      <c r="V884" s="2">
        <v>70</v>
      </c>
      <c r="W884" s="2">
        <v>14.4</v>
      </c>
      <c r="X884" s="2">
        <v>15.2</v>
      </c>
      <c r="Y884" s="189">
        <v>16</v>
      </c>
      <c r="Z884" s="2">
        <v>16.399999999999999</v>
      </c>
      <c r="AA884" s="2">
        <v>16.899999999999999</v>
      </c>
      <c r="AB884" s="2">
        <v>15.7</v>
      </c>
      <c r="AC884" t="str">
        <f t="shared" si="197"/>
        <v/>
      </c>
      <c r="AE884" s="188"/>
      <c r="AF884" s="188">
        <v>70</v>
      </c>
      <c r="AG884" s="188">
        <v>28.2</v>
      </c>
      <c r="AH884" s="188"/>
      <c r="AI884" s="188"/>
      <c r="AJ884" s="188"/>
      <c r="AK884" s="188">
        <v>32.9</v>
      </c>
      <c r="AL884" s="188"/>
      <c r="AM884" s="24" t="str">
        <f t="shared" si="198"/>
        <v/>
      </c>
      <c r="AN884" t="str">
        <f t="shared" si="195"/>
        <v/>
      </c>
    </row>
    <row r="885" spans="1:40" ht="18">
      <c r="A885" s="4" t="s">
        <v>2</v>
      </c>
      <c r="B885" s="113" t="s">
        <v>43</v>
      </c>
      <c r="C885" s="113" t="s">
        <v>9</v>
      </c>
      <c r="D885" s="113" t="s">
        <v>111</v>
      </c>
      <c r="E885" s="113" t="s">
        <v>112</v>
      </c>
      <c r="F885" s="113" t="s">
        <v>80</v>
      </c>
      <c r="G885" s="113" t="s">
        <v>113</v>
      </c>
      <c r="H885" s="113" t="s">
        <v>114</v>
      </c>
      <c r="I885" s="90"/>
      <c r="AE885" s="24"/>
      <c r="AF885" s="24"/>
      <c r="AG885" s="24"/>
      <c r="AH885" s="24"/>
      <c r="AI885" s="24"/>
      <c r="AJ885" s="24"/>
      <c r="AK885" s="24"/>
      <c r="AL885" s="24"/>
      <c r="AM885" s="24"/>
    </row>
    <row r="886" spans="1:40">
      <c r="A886" s="8"/>
      <c r="B886" s="47" t="s">
        <v>19</v>
      </c>
      <c r="C886" s="47" t="s">
        <v>18</v>
      </c>
      <c r="D886" s="47" t="s">
        <v>93</v>
      </c>
      <c r="E886" s="47" t="s">
        <v>92</v>
      </c>
      <c r="F886" s="47" t="s">
        <v>18</v>
      </c>
      <c r="G886" s="47" t="s">
        <v>17</v>
      </c>
      <c r="H886" s="47" t="s">
        <v>17</v>
      </c>
      <c r="I886" s="90"/>
      <c r="AE886" s="24"/>
      <c r="AF886" s="24"/>
      <c r="AG886" s="24"/>
      <c r="AH886" s="24"/>
      <c r="AI886" s="24"/>
      <c r="AJ886" s="24"/>
      <c r="AK886" s="24"/>
      <c r="AL886" s="24"/>
      <c r="AM886" s="24"/>
    </row>
    <row r="887" spans="1:40">
      <c r="A887" s="44" t="s">
        <v>254</v>
      </c>
      <c r="B887" s="35">
        <v>2</v>
      </c>
      <c r="C887" s="66">
        <v>6</v>
      </c>
      <c r="D887" s="66">
        <v>6300</v>
      </c>
      <c r="E887" s="65" t="e">
        <f>(0.082)*$B$897*C887^-0.3</f>
        <v>#N/A</v>
      </c>
      <c r="F887" s="66">
        <v>44</v>
      </c>
      <c r="G887" s="195" t="e">
        <f>(0.52*SQRT(C887)*44^0.9*$B$897^0.8)/1200</f>
        <v>#N/A</v>
      </c>
      <c r="H887" s="65" t="e">
        <f t="shared" ref="H887:H894" si="201">B887*MIN((2.3*SQRT(C887*D887*E887))/1000+G887/4,E887*C887*F887/1000,E887*C887*F887/1000*(SQRT(2+4*D887/(C887*E887*F887^2))-1)+G887/4)</f>
        <v>#N/A</v>
      </c>
      <c r="I887" s="90" t="s">
        <v>255</v>
      </c>
      <c r="U887" s="2"/>
      <c r="V887" s="2" t="s">
        <v>256</v>
      </c>
      <c r="W887" s="2">
        <v>350</v>
      </c>
      <c r="X887" s="2">
        <v>380</v>
      </c>
      <c r="Y887" s="2">
        <v>410</v>
      </c>
      <c r="Z887" s="2">
        <v>430</v>
      </c>
      <c r="AA887" s="2">
        <v>450</v>
      </c>
      <c r="AB887" s="2">
        <v>400</v>
      </c>
      <c r="AC887" s="2"/>
      <c r="AE887" s="188"/>
      <c r="AF887" s="188" t="s">
        <v>257</v>
      </c>
      <c r="AG887" s="188">
        <v>350</v>
      </c>
      <c r="AH887" s="188">
        <v>380</v>
      </c>
      <c r="AI887" s="188">
        <v>410</v>
      </c>
      <c r="AJ887" s="188">
        <v>430</v>
      </c>
      <c r="AK887" s="188">
        <v>450</v>
      </c>
      <c r="AL887" s="188">
        <v>400</v>
      </c>
      <c r="AM887" s="188"/>
    </row>
    <row r="888" spans="1:40">
      <c r="A888" s="44" t="s">
        <v>246</v>
      </c>
      <c r="B888" s="35">
        <v>2</v>
      </c>
      <c r="C888" s="66">
        <v>6</v>
      </c>
      <c r="D888" s="66">
        <v>6300</v>
      </c>
      <c r="E888" s="65" t="e">
        <f>(0.033+0)*$B$897*C888^-0.3</f>
        <v>#N/A</v>
      </c>
      <c r="F888" s="66">
        <v>44</v>
      </c>
      <c r="G888" s="195" t="e">
        <f>(0.52*SQRT(C888)*44^0.9*$B$897^0.8)/1200</f>
        <v>#N/A</v>
      </c>
      <c r="H888" s="65" t="e">
        <f t="shared" si="201"/>
        <v>#N/A</v>
      </c>
      <c r="I888" s="90"/>
      <c r="U888" s="2"/>
      <c r="V888" s="2"/>
      <c r="W888" s="2"/>
      <c r="X888" s="2"/>
      <c r="Y888" s="2"/>
      <c r="Z888" s="2"/>
      <c r="AA888" s="2"/>
      <c r="AB888" s="2"/>
      <c r="AC888" s="2"/>
      <c r="AE888" s="188"/>
      <c r="AF888" s="188"/>
      <c r="AG888" s="188"/>
      <c r="AH888" s="188"/>
      <c r="AI888" s="188"/>
      <c r="AJ888" s="188"/>
      <c r="AK888" s="188"/>
      <c r="AL888" s="188"/>
      <c r="AM888" s="188"/>
    </row>
    <row r="889" spans="1:40">
      <c r="A889" s="44" t="s">
        <v>247</v>
      </c>
      <c r="B889" s="35">
        <v>2</v>
      </c>
      <c r="C889" s="66">
        <v>6</v>
      </c>
      <c r="D889" s="66">
        <v>6300</v>
      </c>
      <c r="E889" s="65" t="e">
        <f>(0.082)*$B$897*C889^-0.3</f>
        <v>#N/A</v>
      </c>
      <c r="F889" s="66">
        <v>44</v>
      </c>
      <c r="G889" s="195" t="e">
        <f>(0.52*SQRT(C889)*44^0.9*$B$897^0.8)/1000</f>
        <v>#N/A</v>
      </c>
      <c r="H889" s="65" t="e">
        <f t="shared" si="201"/>
        <v>#N/A</v>
      </c>
      <c r="I889" s="90"/>
      <c r="U889" s="2"/>
      <c r="V889" s="2"/>
      <c r="W889" s="2"/>
      <c r="X889" s="2"/>
      <c r="Y889" s="2"/>
      <c r="Z889" s="2"/>
      <c r="AA889" s="2"/>
      <c r="AB889" s="2"/>
      <c r="AC889" s="2"/>
      <c r="AE889" s="188"/>
      <c r="AF889" s="188"/>
      <c r="AG889" s="188"/>
      <c r="AH889" s="188"/>
      <c r="AI889" s="188"/>
      <c r="AJ889" s="188"/>
      <c r="AK889" s="188"/>
      <c r="AL889" s="188"/>
      <c r="AM889" s="188"/>
    </row>
    <row r="890" spans="1:40">
      <c r="A890" s="44" t="s">
        <v>248</v>
      </c>
      <c r="B890" s="35">
        <v>2</v>
      </c>
      <c r="C890" s="66">
        <v>10</v>
      </c>
      <c r="D890" s="66">
        <v>23900</v>
      </c>
      <c r="E890" s="65" t="e">
        <f>(0.082+0)*$B$897*C890^-0.3</f>
        <v>#N/A</v>
      </c>
      <c r="F890" s="66">
        <v>54</v>
      </c>
      <c r="G890" s="65" t="e">
        <f>(0.52*SQRT(C890)*50^0.9*$B$897^0.8)/1200</f>
        <v>#N/A</v>
      </c>
      <c r="H890" s="65" t="e">
        <f t="shared" si="201"/>
        <v>#N/A</v>
      </c>
      <c r="I890" s="90" t="s">
        <v>243</v>
      </c>
      <c r="U890" s="105"/>
      <c r="V890" s="189">
        <v>10</v>
      </c>
      <c r="W890" s="105">
        <v>28.2</v>
      </c>
      <c r="X890" s="188">
        <v>29.8</v>
      </c>
      <c r="Y890" s="188">
        <v>31.4</v>
      </c>
      <c r="Z890" s="188">
        <v>32.5</v>
      </c>
      <c r="AA890" s="188">
        <v>33.5</v>
      </c>
      <c r="AB890" s="188">
        <v>30.9</v>
      </c>
      <c r="AC890" t="str">
        <f>IF(MAX(W890:AB890)/1.3&gt;U$897,"Verbinder","")</f>
        <v/>
      </c>
      <c r="AE890" s="105"/>
      <c r="AF890" s="191">
        <v>10</v>
      </c>
      <c r="AG890" s="105">
        <v>66.5</v>
      </c>
      <c r="AH890" s="188"/>
      <c r="AI890" s="188"/>
      <c r="AJ890" s="188"/>
      <c r="AK890" s="188">
        <v>78.7</v>
      </c>
      <c r="AL890" s="188"/>
      <c r="AM890" s="24" t="str">
        <f>IF(MAX(AG890:AL890)/1.3&gt;AE$897,"Verbinder","")</f>
        <v>Verbinder</v>
      </c>
      <c r="AN890" t="str">
        <f t="shared" si="195"/>
        <v/>
      </c>
    </row>
    <row r="891" spans="1:40">
      <c r="A891" s="44" t="s">
        <v>249</v>
      </c>
      <c r="B891" s="35">
        <v>2</v>
      </c>
      <c r="C891" s="66">
        <v>6</v>
      </c>
      <c r="D891" s="66">
        <v>6300</v>
      </c>
      <c r="E891" s="65" t="e">
        <f>(0.082+0)*$B$897*C891^-0.3</f>
        <v>#N/A</v>
      </c>
      <c r="F891" s="66">
        <v>44</v>
      </c>
      <c r="G891" s="65" t="e">
        <f>(0.52*SQRT(C891)*50^0.9*$B$897^0.8)/1200</f>
        <v>#N/A</v>
      </c>
      <c r="H891" s="65" t="e">
        <f>B891*MIN((2.3*SQRT(C891*D891*E891))/1000+G891/4,E891*C891*F891/1000,E891*C891*F891/1000*(SQRT(2+4*D891/(C891*E891*F891^2))-1)+G891/4)</f>
        <v>#N/A</v>
      </c>
      <c r="I891" s="90" t="s">
        <v>243</v>
      </c>
      <c r="U891" s="105"/>
      <c r="V891" s="189"/>
      <c r="W891" s="105"/>
      <c r="X891" s="188"/>
      <c r="Y891" s="188"/>
      <c r="Z891" s="188"/>
      <c r="AA891" s="188"/>
      <c r="AB891" s="188"/>
      <c r="AE891" s="105"/>
      <c r="AF891" s="191"/>
      <c r="AG891" s="105"/>
      <c r="AH891" s="188"/>
      <c r="AI891" s="188"/>
      <c r="AJ891" s="188"/>
      <c r="AK891" s="188"/>
      <c r="AL891" s="188"/>
      <c r="AM891" s="24"/>
    </row>
    <row r="892" spans="1:40">
      <c r="A892" s="44" t="s">
        <v>250</v>
      </c>
      <c r="B892" s="35">
        <v>2</v>
      </c>
      <c r="C892" s="66">
        <v>10</v>
      </c>
      <c r="D892" s="66">
        <v>23900</v>
      </c>
      <c r="E892" s="65" t="e">
        <f>(0.082+0)*$B$897*C892^-0.3</f>
        <v>#N/A</v>
      </c>
      <c r="F892" s="66">
        <v>45</v>
      </c>
      <c r="G892" s="65" t="e">
        <f>(0.52*SQRT(C892)*50^0.9*$B$897^0.8)/1200</f>
        <v>#N/A</v>
      </c>
      <c r="H892" s="65" t="e">
        <f t="shared" si="201"/>
        <v>#N/A</v>
      </c>
      <c r="I892" s="90" t="s">
        <v>245</v>
      </c>
      <c r="U892" s="105"/>
      <c r="V892" s="189"/>
      <c r="W892" s="105"/>
      <c r="X892" s="188"/>
      <c r="Y892" s="188"/>
      <c r="Z892" s="188"/>
      <c r="AA892" s="188"/>
      <c r="AB892" s="188"/>
      <c r="AE892" s="105"/>
      <c r="AF892" s="191"/>
      <c r="AG892" s="105"/>
      <c r="AH892" s="188"/>
      <c r="AI892" s="188"/>
      <c r="AJ892" s="188"/>
      <c r="AK892" s="188"/>
      <c r="AL892" s="188"/>
      <c r="AM892" s="24"/>
    </row>
    <row r="893" spans="1:40">
      <c r="A893" s="44" t="s">
        <v>252</v>
      </c>
      <c r="B893" s="35">
        <v>2</v>
      </c>
      <c r="C893" s="66">
        <v>10</v>
      </c>
      <c r="D893" s="66">
        <v>23900</v>
      </c>
      <c r="E893" s="65" t="e">
        <f>(0.082+0)*$B$897*C893^-0.3</f>
        <v>#N/A</v>
      </c>
      <c r="F893" s="66">
        <v>54</v>
      </c>
      <c r="G893" s="65" t="e">
        <f>(0.52*SQRT(C893)*50^0.9*$B$897^0.8)/1000</f>
        <v>#N/A</v>
      </c>
      <c r="H893" s="65" t="e">
        <f t="shared" si="201"/>
        <v>#N/A</v>
      </c>
      <c r="I893" s="90"/>
      <c r="U893" s="105"/>
      <c r="V893" s="189"/>
      <c r="W893" s="105"/>
      <c r="X893" s="188"/>
      <c r="Y893" s="188"/>
      <c r="Z893" s="188"/>
      <c r="AA893" s="188"/>
      <c r="AB893" s="188"/>
      <c r="AE893" s="105"/>
      <c r="AF893" s="191"/>
      <c r="AG893" s="105"/>
      <c r="AH893" s="188"/>
      <c r="AI893" s="188"/>
      <c r="AJ893" s="188"/>
      <c r="AK893" s="188"/>
      <c r="AL893" s="188"/>
      <c r="AM893" s="24"/>
    </row>
    <row r="894" spans="1:40">
      <c r="A894" s="44" t="s">
        <v>253</v>
      </c>
      <c r="B894" s="35">
        <v>2</v>
      </c>
      <c r="C894" s="66">
        <v>10</v>
      </c>
      <c r="D894" s="66">
        <v>23900</v>
      </c>
      <c r="E894" s="65" t="e">
        <f>(0.033+0)*$B$897*C894^-0.3</f>
        <v>#N/A</v>
      </c>
      <c r="F894" s="66">
        <v>54</v>
      </c>
      <c r="G894" s="65" t="e">
        <f>(0.52*SQRT(C894)*50^0.9*$B$897^0.8)/1200</f>
        <v>#N/A</v>
      </c>
      <c r="H894" s="65" t="e">
        <f t="shared" si="201"/>
        <v>#N/A</v>
      </c>
      <c r="I894" s="90"/>
      <c r="U894" s="105"/>
      <c r="V894" s="189"/>
      <c r="W894" s="105"/>
      <c r="X894" s="188"/>
      <c r="Y894" s="188"/>
      <c r="Z894" s="188"/>
      <c r="AA894" s="188"/>
      <c r="AB894" s="188"/>
      <c r="AE894" s="105"/>
      <c r="AF894" s="191"/>
      <c r="AG894" s="105"/>
      <c r="AH894" s="188"/>
      <c r="AI894" s="188"/>
      <c r="AJ894" s="188"/>
      <c r="AK894" s="188"/>
      <c r="AL894" s="188"/>
      <c r="AM894" s="24"/>
    </row>
    <row r="895" spans="1:40">
      <c r="A895" s="3"/>
      <c r="B895" s="121"/>
      <c r="C895" s="122"/>
      <c r="D895" s="122"/>
      <c r="E895" s="123"/>
      <c r="F895" s="122"/>
      <c r="G895" s="123"/>
      <c r="H895" s="123"/>
      <c r="I895" s="90"/>
      <c r="U895" s="105"/>
      <c r="V895" s="189"/>
      <c r="W895" s="105"/>
      <c r="X895" s="188"/>
      <c r="Y895" s="188"/>
      <c r="Z895" s="188"/>
      <c r="AA895" s="188"/>
      <c r="AB895" s="188"/>
      <c r="AE895" s="105"/>
      <c r="AF895" s="191"/>
      <c r="AG895" s="105"/>
      <c r="AH895" s="188"/>
      <c r="AI895" s="188"/>
      <c r="AJ895" s="188"/>
      <c r="AK895" s="188"/>
      <c r="AL895" s="188"/>
      <c r="AM895" s="24"/>
    </row>
    <row r="896" spans="1:40">
      <c r="A896" s="21" t="s">
        <v>37</v>
      </c>
      <c r="B896" s="22" t="s">
        <v>28</v>
      </c>
      <c r="U896" s="2"/>
      <c r="V896" s="2">
        <v>20</v>
      </c>
      <c r="W896" s="188">
        <v>25.3</v>
      </c>
      <c r="X896" s="188">
        <v>26.7</v>
      </c>
      <c r="Y896" s="188">
        <v>28.1</v>
      </c>
      <c r="Z896" s="191">
        <v>29</v>
      </c>
      <c r="AA896" s="188">
        <v>29.9</v>
      </c>
      <c r="AB896" s="188">
        <v>27.7</v>
      </c>
      <c r="AC896" t="str">
        <f t="shared" ref="AC896:AC901" si="202">IF(MAX(W896:AB896)/1.3&gt;U$897,"Verbinder","")</f>
        <v/>
      </c>
      <c r="AE896" s="188"/>
      <c r="AF896" s="188">
        <v>20</v>
      </c>
      <c r="AG896" s="188">
        <v>58.7</v>
      </c>
      <c r="AH896" s="188"/>
      <c r="AI896" s="188"/>
      <c r="AJ896" s="188"/>
      <c r="AK896" s="188">
        <v>69.2</v>
      </c>
      <c r="AL896" s="188"/>
      <c r="AM896" s="24" t="str">
        <f t="shared" ref="AM896:AM901" si="203">IF(MAX(AG896:AL896)/1.3&gt;AE$897,"Verbinder","")</f>
        <v>Verbinder</v>
      </c>
      <c r="AN896" t="str">
        <f t="shared" si="195"/>
        <v/>
      </c>
    </row>
    <row r="897" spans="1:40" ht="18">
      <c r="A897" s="23" t="s">
        <v>39</v>
      </c>
      <c r="B897" s="24" t="e">
        <f>VLOOKUP(B896,$V$7:$W$16,2,FALSE)</f>
        <v>#N/A</v>
      </c>
      <c r="C897" t="s">
        <v>40</v>
      </c>
      <c r="F897" s="24"/>
      <c r="G897" s="24"/>
      <c r="H897" s="24"/>
      <c r="I897" s="24"/>
      <c r="J897" s="24"/>
      <c r="K897" s="24"/>
      <c r="U897" s="2">
        <v>34</v>
      </c>
      <c r="V897" s="2">
        <v>30</v>
      </c>
      <c r="W897" s="188">
        <v>22.8</v>
      </c>
      <c r="X897" s="188">
        <v>24.1</v>
      </c>
      <c r="Y897" s="188">
        <v>25.3</v>
      </c>
      <c r="Z897" s="188">
        <v>26.1</v>
      </c>
      <c r="AA897" s="188">
        <v>26.9</v>
      </c>
      <c r="AB897" s="188">
        <v>24.9</v>
      </c>
      <c r="AC897" t="str">
        <f t="shared" si="202"/>
        <v/>
      </c>
      <c r="AE897" s="188">
        <v>34</v>
      </c>
      <c r="AF897" s="188">
        <v>30</v>
      </c>
      <c r="AG897" s="188">
        <v>52.2</v>
      </c>
      <c r="AH897" s="188"/>
      <c r="AI897" s="188"/>
      <c r="AJ897" s="188"/>
      <c r="AK897" s="188">
        <v>61.4</v>
      </c>
      <c r="AL897" s="188"/>
      <c r="AM897" s="24" t="str">
        <f t="shared" si="203"/>
        <v>Verbinder</v>
      </c>
      <c r="AN897" t="str">
        <f t="shared" si="195"/>
        <v/>
      </c>
    </row>
    <row r="898" spans="1:40">
      <c r="A898" s="23"/>
      <c r="E898" s="24"/>
      <c r="F898" s="24"/>
      <c r="H898" s="24"/>
      <c r="I898" s="24"/>
      <c r="J898" s="24"/>
      <c r="K898" s="24"/>
      <c r="U898" s="189">
        <f>N856</f>
        <v>0</v>
      </c>
      <c r="V898" s="2">
        <v>40</v>
      </c>
      <c r="W898" s="188">
        <v>20.7</v>
      </c>
      <c r="X898" s="188">
        <v>21.8</v>
      </c>
      <c r="Y898" s="191">
        <v>23</v>
      </c>
      <c r="Z898" s="188">
        <v>23.7</v>
      </c>
      <c r="AA898" s="188">
        <v>24.4</v>
      </c>
      <c r="AB898" s="188">
        <v>22.6</v>
      </c>
      <c r="AC898" t="str">
        <f t="shared" si="202"/>
        <v/>
      </c>
      <c r="AE898" s="191">
        <f>N864</f>
        <v>0</v>
      </c>
      <c r="AF898" s="188">
        <v>40</v>
      </c>
      <c r="AG898" s="188">
        <v>46.9</v>
      </c>
      <c r="AH898" s="188"/>
      <c r="AI898" s="188"/>
      <c r="AJ898" s="188"/>
      <c r="AK898" s="188">
        <v>55</v>
      </c>
      <c r="AL898" s="188"/>
      <c r="AM898" s="24" t="str">
        <f t="shared" si="203"/>
        <v>Verbinder</v>
      </c>
      <c r="AN898" t="str">
        <f t="shared" si="195"/>
        <v/>
      </c>
    </row>
    <row r="899" spans="1:40" ht="15.75" thickBot="1">
      <c r="A899" s="23"/>
      <c r="B899" s="77"/>
      <c r="E899" t="s">
        <v>72</v>
      </c>
      <c r="H899" s="24"/>
      <c r="I899" s="24"/>
      <c r="J899" s="24"/>
      <c r="K899" s="24"/>
      <c r="U899" s="2"/>
      <c r="V899" s="2">
        <v>50</v>
      </c>
      <c r="W899" s="188">
        <v>18.899999999999999</v>
      </c>
      <c r="X899" s="188">
        <v>19.899999999999999</v>
      </c>
      <c r="Y899" s="191">
        <v>21</v>
      </c>
      <c r="Z899" s="188">
        <v>21.6</v>
      </c>
      <c r="AA899" s="188">
        <v>22.2</v>
      </c>
      <c r="AB899" s="188">
        <v>20.6</v>
      </c>
      <c r="AC899" t="str">
        <f t="shared" si="202"/>
        <v/>
      </c>
      <c r="AE899" s="188"/>
      <c r="AF899" s="188">
        <v>50</v>
      </c>
      <c r="AG899" s="188">
        <v>42.4</v>
      </c>
      <c r="AH899" s="188"/>
      <c r="AI899" s="188"/>
      <c r="AJ899" s="188"/>
      <c r="AK899" s="188">
        <v>49.7</v>
      </c>
      <c r="AL899" s="188"/>
      <c r="AM899" s="24" t="str">
        <f t="shared" si="203"/>
        <v>Verbinder</v>
      </c>
      <c r="AN899" t="str">
        <f t="shared" si="195"/>
        <v/>
      </c>
    </row>
    <row r="900" spans="1:40" ht="18">
      <c r="A900" s="4" t="s">
        <v>2</v>
      </c>
      <c r="B900" s="78" t="s">
        <v>121</v>
      </c>
      <c r="C900" s="78" t="s">
        <v>164</v>
      </c>
      <c r="D900" s="78" t="s">
        <v>258</v>
      </c>
      <c r="E900" s="79" t="s">
        <v>165</v>
      </c>
      <c r="F900" s="79" t="s">
        <v>259</v>
      </c>
      <c r="G900" s="685" t="s">
        <v>260</v>
      </c>
      <c r="H900" s="196" t="s">
        <v>94</v>
      </c>
      <c r="I900" s="197"/>
      <c r="J900" s="197"/>
      <c r="K900" s="197"/>
      <c r="L900" s="198"/>
      <c r="M900" s="199" t="s">
        <v>261</v>
      </c>
      <c r="N900" s="197"/>
      <c r="O900" s="197"/>
      <c r="P900" s="198"/>
      <c r="Q900" s="200" t="s">
        <v>229</v>
      </c>
      <c r="R900" s="201"/>
      <c r="S900" s="201"/>
      <c r="T900" s="202"/>
      <c r="U900" s="2"/>
      <c r="V900" s="2">
        <v>60</v>
      </c>
      <c r="W900" s="188">
        <v>17.399999999999999</v>
      </c>
      <c r="X900" s="188">
        <v>18.3</v>
      </c>
      <c r="Y900" s="188">
        <v>19.2</v>
      </c>
      <c r="Z900" s="188">
        <v>19.8</v>
      </c>
      <c r="AA900" s="188">
        <v>20.399999999999999</v>
      </c>
      <c r="AB900" s="188">
        <v>18.899999999999999</v>
      </c>
      <c r="AC900" t="str">
        <f t="shared" si="202"/>
        <v/>
      </c>
      <c r="AE900" s="188"/>
      <c r="AF900" s="188">
        <v>60</v>
      </c>
      <c r="AG900" s="188">
        <v>38.700000000000003</v>
      </c>
      <c r="AH900" s="188"/>
      <c r="AI900" s="188"/>
      <c r="AJ900" s="188"/>
      <c r="AK900" s="188">
        <v>45.3</v>
      </c>
      <c r="AL900" s="188"/>
      <c r="AM900" s="24" t="str">
        <f t="shared" si="203"/>
        <v>Verbinder</v>
      </c>
      <c r="AN900" t="str">
        <f t="shared" si="195"/>
        <v/>
      </c>
    </row>
    <row r="901" spans="1:40">
      <c r="A901" s="8"/>
      <c r="B901" s="81" t="s">
        <v>17</v>
      </c>
      <c r="C901" s="82" t="s">
        <v>17</v>
      </c>
      <c r="D901" s="82" t="s">
        <v>17</v>
      </c>
      <c r="E901" s="83" t="s">
        <v>17</v>
      </c>
      <c r="F901" s="83" t="s">
        <v>262</v>
      </c>
      <c r="G901" s="685"/>
      <c r="H901" s="28"/>
      <c r="I901" s="27">
        <v>0.6</v>
      </c>
      <c r="J901" s="27">
        <v>0.7</v>
      </c>
      <c r="K901" s="27">
        <v>0.8</v>
      </c>
      <c r="L901" s="27">
        <v>0.9</v>
      </c>
      <c r="M901" s="110">
        <v>0.6</v>
      </c>
      <c r="N901" s="27">
        <v>0.7</v>
      </c>
      <c r="O901" s="27">
        <v>0.8</v>
      </c>
      <c r="P901" s="29">
        <v>0.9</v>
      </c>
      <c r="Q901" s="203">
        <v>0.6</v>
      </c>
      <c r="R901" s="178">
        <v>0.7</v>
      </c>
      <c r="S901" s="178">
        <v>0.8</v>
      </c>
      <c r="T901" s="178">
        <v>0.9</v>
      </c>
      <c r="U901" s="2"/>
      <c r="V901" s="2">
        <v>70</v>
      </c>
      <c r="W901" s="189">
        <v>16</v>
      </c>
      <c r="X901" s="2">
        <v>16.899999999999999</v>
      </c>
      <c r="Y901" s="2">
        <v>17.8</v>
      </c>
      <c r="Z901" s="2">
        <v>18.3</v>
      </c>
      <c r="AA901" s="2">
        <v>18.8</v>
      </c>
      <c r="AB901" s="2">
        <v>17.5</v>
      </c>
      <c r="AC901" t="str">
        <f t="shared" si="202"/>
        <v/>
      </c>
      <c r="AE901" s="188"/>
      <c r="AF901" s="188">
        <v>70</v>
      </c>
      <c r="AG901" s="188">
        <v>35.5</v>
      </c>
      <c r="AH901" s="188"/>
      <c r="AI901" s="188"/>
      <c r="AJ901" s="188"/>
      <c r="AK901" s="188">
        <v>41.5</v>
      </c>
      <c r="AL901" s="188"/>
      <c r="AM901" s="24" t="str">
        <f t="shared" si="203"/>
        <v/>
      </c>
      <c r="AN901" t="str">
        <f t="shared" si="195"/>
        <v/>
      </c>
    </row>
    <row r="902" spans="1:40">
      <c r="A902" s="44" t="s">
        <v>242</v>
      </c>
      <c r="B902" s="16" t="e">
        <f t="shared" ref="B902:B911" si="204">F874</f>
        <v>#N/A</v>
      </c>
      <c r="C902" s="16">
        <v>17</v>
      </c>
      <c r="D902" s="16" t="e">
        <f>H887</f>
        <v>#N/A</v>
      </c>
      <c r="E902" s="204" t="e">
        <f t="shared" ref="E902:E911" si="205">MIN(B902,C902,D902)</f>
        <v>#N/A</v>
      </c>
      <c r="F902" s="205" t="e">
        <f t="shared" ref="F902:F911" si="206">E902*0.9/1.3</f>
        <v>#N/A</v>
      </c>
      <c r="H902" s="28">
        <v>350</v>
      </c>
      <c r="I902" s="30">
        <v>1.7919189140271494</v>
      </c>
      <c r="J902" s="30">
        <v>2.0905720663650076</v>
      </c>
      <c r="K902" s="30">
        <v>2.3892252187028662</v>
      </c>
      <c r="L902" s="30">
        <v>2.6878783710407244</v>
      </c>
      <c r="M902" s="206">
        <v>2.0602017997097244</v>
      </c>
      <c r="N902" s="207">
        <v>2.4035687663280116</v>
      </c>
      <c r="O902" s="207">
        <v>2.7469357329462993</v>
      </c>
      <c r="P902" s="208">
        <v>3.0903026995645866</v>
      </c>
      <c r="Q902" s="209" t="e">
        <f>MIN(Q$901*$B902/1.3,$C902/1,Q$901*$D902/1.3)</f>
        <v>#N/A</v>
      </c>
      <c r="R902" s="88" t="e">
        <f>MIN(R$901*$B902/1.3,$C902/1,R$901*$D902/1.3)</f>
        <v>#N/A</v>
      </c>
      <c r="S902" s="88" t="e">
        <f>MIN(S$901*$B902/1.3,$C902/1,S$901*$D902/1.3)</f>
        <v>#N/A</v>
      </c>
      <c r="T902" s="88" t="e">
        <f>MIN(T$901*$B902/1.3,$C902/1,T$901*$D902/1.3)</f>
        <v>#N/A</v>
      </c>
      <c r="AE902" s="24"/>
      <c r="AF902" s="24"/>
      <c r="AG902" s="24"/>
      <c r="AH902" s="24"/>
      <c r="AI902" s="24"/>
      <c r="AJ902" s="24"/>
      <c r="AK902" s="24"/>
      <c r="AL902" s="24"/>
      <c r="AM902" s="24"/>
    </row>
    <row r="903" spans="1:40">
      <c r="A903" s="44" t="s">
        <v>244</v>
      </c>
      <c r="B903" s="16" t="e">
        <f t="shared" si="204"/>
        <v>#N/A</v>
      </c>
      <c r="C903" s="16">
        <v>17</v>
      </c>
      <c r="D903" s="16" t="e">
        <f t="shared" ref="D903:D908" si="207">H887</f>
        <v>#N/A</v>
      </c>
      <c r="E903" s="204" t="e">
        <f t="shared" si="205"/>
        <v>#N/A</v>
      </c>
      <c r="F903" s="205" t="e">
        <f t="shared" si="206"/>
        <v>#N/A</v>
      </c>
      <c r="G903" s="38" t="e">
        <f>F903/F902</f>
        <v>#N/A</v>
      </c>
      <c r="H903" s="28">
        <v>380</v>
      </c>
      <c r="I903" s="30">
        <v>1.9455119638009055</v>
      </c>
      <c r="J903" s="30">
        <v>2.2697639577677231</v>
      </c>
      <c r="K903" s="30">
        <v>2.5940159517345407</v>
      </c>
      <c r="L903" s="30">
        <v>2.9182679457013583</v>
      </c>
      <c r="M903" s="206">
        <v>2.2367905253991291</v>
      </c>
      <c r="N903" s="207">
        <v>2.6095889462989836</v>
      </c>
      <c r="O903" s="207">
        <v>2.982387367198839</v>
      </c>
      <c r="P903" s="208">
        <v>3.3551857880986939</v>
      </c>
      <c r="Q903" s="209" t="e">
        <f>MIN(Q$901*$B906/1.3,$C906/1,Q$901*$D906/1.3)</f>
        <v>#N/A</v>
      </c>
      <c r="R903" s="88" t="e">
        <f>MIN(R$901*$B906/1.3,$C906/1,R$901*$D906/1.3)</f>
        <v>#N/A</v>
      </c>
      <c r="S903" s="88" t="e">
        <f>MIN(S$901*$B906/1.3,$C906/1,S$901*$D906/1.3)</f>
        <v>#N/A</v>
      </c>
      <c r="T903" s="88" t="e">
        <f>MIN(T$901*$B906/1.3,$C906/1,T$901*$D906/1.3)</f>
        <v>#N/A</v>
      </c>
      <c r="AE903" s="24"/>
      <c r="AF903" s="24"/>
      <c r="AG903" s="24"/>
      <c r="AH903" s="24"/>
      <c r="AI903" s="24"/>
      <c r="AJ903" s="24"/>
      <c r="AK903" s="24"/>
      <c r="AL903" s="24"/>
      <c r="AM903" s="24"/>
    </row>
    <row r="904" spans="1:40">
      <c r="A904" s="44" t="s">
        <v>246</v>
      </c>
      <c r="B904" s="16" t="e">
        <f t="shared" si="204"/>
        <v>#N/A</v>
      </c>
      <c r="C904" s="16">
        <v>17</v>
      </c>
      <c r="D904" s="16" t="e">
        <f t="shared" si="207"/>
        <v>#N/A</v>
      </c>
      <c r="E904" s="96" t="e">
        <f t="shared" si="205"/>
        <v>#N/A</v>
      </c>
      <c r="F904" s="205" t="e">
        <f t="shared" si="206"/>
        <v>#N/A</v>
      </c>
      <c r="H904" s="28">
        <v>410</v>
      </c>
      <c r="I904" s="30">
        <v>2.0991050135746607</v>
      </c>
      <c r="J904" s="30">
        <v>2.4489558491704377</v>
      </c>
      <c r="K904" s="30">
        <v>2.7988066847662147</v>
      </c>
      <c r="L904" s="30">
        <v>3.1486575203619913</v>
      </c>
      <c r="M904" s="206">
        <v>2.4133792510885339</v>
      </c>
      <c r="N904" s="207">
        <v>2.8156091262699561</v>
      </c>
      <c r="O904" s="207">
        <v>3.2178390014513791</v>
      </c>
      <c r="P904" s="208">
        <v>3.6200688766328009</v>
      </c>
      <c r="U904" s="191">
        <f>U916</f>
        <v>430</v>
      </c>
      <c r="V904" s="2" t="s">
        <v>263</v>
      </c>
      <c r="W904" s="2">
        <v>350</v>
      </c>
      <c r="X904" s="2">
        <v>380</v>
      </c>
      <c r="Y904" s="2">
        <v>410</v>
      </c>
      <c r="Z904" s="2">
        <v>430</v>
      </c>
      <c r="AA904" s="2">
        <v>450</v>
      </c>
      <c r="AB904" s="2">
        <v>400</v>
      </c>
      <c r="AC904" s="2"/>
      <c r="AE904" s="188"/>
      <c r="AF904" s="188" t="s">
        <v>264</v>
      </c>
      <c r="AG904" s="188">
        <v>350</v>
      </c>
      <c r="AH904" s="188">
        <v>380</v>
      </c>
      <c r="AI904" s="188">
        <v>410</v>
      </c>
      <c r="AJ904" s="188">
        <v>430</v>
      </c>
      <c r="AK904" s="188">
        <v>450</v>
      </c>
      <c r="AL904" s="188">
        <v>400</v>
      </c>
      <c r="AM904" s="188"/>
    </row>
    <row r="905" spans="1:40" ht="15.75" thickBot="1">
      <c r="A905" s="210" t="s">
        <v>247</v>
      </c>
      <c r="B905" s="211" t="e">
        <f t="shared" si="204"/>
        <v>#N/A</v>
      </c>
      <c r="C905" s="211">
        <v>17</v>
      </c>
      <c r="D905" s="211" t="e">
        <f t="shared" si="207"/>
        <v>#N/A</v>
      </c>
      <c r="E905" s="212" t="e">
        <f t="shared" si="205"/>
        <v>#N/A</v>
      </c>
      <c r="F905" s="213" t="e">
        <f t="shared" si="206"/>
        <v>#N/A</v>
      </c>
      <c r="H905" s="28">
        <v>430</v>
      </c>
      <c r="I905" s="30">
        <v>2.2015003800904984</v>
      </c>
      <c r="J905" s="30">
        <v>2.5684171101055813</v>
      </c>
      <c r="K905" s="30">
        <v>2.9353338401206646</v>
      </c>
      <c r="L905" s="30">
        <v>3.3022505701357474</v>
      </c>
      <c r="M905" s="206">
        <v>2.5311050682148037</v>
      </c>
      <c r="N905" s="207">
        <v>2.9529559129172713</v>
      </c>
      <c r="O905" s="207">
        <v>3.3748067576197389</v>
      </c>
      <c r="P905" s="208">
        <v>3.7966576023222061</v>
      </c>
      <c r="U905" s="105">
        <f>U917</f>
        <v>100</v>
      </c>
      <c r="V905" s="189">
        <v>10</v>
      </c>
      <c r="W905" s="105"/>
      <c r="X905" s="188"/>
      <c r="Y905" s="188"/>
      <c r="Z905" s="188"/>
      <c r="AA905" s="188"/>
      <c r="AB905" s="188"/>
      <c r="AC905" t="str">
        <f t="shared" ref="AC905:AC914" si="208">IF(MAX(W905:AB905)/1.3&gt;U$907,"Verbinder","")</f>
        <v/>
      </c>
      <c r="AE905" s="105"/>
      <c r="AF905" s="191">
        <v>10</v>
      </c>
      <c r="AG905" s="105">
        <v>86.6</v>
      </c>
      <c r="AH905" s="188"/>
      <c r="AI905" s="188"/>
      <c r="AJ905" s="188"/>
      <c r="AK905" s="188">
        <v>101.9</v>
      </c>
      <c r="AL905" s="188"/>
      <c r="AM905" s="24" t="str">
        <f t="shared" ref="AM905:AM914" si="209">IF(MAX(AG905:AL905)/1.3&gt;AE$907,"Verbinder","")</f>
        <v>Verbinder</v>
      </c>
      <c r="AN905" t="str">
        <f t="shared" ref="AN905:AN914" si="210">IF(OR(AG905&lt;W905,AK905&lt;AA905),"ACHTUNG","")</f>
        <v/>
      </c>
    </row>
    <row r="906" spans="1:40">
      <c r="A906" s="8" t="s">
        <v>248</v>
      </c>
      <c r="B906" s="214" t="e">
        <f t="shared" si="204"/>
        <v>#N/A</v>
      </c>
      <c r="C906" s="214">
        <v>17</v>
      </c>
      <c r="D906" s="214" t="e">
        <f t="shared" si="207"/>
        <v>#N/A</v>
      </c>
      <c r="E906" s="215" t="e">
        <f t="shared" si="205"/>
        <v>#N/A</v>
      </c>
      <c r="F906" s="216" t="e">
        <f t="shared" si="206"/>
        <v>#N/A</v>
      </c>
      <c r="H906" s="28">
        <v>450</v>
      </c>
      <c r="I906" s="30">
        <v>2.3038957466063352</v>
      </c>
      <c r="J906" s="30">
        <v>2.6878783710407244</v>
      </c>
      <c r="K906" s="30">
        <v>3.0718609954751135</v>
      </c>
      <c r="L906" s="30">
        <v>3.4558436199095031</v>
      </c>
      <c r="M906" s="206">
        <v>2.648830885341074</v>
      </c>
      <c r="N906" s="207">
        <v>3.0903026995645861</v>
      </c>
      <c r="O906" s="207">
        <v>3.5317745137880991</v>
      </c>
      <c r="P906" s="208">
        <v>3.9732463280116108</v>
      </c>
      <c r="U906" s="2"/>
      <c r="V906" s="2">
        <v>20</v>
      </c>
      <c r="W906" s="188"/>
      <c r="X906" s="188"/>
      <c r="Y906" s="188"/>
      <c r="Z906" s="188"/>
      <c r="AA906" s="188"/>
      <c r="AB906" s="188"/>
      <c r="AC906" t="str">
        <f t="shared" si="208"/>
        <v/>
      </c>
      <c r="AE906" s="188"/>
      <c r="AF906" s="188">
        <v>20</v>
      </c>
      <c r="AG906" s="188">
        <v>74.900000000000006</v>
      </c>
      <c r="AH906" s="188"/>
      <c r="AI906" s="188"/>
      <c r="AJ906" s="188"/>
      <c r="AK906" s="188">
        <v>87.9</v>
      </c>
      <c r="AL906" s="188"/>
      <c r="AM906" s="24" t="str">
        <f t="shared" si="209"/>
        <v>Verbinder</v>
      </c>
      <c r="AN906" t="str">
        <f t="shared" si="210"/>
        <v/>
      </c>
    </row>
    <row r="907" spans="1:40">
      <c r="A907" s="8" t="s">
        <v>248</v>
      </c>
      <c r="B907" s="214" t="e">
        <f t="shared" si="204"/>
        <v>#N/A</v>
      </c>
      <c r="C907" s="214">
        <v>18</v>
      </c>
      <c r="D907" s="214" t="e">
        <f t="shared" si="207"/>
        <v>#N/A</v>
      </c>
      <c r="E907" s="217" t="e">
        <f t="shared" si="205"/>
        <v>#N/A</v>
      </c>
      <c r="F907" s="216" t="e">
        <f t="shared" si="206"/>
        <v>#N/A</v>
      </c>
      <c r="G907" s="38" t="e">
        <f>F908/F906</f>
        <v>#N/A</v>
      </c>
      <c r="H907" s="28">
        <v>400</v>
      </c>
      <c r="I907" s="30">
        <v>2.0479073303167423</v>
      </c>
      <c r="J907" s="30">
        <v>2.3892252187028657</v>
      </c>
      <c r="K907" s="30">
        <v>2.7305431070889901</v>
      </c>
      <c r="L907" s="30">
        <v>3.0718609954751135</v>
      </c>
      <c r="M907" s="206">
        <v>2.354516342525399</v>
      </c>
      <c r="N907" s="207">
        <v>2.7469357329462989</v>
      </c>
      <c r="O907" s="207">
        <v>3.1393551233671988</v>
      </c>
      <c r="P907" s="208">
        <v>3.5317745137880991</v>
      </c>
      <c r="U907" s="2">
        <v>50</v>
      </c>
      <c r="V907" s="2">
        <v>30</v>
      </c>
      <c r="W907" s="188"/>
      <c r="X907" s="188"/>
      <c r="Y907" s="188"/>
      <c r="Z907" s="188"/>
      <c r="AA907" s="188"/>
      <c r="AB907" s="188"/>
      <c r="AC907" t="str">
        <f t="shared" si="208"/>
        <v/>
      </c>
      <c r="AE907" s="188">
        <v>50</v>
      </c>
      <c r="AF907" s="188">
        <v>30</v>
      </c>
      <c r="AG907" s="188">
        <v>65.7</v>
      </c>
      <c r="AH907" s="188"/>
      <c r="AI907" s="188"/>
      <c r="AJ907" s="188"/>
      <c r="AK907" s="188">
        <v>76.900000000000006</v>
      </c>
      <c r="AL907" s="188"/>
      <c r="AM907" s="24" t="str">
        <f t="shared" si="209"/>
        <v>Verbinder</v>
      </c>
      <c r="AN907" t="str">
        <f t="shared" si="210"/>
        <v/>
      </c>
    </row>
    <row r="908" spans="1:40">
      <c r="A908" s="8" t="s">
        <v>250</v>
      </c>
      <c r="B908" s="214" t="e">
        <f t="shared" si="204"/>
        <v>#N/A</v>
      </c>
      <c r="C908" s="214">
        <v>17</v>
      </c>
      <c r="D908" s="214" t="e">
        <f t="shared" si="207"/>
        <v>#N/A</v>
      </c>
      <c r="E908" s="217" t="e">
        <f t="shared" si="205"/>
        <v>#N/A</v>
      </c>
      <c r="F908" s="216" t="e">
        <f t="shared" si="206"/>
        <v>#N/A</v>
      </c>
      <c r="G908" s="38" t="e">
        <f>E909/E906</f>
        <v>#N/A</v>
      </c>
      <c r="H908" s="218" t="s">
        <v>107</v>
      </c>
      <c r="I908" s="219"/>
      <c r="J908" s="219"/>
      <c r="K908" s="219"/>
      <c r="L908" s="220"/>
      <c r="M908" s="218" t="s">
        <v>265</v>
      </c>
      <c r="N908" s="219"/>
      <c r="O908" s="219"/>
      <c r="P908" s="220"/>
      <c r="U908" s="189">
        <f>N857</f>
        <v>0</v>
      </c>
      <c r="V908" s="2">
        <v>40</v>
      </c>
      <c r="W908" s="188">
        <v>29.7</v>
      </c>
      <c r="X908" s="188">
        <v>31.3</v>
      </c>
      <c r="Y908" s="188">
        <v>32.799999999999997</v>
      </c>
      <c r="Z908" s="188">
        <v>33.799999999999997</v>
      </c>
      <c r="AA908" s="188">
        <v>34.799999999999997</v>
      </c>
      <c r="AB908" s="188">
        <v>32.299999999999997</v>
      </c>
      <c r="AC908" t="str">
        <f t="shared" si="208"/>
        <v/>
      </c>
      <c r="AE908" s="191">
        <f>N865</f>
        <v>0</v>
      </c>
      <c r="AF908" s="188">
        <v>40</v>
      </c>
      <c r="AG908" s="188">
        <v>58.3</v>
      </c>
      <c r="AH908" s="188"/>
      <c r="AI908" s="188"/>
      <c r="AJ908" s="188"/>
      <c r="AK908" s="188">
        <v>68.2</v>
      </c>
      <c r="AL908" s="188"/>
      <c r="AM908" s="24" t="str">
        <f t="shared" si="209"/>
        <v>Verbinder</v>
      </c>
      <c r="AN908" t="str">
        <f t="shared" si="210"/>
        <v/>
      </c>
    </row>
    <row r="909" spans="1:40">
      <c r="A909" s="8" t="s">
        <v>251</v>
      </c>
      <c r="B909" s="214" t="e">
        <f t="shared" si="204"/>
        <v>#N/A</v>
      </c>
      <c r="C909" s="214">
        <v>17</v>
      </c>
      <c r="D909" s="214" t="e">
        <f>H890</f>
        <v>#N/A</v>
      </c>
      <c r="E909" s="217" t="e">
        <f t="shared" si="205"/>
        <v>#N/A</v>
      </c>
      <c r="F909" s="216" t="e">
        <f t="shared" si="206"/>
        <v>#N/A</v>
      </c>
      <c r="H909" s="26">
        <v>350</v>
      </c>
      <c r="I909" s="30">
        <v>1.6442900535804326</v>
      </c>
      <c r="J909" s="30">
        <v>1.918338395843838</v>
      </c>
      <c r="K909" s="30">
        <v>2.1923867381072437</v>
      </c>
      <c r="L909" s="30">
        <v>2.466435080370649</v>
      </c>
      <c r="M909" s="206">
        <v>2.0602017997097244</v>
      </c>
      <c r="N909" s="207">
        <v>2.4035687663280116</v>
      </c>
      <c r="O909" s="207">
        <v>2.7469357329462993</v>
      </c>
      <c r="P909" s="208">
        <v>3.0903026995645866</v>
      </c>
      <c r="U909" s="2"/>
      <c r="V909" s="2">
        <v>50</v>
      </c>
      <c r="W909" s="188">
        <v>26.8</v>
      </c>
      <c r="X909" s="188">
        <v>28.2</v>
      </c>
      <c r="Y909" s="188">
        <v>29.5</v>
      </c>
      <c r="Z909" s="188">
        <v>30.4</v>
      </c>
      <c r="AA909" s="188">
        <v>31.3</v>
      </c>
      <c r="AB909" s="188">
        <v>29.1</v>
      </c>
      <c r="AC909" t="str">
        <f t="shared" si="208"/>
        <v/>
      </c>
      <c r="AE909" s="188"/>
      <c r="AF909" s="188">
        <v>50</v>
      </c>
      <c r="AG909" s="188">
        <v>52.3</v>
      </c>
      <c r="AH909" s="188"/>
      <c r="AI909" s="188"/>
      <c r="AJ909" s="188"/>
      <c r="AK909" s="188">
        <v>61.1</v>
      </c>
      <c r="AL909" s="188"/>
      <c r="AM909" s="24" t="str">
        <f t="shared" si="209"/>
        <v/>
      </c>
      <c r="AN909" t="str">
        <f t="shared" si="210"/>
        <v/>
      </c>
    </row>
    <row r="910" spans="1:40">
      <c r="A910" s="44" t="s">
        <v>252</v>
      </c>
      <c r="B910" s="16" t="e">
        <f t="shared" si="204"/>
        <v>#N/A</v>
      </c>
      <c r="C910" s="16">
        <v>17</v>
      </c>
      <c r="D910" s="16" t="e">
        <f>H893</f>
        <v>#N/A</v>
      </c>
      <c r="E910" s="204" t="e">
        <f t="shared" si="205"/>
        <v>#N/A</v>
      </c>
      <c r="F910" s="205" t="e">
        <f t="shared" si="206"/>
        <v>#N/A</v>
      </c>
      <c r="H910" s="26">
        <v>380</v>
      </c>
      <c r="I910" s="30">
        <v>1.7750161885589089</v>
      </c>
      <c r="J910" s="30">
        <v>2.0708522199853934</v>
      </c>
      <c r="K910" s="30">
        <v>2.3666882514118788</v>
      </c>
      <c r="L910" s="30">
        <v>2.6625242828383633</v>
      </c>
      <c r="M910" s="206">
        <v>2.2367905253991291</v>
      </c>
      <c r="N910" s="207">
        <v>2.6095889462989836</v>
      </c>
      <c r="O910" s="207">
        <v>2.982387367198839</v>
      </c>
      <c r="P910" s="208">
        <v>3.3551857880986939</v>
      </c>
      <c r="U910" s="2"/>
      <c r="V910" s="2">
        <v>60</v>
      </c>
      <c r="W910" s="188">
        <v>24.3</v>
      </c>
      <c r="X910" s="188">
        <v>25.6</v>
      </c>
      <c r="Y910" s="188">
        <v>26.8</v>
      </c>
      <c r="Z910" s="188">
        <v>27.6</v>
      </c>
      <c r="AA910" s="188">
        <v>28.4</v>
      </c>
      <c r="AB910" s="188">
        <v>26.4</v>
      </c>
      <c r="AC910" t="str">
        <f t="shared" si="208"/>
        <v/>
      </c>
      <c r="AE910" s="188"/>
      <c r="AF910" s="188">
        <v>60</v>
      </c>
      <c r="AG910" s="188">
        <v>47.4</v>
      </c>
      <c r="AH910" s="188"/>
      <c r="AI910" s="188"/>
      <c r="AJ910" s="188"/>
      <c r="AK910" s="188">
        <v>55.3</v>
      </c>
      <c r="AL910" s="188"/>
      <c r="AM910" s="24" t="str">
        <f t="shared" si="209"/>
        <v/>
      </c>
      <c r="AN910" t="str">
        <f t="shared" si="210"/>
        <v/>
      </c>
    </row>
    <row r="911" spans="1:40">
      <c r="A911" s="44" t="s">
        <v>253</v>
      </c>
      <c r="B911" s="16" t="e">
        <f t="shared" si="204"/>
        <v>#N/A</v>
      </c>
      <c r="C911" s="16">
        <v>17</v>
      </c>
      <c r="D911" s="16" t="e">
        <f>H894</f>
        <v>#N/A</v>
      </c>
      <c r="E911" s="204" t="e">
        <f t="shared" si="205"/>
        <v>#N/A</v>
      </c>
      <c r="F911" s="205" t="e">
        <f t="shared" si="206"/>
        <v>#N/A</v>
      </c>
      <c r="H911" s="26">
        <v>410</v>
      </c>
      <c r="I911" s="30">
        <v>1.8874296643708826</v>
      </c>
      <c r="J911" s="30">
        <v>2.2020012750993629</v>
      </c>
      <c r="K911" s="30">
        <v>2.5165728858278436</v>
      </c>
      <c r="L911" s="30">
        <v>2.8311444965563237</v>
      </c>
      <c r="M911" s="206">
        <v>2.4133792510885339</v>
      </c>
      <c r="N911" s="207">
        <v>2.8156091262699561</v>
      </c>
      <c r="O911" s="207">
        <v>3.2178390014513791</v>
      </c>
      <c r="P911" s="208">
        <v>3.6200688766328009</v>
      </c>
      <c r="U911" s="2"/>
      <c r="V911" s="2">
        <v>70</v>
      </c>
      <c r="W911" s="188">
        <v>22.2</v>
      </c>
      <c r="X911" s="188">
        <v>23.4</v>
      </c>
      <c r="Y911" s="188">
        <v>24.5</v>
      </c>
      <c r="Z911" s="188">
        <v>25.2</v>
      </c>
      <c r="AA911" s="188">
        <v>25.9</v>
      </c>
      <c r="AB911" s="188">
        <v>24.1</v>
      </c>
      <c r="AC911" t="str">
        <f t="shared" si="208"/>
        <v/>
      </c>
      <c r="AE911" s="188"/>
      <c r="AF911" s="188">
        <v>70</v>
      </c>
      <c r="AG911" s="188">
        <v>43.1</v>
      </c>
      <c r="AH911" s="188"/>
      <c r="AI911" s="188"/>
      <c r="AJ911" s="188"/>
      <c r="AK911" s="188">
        <v>50.5</v>
      </c>
      <c r="AL911" s="188"/>
      <c r="AM911" s="24" t="str">
        <f t="shared" si="209"/>
        <v/>
      </c>
      <c r="AN911" t="str">
        <f t="shared" si="210"/>
        <v/>
      </c>
    </row>
    <row r="912" spans="1:40">
      <c r="A912" s="221" t="s">
        <v>266</v>
      </c>
      <c r="B912" s="168" t="e">
        <f>F878</f>
        <v>#N/A</v>
      </c>
      <c r="C912" s="16">
        <v>8</v>
      </c>
      <c r="D912" s="16" t="e">
        <f>H890</f>
        <v>#N/A</v>
      </c>
      <c r="E912" s="44"/>
      <c r="F912" s="44"/>
      <c r="H912" s="26">
        <v>430</v>
      </c>
      <c r="I912" s="30">
        <v>1.9619026096722081</v>
      </c>
      <c r="J912" s="30">
        <v>2.2888863779509094</v>
      </c>
      <c r="K912" s="30">
        <v>2.6158701462296108</v>
      </c>
      <c r="L912" s="30">
        <v>2.9428539145083121</v>
      </c>
      <c r="M912" s="206">
        <v>2.5311050682148037</v>
      </c>
      <c r="N912" s="207">
        <v>2.9529559129172713</v>
      </c>
      <c r="O912" s="207">
        <v>3.3748067576197389</v>
      </c>
      <c r="P912" s="208">
        <v>3.7966576023222061</v>
      </c>
      <c r="V912" s="2">
        <v>80</v>
      </c>
      <c r="W912" s="188">
        <v>20.3</v>
      </c>
      <c r="X912" s="188">
        <v>21.5</v>
      </c>
      <c r="Y912" s="188">
        <v>22.5</v>
      </c>
      <c r="Z912" s="188">
        <v>23.2</v>
      </c>
      <c r="AA912" s="188">
        <v>23.9</v>
      </c>
      <c r="AB912" s="188">
        <v>22.2</v>
      </c>
      <c r="AC912" t="str">
        <f t="shared" si="208"/>
        <v/>
      </c>
      <c r="AE912" s="24"/>
      <c r="AF912" s="2">
        <v>80</v>
      </c>
      <c r="AG912" s="188">
        <v>39.4</v>
      </c>
      <c r="AH912" s="24"/>
      <c r="AI912" s="24"/>
      <c r="AJ912" s="24"/>
      <c r="AK912" s="188">
        <v>46.4</v>
      </c>
      <c r="AL912" s="24"/>
      <c r="AM912" s="24" t="str">
        <f t="shared" si="209"/>
        <v/>
      </c>
      <c r="AN912" t="str">
        <f t="shared" si="210"/>
        <v/>
      </c>
    </row>
    <row r="913" spans="8:40">
      <c r="H913" s="26">
        <v>450</v>
      </c>
      <c r="I913" s="30">
        <v>2.0360266190490766</v>
      </c>
      <c r="J913" s="30">
        <v>2.3753643888905889</v>
      </c>
      <c r="K913" s="30">
        <v>2.7147021587321021</v>
      </c>
      <c r="L913" s="30">
        <v>3.0540399285736148</v>
      </c>
      <c r="M913" s="206">
        <v>2.648830885341074</v>
      </c>
      <c r="N913" s="207">
        <v>3.0903026995645861</v>
      </c>
      <c r="O913" s="207">
        <v>3.5317745137880991</v>
      </c>
      <c r="P913" s="208">
        <v>3.9732463280116108</v>
      </c>
      <c r="V913" s="2">
        <v>90</v>
      </c>
      <c r="W913" s="188">
        <v>18.8</v>
      </c>
      <c r="X913" s="188">
        <v>19.8</v>
      </c>
      <c r="Y913" s="188">
        <v>20.9</v>
      </c>
      <c r="Z913" s="188">
        <v>21.5</v>
      </c>
      <c r="AA913" s="188">
        <v>22.1</v>
      </c>
      <c r="AB913" s="188">
        <v>20.5</v>
      </c>
      <c r="AC913" t="str">
        <f t="shared" si="208"/>
        <v/>
      </c>
      <c r="AE913" s="24"/>
      <c r="AF913" s="2">
        <v>90</v>
      </c>
      <c r="AG913" s="188">
        <v>36.4</v>
      </c>
      <c r="AH913" s="24"/>
      <c r="AI913" s="24"/>
      <c r="AJ913" s="24"/>
      <c r="AK913" s="188">
        <v>42.9</v>
      </c>
      <c r="AL913" s="24"/>
      <c r="AM913" s="24" t="str">
        <f t="shared" si="209"/>
        <v/>
      </c>
      <c r="AN913" t="str">
        <f t="shared" si="210"/>
        <v/>
      </c>
    </row>
    <row r="914" spans="8:40">
      <c r="H914" s="26">
        <v>400</v>
      </c>
      <c r="I914" s="30">
        <v>1.8500554390179289</v>
      </c>
      <c r="J914" s="30">
        <v>2.1583980121875839</v>
      </c>
      <c r="K914" s="30">
        <v>2.4667405853572393</v>
      </c>
      <c r="L914" s="30">
        <v>2.7750831585268938</v>
      </c>
      <c r="M914" s="206">
        <v>2.354516342525399</v>
      </c>
      <c r="N914" s="207">
        <v>2.7469357329462989</v>
      </c>
      <c r="O914" s="207">
        <v>3.1393551233671988</v>
      </c>
      <c r="P914" s="208">
        <v>3.5317745137880991</v>
      </c>
      <c r="V914" s="2">
        <v>100</v>
      </c>
      <c r="W914" s="188">
        <v>17.399999999999999</v>
      </c>
      <c r="X914" s="188">
        <v>18.399999999999999</v>
      </c>
      <c r="Y914" s="188">
        <v>19.399999999999999</v>
      </c>
      <c r="Z914" s="191">
        <v>20</v>
      </c>
      <c r="AA914" s="188">
        <v>20.6</v>
      </c>
      <c r="AB914" s="191">
        <v>19</v>
      </c>
      <c r="AC914" t="str">
        <f t="shared" si="208"/>
        <v/>
      </c>
      <c r="AF914" s="2">
        <v>100</v>
      </c>
      <c r="AG914" s="188">
        <v>33.700000000000003</v>
      </c>
      <c r="AK914" s="188">
        <v>39.9</v>
      </c>
      <c r="AM914" s="24" t="str">
        <f t="shared" si="209"/>
        <v/>
      </c>
      <c r="AN914" t="str">
        <f t="shared" si="210"/>
        <v/>
      </c>
    </row>
    <row r="915" spans="8:40">
      <c r="H915" s="218" t="s">
        <v>117</v>
      </c>
      <c r="I915" s="219"/>
      <c r="J915" s="219"/>
      <c r="K915" s="219"/>
      <c r="L915" s="220"/>
      <c r="M915" s="218" t="s">
        <v>267</v>
      </c>
      <c r="N915" s="219"/>
      <c r="O915" s="219"/>
      <c r="P915" s="220"/>
    </row>
    <row r="916" spans="8:40">
      <c r="H916" s="26">
        <v>350</v>
      </c>
      <c r="I916" s="30">
        <v>2.6509364716215797</v>
      </c>
      <c r="J916" s="30">
        <v>3.0927592168918432</v>
      </c>
      <c r="K916" s="30">
        <v>3.5345819621621062</v>
      </c>
      <c r="L916" s="30">
        <v>3.9764047074323701</v>
      </c>
      <c r="M916" s="206">
        <v>3.2757208615384621</v>
      </c>
      <c r="N916" s="207">
        <v>3.8216743384615386</v>
      </c>
      <c r="O916" s="207">
        <v>4.3676278153846164</v>
      </c>
      <c r="P916" s="208">
        <v>4.9135812923076925</v>
      </c>
      <c r="U916" s="191">
        <f>U928</f>
        <v>430</v>
      </c>
      <c r="V916" s="2" t="s">
        <v>268</v>
      </c>
      <c r="W916" s="188">
        <v>350</v>
      </c>
      <c r="X916" s="188">
        <v>380</v>
      </c>
      <c r="Y916" s="188">
        <v>410</v>
      </c>
      <c r="Z916" s="188">
        <v>430</v>
      </c>
      <c r="AA916" s="188">
        <v>450</v>
      </c>
      <c r="AB916" s="188">
        <v>400</v>
      </c>
      <c r="AC916" s="188"/>
      <c r="AE916" s="188"/>
      <c r="AF916" s="188" t="s">
        <v>269</v>
      </c>
      <c r="AG916" s="188">
        <v>350</v>
      </c>
      <c r="AH916" s="188">
        <v>380</v>
      </c>
      <c r="AI916" s="188">
        <v>410</v>
      </c>
      <c r="AJ916" s="188">
        <v>430</v>
      </c>
      <c r="AK916" s="188">
        <v>450</v>
      </c>
      <c r="AL916" s="188">
        <v>400</v>
      </c>
      <c r="AM916" s="188"/>
    </row>
    <row r="917" spans="8:40">
      <c r="H917" s="26">
        <v>380</v>
      </c>
      <c r="I917" s="30">
        <v>2.7872182718405405</v>
      </c>
      <c r="J917" s="30">
        <v>3.2517546504806307</v>
      </c>
      <c r="K917" s="30">
        <v>3.716291029120721</v>
      </c>
      <c r="L917" s="30">
        <v>4.1808274077608116</v>
      </c>
      <c r="M917" s="206">
        <v>3.5564969353846152</v>
      </c>
      <c r="N917" s="207">
        <v>4.1492464246153844</v>
      </c>
      <c r="O917" s="207">
        <v>4.7419959138461545</v>
      </c>
      <c r="P917" s="208">
        <v>5.3347454030769228</v>
      </c>
      <c r="U917" s="105">
        <f>U929</f>
        <v>100</v>
      </c>
      <c r="V917" s="189">
        <v>10</v>
      </c>
      <c r="W917" s="105"/>
      <c r="X917" s="188"/>
      <c r="Y917" s="188"/>
      <c r="Z917" s="188"/>
      <c r="AA917" s="188"/>
      <c r="AB917" s="188"/>
      <c r="AC917" s="24" t="str">
        <f t="shared" ref="AC917:AC926" si="211">IF(MAX(W917:AB917)/1.3&gt;U$919,"Verbinder","")</f>
        <v/>
      </c>
      <c r="AE917" s="105"/>
      <c r="AF917" s="191">
        <v>10</v>
      </c>
      <c r="AG917" s="105">
        <v>103.7</v>
      </c>
      <c r="AH917" s="188"/>
      <c r="AI917" s="188"/>
      <c r="AJ917" s="188"/>
      <c r="AK917" s="188">
        <v>122</v>
      </c>
      <c r="AL917" s="188"/>
      <c r="AM917" s="24" t="str">
        <f t="shared" ref="AM917:AM926" si="212">IF(MAX(AG917:AL917)/1.3&gt;AE$919,"Verbinder","")</f>
        <v>Verbinder</v>
      </c>
      <c r="AN917" t="str">
        <f t="shared" ref="AN917:AN926" si="213">IF(OR(AG917&lt;W917,AK917&lt;AA917),"ACHTUNG","")</f>
        <v/>
      </c>
    </row>
    <row r="918" spans="8:40">
      <c r="H918" s="26">
        <v>410</v>
      </c>
      <c r="I918" s="30">
        <v>2.9197259223199348</v>
      </c>
      <c r="J918" s="30">
        <v>3.4063469093732572</v>
      </c>
      <c r="K918" s="30">
        <v>3.8929678964265797</v>
      </c>
      <c r="L918" s="30">
        <v>4.3795888834799026</v>
      </c>
      <c r="M918" s="206">
        <v>3.8372730092307696</v>
      </c>
      <c r="N918" s="207">
        <v>4.4768185107692311</v>
      </c>
      <c r="O918" s="207">
        <v>5.1163640123076934</v>
      </c>
      <c r="P918" s="208">
        <v>5.7559095138461549</v>
      </c>
      <c r="U918" s="2"/>
      <c r="V918" s="2">
        <v>20</v>
      </c>
      <c r="W918" s="188"/>
      <c r="X918" s="188"/>
      <c r="Y918" s="188"/>
      <c r="Z918" s="188"/>
      <c r="AA918" s="188"/>
      <c r="AB918" s="188"/>
      <c r="AC918" s="24" t="str">
        <f t="shared" si="211"/>
        <v/>
      </c>
      <c r="AE918" s="188"/>
      <c r="AF918" s="188">
        <v>20</v>
      </c>
      <c r="AG918" s="188">
        <v>90.5</v>
      </c>
      <c r="AH918" s="188"/>
      <c r="AI918" s="188"/>
      <c r="AJ918" s="188"/>
      <c r="AK918" s="188">
        <v>106.2</v>
      </c>
      <c r="AL918" s="188"/>
      <c r="AM918" s="24" t="str">
        <f t="shared" si="212"/>
        <v>Verbinder</v>
      </c>
      <c r="AN918" t="str">
        <f t="shared" si="213"/>
        <v/>
      </c>
    </row>
    <row r="919" spans="8:40">
      <c r="H919" s="26">
        <v>430</v>
      </c>
      <c r="I919" s="30">
        <v>3.0061611618716877</v>
      </c>
      <c r="J919" s="30">
        <v>3.5071880221836356</v>
      </c>
      <c r="K919" s="30">
        <v>4.0082148824955839</v>
      </c>
      <c r="L919" s="30">
        <v>4.5092417428075313</v>
      </c>
      <c r="M919" s="206">
        <v>4.0244570584615387</v>
      </c>
      <c r="N919" s="207">
        <v>4.6951999015384613</v>
      </c>
      <c r="O919" s="207">
        <v>5.3659427446153849</v>
      </c>
      <c r="P919" s="208">
        <v>6.0366855876923076</v>
      </c>
      <c r="U919" s="2">
        <v>50</v>
      </c>
      <c r="V919" s="2">
        <v>30</v>
      </c>
      <c r="W919" s="188"/>
      <c r="X919" s="188"/>
      <c r="Y919" s="188"/>
      <c r="Z919" s="188"/>
      <c r="AA919" s="188"/>
      <c r="AB919" s="188"/>
      <c r="AC919" s="24" t="str">
        <f t="shared" si="211"/>
        <v/>
      </c>
      <c r="AE919" s="188">
        <v>50</v>
      </c>
      <c r="AF919" s="188">
        <v>30</v>
      </c>
      <c r="AG919" s="188">
        <v>79.900000000000006</v>
      </c>
      <c r="AH919" s="188"/>
      <c r="AI919" s="188"/>
      <c r="AJ919" s="188"/>
      <c r="AK919" s="188">
        <v>93.6</v>
      </c>
      <c r="AL919" s="188"/>
      <c r="AM919" s="24" t="str">
        <f t="shared" si="212"/>
        <v>Verbinder</v>
      </c>
      <c r="AN919" t="str">
        <f t="shared" si="213"/>
        <v/>
      </c>
    </row>
    <row r="920" spans="8:40">
      <c r="H920" s="26">
        <v>450</v>
      </c>
      <c r="I920" s="30">
        <v>3.0911902468548127</v>
      </c>
      <c r="J920" s="30">
        <v>3.6063886213306149</v>
      </c>
      <c r="K920" s="30">
        <v>4.1215869958064166</v>
      </c>
      <c r="L920" s="30">
        <v>4.6367853702822188</v>
      </c>
      <c r="M920" s="206">
        <v>4.2116411076923068</v>
      </c>
      <c r="N920" s="207">
        <v>4.9135812923076925</v>
      </c>
      <c r="O920" s="207">
        <v>5.6155214769230772</v>
      </c>
      <c r="P920" s="208">
        <v>6.317461661538462</v>
      </c>
      <c r="U920" s="189">
        <f>N858</f>
        <v>0</v>
      </c>
      <c r="V920" s="2">
        <v>40</v>
      </c>
      <c r="W920" s="188">
        <v>31.7</v>
      </c>
      <c r="X920" s="188">
        <v>33.4</v>
      </c>
      <c r="Y920" s="191">
        <v>35</v>
      </c>
      <c r="Z920" s="188">
        <v>36.1</v>
      </c>
      <c r="AA920" s="188">
        <v>37.1</v>
      </c>
      <c r="AB920" s="188">
        <v>34.5</v>
      </c>
      <c r="AC920" s="24" t="str">
        <f t="shared" si="211"/>
        <v/>
      </c>
      <c r="AE920" s="191">
        <f>N866</f>
        <v>0</v>
      </c>
      <c r="AF920" s="188">
        <v>40</v>
      </c>
      <c r="AG920" s="188">
        <v>71.3</v>
      </c>
      <c r="AH920" s="188"/>
      <c r="AI920" s="188"/>
      <c r="AJ920" s="188"/>
      <c r="AK920" s="188">
        <v>83.5</v>
      </c>
      <c r="AL920" s="188"/>
      <c r="AM920" s="24" t="str">
        <f t="shared" si="212"/>
        <v>Verbinder</v>
      </c>
      <c r="AN920" t="str">
        <f t="shared" si="213"/>
        <v/>
      </c>
    </row>
    <row r="921" spans="8:40">
      <c r="H921" s="26">
        <v>400</v>
      </c>
      <c r="I921" s="30">
        <v>2.8759507506593263</v>
      </c>
      <c r="J921" s="30">
        <v>3.3552758757692138</v>
      </c>
      <c r="K921" s="30">
        <v>3.8346010008791018</v>
      </c>
      <c r="L921" s="30">
        <v>4.3139261259889894</v>
      </c>
      <c r="M921" s="206">
        <v>3.7436809846153851</v>
      </c>
      <c r="N921" s="207">
        <v>4.3676278153846155</v>
      </c>
      <c r="O921" s="207">
        <v>4.9915746461538477</v>
      </c>
      <c r="P921" s="208">
        <v>5.6155214769230772</v>
      </c>
      <c r="U921" s="2"/>
      <c r="V921" s="2">
        <v>50</v>
      </c>
      <c r="W921" s="188">
        <v>28.8</v>
      </c>
      <c r="X921" s="188">
        <v>30.3</v>
      </c>
      <c r="Y921" s="188">
        <v>31.8</v>
      </c>
      <c r="Z921" s="188">
        <v>32.799999999999997</v>
      </c>
      <c r="AA921" s="188">
        <v>33.700000000000003</v>
      </c>
      <c r="AB921" s="188">
        <v>31.3</v>
      </c>
      <c r="AC921" s="24" t="str">
        <f t="shared" si="211"/>
        <v/>
      </c>
      <c r="AE921" s="188"/>
      <c r="AF921" s="188">
        <v>50</v>
      </c>
      <c r="AG921" s="188">
        <v>64.3</v>
      </c>
      <c r="AH921" s="188"/>
      <c r="AI921" s="188"/>
      <c r="AJ921" s="188"/>
      <c r="AK921" s="188">
        <v>75.2</v>
      </c>
      <c r="AL921" s="188"/>
      <c r="AM921" s="24" t="str">
        <f t="shared" si="212"/>
        <v>Verbinder</v>
      </c>
      <c r="AN921" t="str">
        <f t="shared" si="213"/>
        <v/>
      </c>
    </row>
    <row r="922" spans="8:40">
      <c r="H922" s="218" t="s">
        <v>124</v>
      </c>
      <c r="I922" s="219"/>
      <c r="J922" s="219"/>
      <c r="K922" s="219"/>
      <c r="L922" s="220"/>
      <c r="M922" s="218" t="s">
        <v>270</v>
      </c>
      <c r="N922" s="219"/>
      <c r="O922" s="219"/>
      <c r="P922" s="220"/>
      <c r="U922" s="2"/>
      <c r="V922" s="2">
        <v>60</v>
      </c>
      <c r="W922" s="188">
        <v>26.4</v>
      </c>
      <c r="X922" s="188">
        <v>27.8</v>
      </c>
      <c r="Y922" s="188">
        <v>29.1</v>
      </c>
      <c r="Z922" s="191">
        <v>30</v>
      </c>
      <c r="AA922" s="188">
        <v>30.9</v>
      </c>
      <c r="AB922" s="188">
        <v>28.7</v>
      </c>
      <c r="AC922" s="24" t="str">
        <f t="shared" si="211"/>
        <v/>
      </c>
      <c r="AE922" s="188"/>
      <c r="AF922" s="188">
        <v>60</v>
      </c>
      <c r="AG922" s="188">
        <v>58.5</v>
      </c>
      <c r="AH922" s="188"/>
      <c r="AI922" s="188"/>
      <c r="AJ922" s="188"/>
      <c r="AK922" s="188">
        <v>68.3</v>
      </c>
      <c r="AL922" s="188"/>
      <c r="AM922" s="24" t="str">
        <f t="shared" si="212"/>
        <v>Verbinder</v>
      </c>
      <c r="AN922" t="str">
        <f t="shared" si="213"/>
        <v/>
      </c>
    </row>
    <row r="923" spans="8:40">
      <c r="H923" s="26">
        <v>350</v>
      </c>
      <c r="I923" s="30">
        <v>1.6442900535804326</v>
      </c>
      <c r="J923" s="30">
        <v>1.918338395843838</v>
      </c>
      <c r="K923" s="30">
        <v>2.1923867381072437</v>
      </c>
      <c r="L923" s="30">
        <v>2.466435080370649</v>
      </c>
      <c r="M923" s="206">
        <v>2.8854505625845817</v>
      </c>
      <c r="N923" s="207">
        <v>3.3663589896820119</v>
      </c>
      <c r="O923" s="207">
        <v>3.8472674167794425</v>
      </c>
      <c r="P923" s="208">
        <v>4.3281758438768732</v>
      </c>
      <c r="U923" s="2"/>
      <c r="V923" s="2">
        <v>70</v>
      </c>
      <c r="W923" s="188">
        <v>24.3</v>
      </c>
      <c r="X923" s="188">
        <v>25.6</v>
      </c>
      <c r="Y923" s="188">
        <v>26.8</v>
      </c>
      <c r="Z923" s="188">
        <v>27.6</v>
      </c>
      <c r="AA923" s="188">
        <v>28.4</v>
      </c>
      <c r="AB923" s="188">
        <v>26.4</v>
      </c>
      <c r="AC923" s="24" t="str">
        <f t="shared" si="211"/>
        <v/>
      </c>
      <c r="AE923" s="188"/>
      <c r="AF923" s="188">
        <v>70</v>
      </c>
      <c r="AG923" s="188">
        <v>53.5</v>
      </c>
      <c r="AH923" s="188"/>
      <c r="AI923" s="188"/>
      <c r="AJ923" s="188"/>
      <c r="AK923" s="188">
        <v>62.6</v>
      </c>
      <c r="AL923" s="188"/>
      <c r="AM923" s="24" t="str">
        <f t="shared" si="212"/>
        <v/>
      </c>
      <c r="AN923" t="str">
        <f t="shared" si="213"/>
        <v/>
      </c>
    </row>
    <row r="924" spans="8:40">
      <c r="H924" s="26">
        <v>380</v>
      </c>
      <c r="I924" s="30">
        <v>1.7750161885589089</v>
      </c>
      <c r="J924" s="30">
        <v>2.0708522199853934</v>
      </c>
      <c r="K924" s="30">
        <v>2.3666882514118788</v>
      </c>
      <c r="L924" s="30">
        <v>2.6625242828383633</v>
      </c>
      <c r="M924" s="206">
        <v>3.0804824008755833</v>
      </c>
      <c r="N924" s="207">
        <v>3.5938961343548472</v>
      </c>
      <c r="O924" s="207">
        <v>4.107309867834112</v>
      </c>
      <c r="P924" s="208">
        <v>4.6207236013133759</v>
      </c>
      <c r="V924" s="2">
        <v>80</v>
      </c>
      <c r="W924" s="222">
        <v>22.5</v>
      </c>
      <c r="X924" s="222">
        <v>23.7</v>
      </c>
      <c r="Y924" s="222">
        <v>24.9</v>
      </c>
      <c r="Z924" s="222">
        <v>25.6</v>
      </c>
      <c r="AA924" s="222">
        <v>26.3</v>
      </c>
      <c r="AB924" s="222">
        <v>24.5</v>
      </c>
      <c r="AC924" s="24" t="str">
        <f t="shared" si="211"/>
        <v/>
      </c>
      <c r="AE924" s="24"/>
      <c r="AF924" s="2">
        <v>80</v>
      </c>
      <c r="AG924" s="188">
        <v>49.1</v>
      </c>
      <c r="AH924" s="24"/>
      <c r="AI924" s="24"/>
      <c r="AJ924" s="24"/>
      <c r="AK924" s="188">
        <v>57.7</v>
      </c>
      <c r="AL924" s="24"/>
      <c r="AM924" s="24" t="str">
        <f t="shared" si="212"/>
        <v/>
      </c>
      <c r="AN924" t="str">
        <f t="shared" si="213"/>
        <v/>
      </c>
    </row>
    <row r="925" spans="8:40">
      <c r="H925" s="26">
        <v>410</v>
      </c>
      <c r="I925" s="30">
        <v>1.8874296643708826</v>
      </c>
      <c r="J925" s="30">
        <v>2.2020012750993629</v>
      </c>
      <c r="K925" s="30">
        <v>2.5165728858278436</v>
      </c>
      <c r="L925" s="30">
        <v>2.8311444965563237</v>
      </c>
      <c r="M925" s="206">
        <v>3.2627465799966253</v>
      </c>
      <c r="N925" s="207">
        <v>3.8065376766627299</v>
      </c>
      <c r="O925" s="207">
        <v>4.3503287733288341</v>
      </c>
      <c r="P925" s="208">
        <v>4.8941198699949382</v>
      </c>
      <c r="V925" s="2">
        <v>90</v>
      </c>
      <c r="W925" s="222">
        <v>20.9</v>
      </c>
      <c r="X925" s="222">
        <v>22.1</v>
      </c>
      <c r="Y925" s="222">
        <v>23.1</v>
      </c>
      <c r="Z925" s="222">
        <v>23.8</v>
      </c>
      <c r="AA925" s="222">
        <v>24.5</v>
      </c>
      <c r="AB925" s="222">
        <v>22.8</v>
      </c>
      <c r="AC925" s="24" t="str">
        <f t="shared" si="211"/>
        <v/>
      </c>
      <c r="AE925" s="24"/>
      <c r="AF925" s="2">
        <v>90</v>
      </c>
      <c r="AG925" s="188">
        <v>45.4</v>
      </c>
      <c r="AH925" s="24"/>
      <c r="AI925" s="24"/>
      <c r="AJ925" s="24"/>
      <c r="AK925" s="188">
        <v>53.5</v>
      </c>
      <c r="AL925" s="24"/>
      <c r="AM925" s="24" t="str">
        <f t="shared" si="212"/>
        <v/>
      </c>
      <c r="AN925" t="str">
        <f t="shared" si="213"/>
        <v/>
      </c>
    </row>
    <row r="926" spans="8:40">
      <c r="H926" s="26">
        <v>430</v>
      </c>
      <c r="I926" s="30">
        <v>1.9619026096722081</v>
      </c>
      <c r="J926" s="30">
        <v>2.2888863779509094</v>
      </c>
      <c r="K926" s="30">
        <v>2.6158701462296108</v>
      </c>
      <c r="L926" s="30">
        <v>2.9428539145083121</v>
      </c>
      <c r="M926" s="206">
        <v>3.3834690174867621</v>
      </c>
      <c r="N926" s="207">
        <v>3.9473805204012224</v>
      </c>
      <c r="O926" s="207">
        <v>4.5112920233156837</v>
      </c>
      <c r="P926" s="208">
        <v>5.075203526230144</v>
      </c>
      <c r="V926" s="2">
        <v>100</v>
      </c>
      <c r="W926" s="222">
        <v>19.5</v>
      </c>
      <c r="X926" s="222">
        <v>20.6</v>
      </c>
      <c r="Y926" s="222">
        <v>21.7</v>
      </c>
      <c r="Z926" s="222">
        <v>22.3</v>
      </c>
      <c r="AA926" s="222">
        <v>22.9</v>
      </c>
      <c r="AB926" s="222">
        <v>21.3</v>
      </c>
      <c r="AC926" s="24" t="str">
        <f t="shared" si="211"/>
        <v/>
      </c>
      <c r="AF926" s="2">
        <v>100</v>
      </c>
      <c r="AG926" s="188">
        <v>42.1</v>
      </c>
      <c r="AK926" s="188">
        <v>49.8</v>
      </c>
      <c r="AM926" s="24" t="str">
        <f t="shared" si="212"/>
        <v/>
      </c>
      <c r="AN926" t="str">
        <f t="shared" si="213"/>
        <v/>
      </c>
    </row>
    <row r="927" spans="8:40">
      <c r="H927" s="26">
        <v>450</v>
      </c>
      <c r="I927" s="30">
        <v>2.0360266190490766</v>
      </c>
      <c r="J927" s="30">
        <v>2.3753643888905889</v>
      </c>
      <c r="K927" s="30">
        <v>2.7147021587321021</v>
      </c>
      <c r="L927" s="30">
        <v>3.0540399285736148</v>
      </c>
      <c r="M927" s="206">
        <v>3.503612257665722</v>
      </c>
      <c r="N927" s="207">
        <v>4.087547633943343</v>
      </c>
      <c r="O927" s="207">
        <v>4.671483010220963</v>
      </c>
      <c r="P927" s="208">
        <v>5.2554183864985831</v>
      </c>
    </row>
    <row r="928" spans="8:40" ht="15.75" thickBot="1">
      <c r="H928" s="57">
        <v>400</v>
      </c>
      <c r="I928" s="58">
        <v>1.8500554390179289</v>
      </c>
      <c r="J928" s="58">
        <v>2.1583980121875839</v>
      </c>
      <c r="K928" s="58">
        <v>2.4667405853572393</v>
      </c>
      <c r="L928" s="58">
        <v>2.7750831585268938</v>
      </c>
      <c r="M928" s="223">
        <v>3.2021551085410902</v>
      </c>
      <c r="N928" s="224">
        <v>3.7358476266312719</v>
      </c>
      <c r="O928" s="224">
        <v>4.2695401447214545</v>
      </c>
      <c r="P928" s="225">
        <v>4.8032326628116362</v>
      </c>
      <c r="U928" s="191">
        <f>U940</f>
        <v>430</v>
      </c>
      <c r="V928" s="2" t="s">
        <v>271</v>
      </c>
      <c r="W928" s="188">
        <v>350</v>
      </c>
      <c r="X928" s="188">
        <v>380</v>
      </c>
      <c r="Y928" s="188">
        <v>410</v>
      </c>
      <c r="Z928" s="188">
        <v>430</v>
      </c>
      <c r="AA928" s="188">
        <v>450</v>
      </c>
      <c r="AB928" s="188">
        <v>400</v>
      </c>
      <c r="AC928" s="188"/>
      <c r="AE928" s="191"/>
      <c r="AF928" s="188" t="s">
        <v>272</v>
      </c>
      <c r="AG928" s="188">
        <v>350</v>
      </c>
      <c r="AH928" s="188">
        <v>380</v>
      </c>
      <c r="AI928" s="188">
        <v>410</v>
      </c>
      <c r="AJ928" s="188">
        <v>430</v>
      </c>
      <c r="AK928" s="188">
        <v>450</v>
      </c>
      <c r="AL928" s="188">
        <v>400</v>
      </c>
      <c r="AM928" s="188"/>
    </row>
    <row r="929" spans="16:40">
      <c r="U929" s="105">
        <f>U941</f>
        <v>100</v>
      </c>
      <c r="V929" s="189">
        <v>10</v>
      </c>
      <c r="W929" s="105"/>
      <c r="X929" s="191"/>
      <c r="Y929" s="188"/>
      <c r="Z929" s="188"/>
      <c r="AA929" s="188"/>
      <c r="AB929" s="188"/>
      <c r="AC929" s="24" t="str">
        <f t="shared" ref="AC929:AC938" si="214">IF(MAX(W929:AB929)/1.3&gt;U$931,"Verbinder","")</f>
        <v/>
      </c>
      <c r="AE929" s="105"/>
      <c r="AF929" s="191">
        <v>10</v>
      </c>
      <c r="AG929" s="105">
        <v>121.2</v>
      </c>
      <c r="AH929" s="191"/>
      <c r="AI929" s="188"/>
      <c r="AJ929" s="188"/>
      <c r="AK929" s="188">
        <v>143</v>
      </c>
      <c r="AL929" s="188"/>
      <c r="AM929" s="24" t="str">
        <f t="shared" ref="AM929:AM938" si="215">IF(MAX(AG929:AL929)/1.3&gt;AE$931,"Verbinder","")</f>
        <v>Verbinder</v>
      </c>
      <c r="AN929" t="str">
        <f t="shared" ref="AN929:AN937" si="216">IF(OR(AG929&lt;W929,AK929&lt;AA929),"ACHTUNG","")</f>
        <v/>
      </c>
    </row>
    <row r="930" spans="16:40">
      <c r="U930" s="189"/>
      <c r="V930" s="2">
        <v>20</v>
      </c>
      <c r="W930" s="188"/>
      <c r="X930" s="188"/>
      <c r="Y930" s="188"/>
      <c r="Z930" s="188"/>
      <c r="AA930" s="191"/>
      <c r="AB930" s="188"/>
      <c r="AC930" s="24" t="str">
        <f t="shared" si="214"/>
        <v/>
      </c>
      <c r="AE930" s="191"/>
      <c r="AF930" s="188">
        <v>20</v>
      </c>
      <c r="AG930" s="188">
        <v>106.8</v>
      </c>
      <c r="AH930" s="188"/>
      <c r="AI930" s="188"/>
      <c r="AJ930" s="188"/>
      <c r="AK930" s="191">
        <v>125</v>
      </c>
      <c r="AL930" s="188"/>
      <c r="AM930" s="24" t="str">
        <f t="shared" si="215"/>
        <v>Verbinder</v>
      </c>
      <c r="AN930" t="str">
        <f t="shared" si="216"/>
        <v/>
      </c>
    </row>
    <row r="931" spans="16:40">
      <c r="U931" s="2">
        <v>50</v>
      </c>
      <c r="V931" s="2">
        <v>30</v>
      </c>
      <c r="W931" s="188"/>
      <c r="X931" s="188"/>
      <c r="Y931" s="188"/>
      <c r="Z931" s="188"/>
      <c r="AA931" s="191"/>
      <c r="AB931" s="188"/>
      <c r="AC931" s="24" t="str">
        <f t="shared" si="214"/>
        <v/>
      </c>
      <c r="AE931" s="188">
        <v>50</v>
      </c>
      <c r="AF931" s="188">
        <v>30</v>
      </c>
      <c r="AG931" s="188">
        <v>95.1</v>
      </c>
      <c r="AH931" s="188"/>
      <c r="AI931" s="188"/>
      <c r="AJ931" s="188"/>
      <c r="AK931" s="191">
        <v>112</v>
      </c>
      <c r="AL931" s="188"/>
      <c r="AM931" s="24" t="str">
        <f t="shared" si="215"/>
        <v>Verbinder</v>
      </c>
      <c r="AN931" t="str">
        <f t="shared" si="216"/>
        <v/>
      </c>
    </row>
    <row r="932" spans="16:40">
      <c r="U932" s="189">
        <f>N859</f>
        <v>0</v>
      </c>
      <c r="V932" s="2">
        <v>40</v>
      </c>
      <c r="W932" s="188">
        <v>34.1</v>
      </c>
      <c r="X932" s="188">
        <v>35.9</v>
      </c>
      <c r="Y932" s="188">
        <v>37.700000000000003</v>
      </c>
      <c r="Z932" s="188">
        <v>38.799999999999997</v>
      </c>
      <c r="AA932" s="188">
        <v>39.9</v>
      </c>
      <c r="AB932" s="188">
        <v>37.1</v>
      </c>
      <c r="AC932" s="24" t="str">
        <f t="shared" si="214"/>
        <v/>
      </c>
      <c r="AE932" s="191" t="e">
        <f>#REF!</f>
        <v>#REF!</v>
      </c>
      <c r="AF932" s="188">
        <v>40</v>
      </c>
      <c r="AG932" s="188">
        <v>85.5</v>
      </c>
      <c r="AH932" s="188"/>
      <c r="AI932" s="188"/>
      <c r="AJ932" s="188"/>
      <c r="AK932" s="188">
        <v>100</v>
      </c>
      <c r="AL932" s="188"/>
      <c r="AM932" s="24" t="str">
        <f t="shared" si="215"/>
        <v>Verbinder</v>
      </c>
      <c r="AN932" t="str">
        <f t="shared" si="216"/>
        <v/>
      </c>
    </row>
    <row r="933" spans="16:40">
      <c r="U933" s="2"/>
      <c r="V933" s="2">
        <v>50</v>
      </c>
      <c r="W933" s="188">
        <v>31.3</v>
      </c>
      <c r="X933" s="188">
        <v>32.9</v>
      </c>
      <c r="Y933" s="188">
        <v>34.5</v>
      </c>
      <c r="Z933" s="188">
        <v>35.6</v>
      </c>
      <c r="AA933" s="188">
        <v>36.6</v>
      </c>
      <c r="AB933" s="191">
        <v>34</v>
      </c>
      <c r="AC933" s="24" t="str">
        <f t="shared" si="214"/>
        <v/>
      </c>
      <c r="AE933" s="188"/>
      <c r="AF933" s="188">
        <v>50</v>
      </c>
      <c r="AG933" s="188">
        <v>77.5</v>
      </c>
      <c r="AH933" s="188"/>
      <c r="AI933" s="188"/>
      <c r="AJ933" s="188"/>
      <c r="AK933" s="188">
        <v>90.7</v>
      </c>
      <c r="AL933" s="188"/>
      <c r="AM933" s="24" t="str">
        <f t="shared" si="215"/>
        <v>Verbinder</v>
      </c>
      <c r="AN933" t="str">
        <f t="shared" si="216"/>
        <v/>
      </c>
    </row>
    <row r="934" spans="16:40">
      <c r="U934" s="2"/>
      <c r="V934" s="2">
        <v>60</v>
      </c>
      <c r="W934" s="188">
        <v>28.9</v>
      </c>
      <c r="X934" s="188">
        <v>30.4</v>
      </c>
      <c r="Y934" s="188">
        <v>31.8</v>
      </c>
      <c r="Z934" s="188">
        <v>32.799999999999997</v>
      </c>
      <c r="AA934" s="188">
        <v>33.700000000000003</v>
      </c>
      <c r="AB934" s="188">
        <v>31.4</v>
      </c>
      <c r="AC934" s="24" t="str">
        <f t="shared" si="214"/>
        <v/>
      </c>
      <c r="AE934" s="188"/>
      <c r="AF934" s="188">
        <v>60</v>
      </c>
      <c r="AG934" s="188">
        <v>70.599999999999994</v>
      </c>
      <c r="AH934" s="188"/>
      <c r="AI934" s="188"/>
      <c r="AJ934" s="188"/>
      <c r="AK934" s="188">
        <v>82.8</v>
      </c>
      <c r="AL934" s="188"/>
      <c r="AM934" s="24" t="str">
        <f t="shared" si="215"/>
        <v>Verbinder</v>
      </c>
      <c r="AN934" t="str">
        <f t="shared" si="216"/>
        <v/>
      </c>
    </row>
    <row r="935" spans="16:40">
      <c r="U935" s="2"/>
      <c r="V935" s="2">
        <v>70</v>
      </c>
      <c r="W935" s="188">
        <v>26.8</v>
      </c>
      <c r="X935" s="188">
        <v>28.2</v>
      </c>
      <c r="Y935" s="188">
        <v>29.5</v>
      </c>
      <c r="Z935" s="188">
        <v>30.4</v>
      </c>
      <c r="AA935" s="188">
        <v>31.3</v>
      </c>
      <c r="AB935" s="188">
        <v>29.1</v>
      </c>
      <c r="AC935" s="24" t="str">
        <f t="shared" si="214"/>
        <v/>
      </c>
      <c r="AE935" s="188"/>
      <c r="AF935" s="188">
        <v>70</v>
      </c>
      <c r="AG935" s="188">
        <v>65.2</v>
      </c>
      <c r="AH935" s="188"/>
      <c r="AI935" s="188"/>
      <c r="AJ935" s="188"/>
      <c r="AK935" s="188">
        <v>76.099999999999994</v>
      </c>
      <c r="AL935" s="188"/>
      <c r="AM935" s="24" t="str">
        <f t="shared" si="215"/>
        <v>Verbinder</v>
      </c>
      <c r="AN935" t="str">
        <f t="shared" si="216"/>
        <v/>
      </c>
    </row>
    <row r="936" spans="16:40">
      <c r="V936" s="2">
        <v>80</v>
      </c>
      <c r="W936" s="188">
        <v>24.9</v>
      </c>
      <c r="X936" s="188">
        <v>26.3</v>
      </c>
      <c r="Y936" s="188">
        <v>27.5</v>
      </c>
      <c r="Z936" s="188">
        <v>28.3</v>
      </c>
      <c r="AA936" s="188">
        <v>29.1</v>
      </c>
      <c r="AB936" s="188">
        <v>27.1</v>
      </c>
      <c r="AC936" s="24" t="str">
        <f t="shared" si="214"/>
        <v/>
      </c>
      <c r="AE936" s="24"/>
      <c r="AF936" s="2">
        <v>80</v>
      </c>
      <c r="AG936" s="188">
        <v>60.1</v>
      </c>
      <c r="AH936" s="24"/>
      <c r="AI936" s="24"/>
      <c r="AJ936" s="24"/>
      <c r="AK936" s="188">
        <v>70.400000000000006</v>
      </c>
      <c r="AL936" s="24"/>
      <c r="AM936" s="24" t="str">
        <f t="shared" si="215"/>
        <v>Verbinder</v>
      </c>
      <c r="AN936" t="str">
        <f t="shared" si="216"/>
        <v/>
      </c>
    </row>
    <row r="937" spans="16:40">
      <c r="V937" s="2">
        <v>90</v>
      </c>
      <c r="W937" s="188">
        <v>23.3</v>
      </c>
      <c r="X937" s="188">
        <v>24.6</v>
      </c>
      <c r="Y937" s="188">
        <v>25.7</v>
      </c>
      <c r="Z937" s="188">
        <v>26.5</v>
      </c>
      <c r="AA937" s="188">
        <v>27.2</v>
      </c>
      <c r="AB937" s="188">
        <v>25.3</v>
      </c>
      <c r="AC937" s="24" t="str">
        <f t="shared" si="214"/>
        <v/>
      </c>
      <c r="AE937" s="24"/>
      <c r="AF937" s="2">
        <v>90</v>
      </c>
      <c r="AG937" s="188">
        <v>55.7</v>
      </c>
      <c r="AH937" s="24"/>
      <c r="AI937" s="24"/>
      <c r="AJ937" s="24"/>
      <c r="AK937" s="188">
        <v>65.400000000000006</v>
      </c>
      <c r="AL937" s="24"/>
      <c r="AM937" s="24" t="str">
        <f t="shared" si="215"/>
        <v>Verbinder</v>
      </c>
      <c r="AN937" t="str">
        <f t="shared" si="216"/>
        <v/>
      </c>
    </row>
    <row r="938" spans="16:40">
      <c r="V938" s="2">
        <v>100</v>
      </c>
      <c r="W938" s="188">
        <v>21.8</v>
      </c>
      <c r="X938" s="191">
        <v>23</v>
      </c>
      <c r="Y938" s="188">
        <v>24.2</v>
      </c>
      <c r="Z938" s="188">
        <v>24.9</v>
      </c>
      <c r="AA938" s="188">
        <v>25.6</v>
      </c>
      <c r="AB938" s="188">
        <v>23.8</v>
      </c>
      <c r="AC938" s="24" t="str">
        <f t="shared" si="214"/>
        <v/>
      </c>
      <c r="AF938" s="2">
        <v>100</v>
      </c>
      <c r="AG938" s="188">
        <v>51.8</v>
      </c>
      <c r="AK938" s="188">
        <v>61.1</v>
      </c>
      <c r="AM938" s="24" t="str">
        <f t="shared" si="215"/>
        <v/>
      </c>
      <c r="AN938" t="str">
        <f>IF(OR(AG938&lt;W938,AK938&lt;AA938),"ACHTUNG","")</f>
        <v/>
      </c>
    </row>
    <row r="940" spans="16:40">
      <c r="P940"/>
      <c r="Q940"/>
      <c r="R940"/>
      <c r="S940"/>
      <c r="U940" s="226">
        <v>430</v>
      </c>
      <c r="V940" s="2" t="s">
        <v>273</v>
      </c>
      <c r="W940" s="188">
        <v>350</v>
      </c>
      <c r="X940" s="188">
        <v>380</v>
      </c>
      <c r="Y940" s="188">
        <v>410</v>
      </c>
      <c r="Z940" s="188">
        <v>430</v>
      </c>
      <c r="AA940" s="188">
        <v>450</v>
      </c>
      <c r="AB940" s="188">
        <v>400</v>
      </c>
      <c r="AC940" s="188"/>
      <c r="AE940" s="188"/>
      <c r="AF940" s="188" t="s">
        <v>274</v>
      </c>
      <c r="AG940" s="188">
        <v>350</v>
      </c>
      <c r="AH940" s="188">
        <v>380</v>
      </c>
      <c r="AI940" s="188">
        <v>410</v>
      </c>
      <c r="AJ940" s="188">
        <v>430</v>
      </c>
      <c r="AK940" s="188">
        <v>450</v>
      </c>
      <c r="AL940" s="188">
        <v>400</v>
      </c>
      <c r="AM940" s="188"/>
    </row>
    <row r="941" spans="16:40">
      <c r="P941"/>
      <c r="Q941"/>
      <c r="R941"/>
      <c r="S941"/>
      <c r="U941" s="227">
        <v>100</v>
      </c>
      <c r="V941" s="189">
        <v>10</v>
      </c>
      <c r="W941" s="105"/>
      <c r="X941" s="188"/>
      <c r="Y941" s="188"/>
      <c r="Z941" s="188"/>
      <c r="AA941" s="188"/>
      <c r="AB941" s="188"/>
      <c r="AC941" s="24" t="str">
        <f t="shared" ref="AC941:AC950" si="217">IF(MAX(W941:AB941)/1.3&gt;U$943,"Verbinder","")</f>
        <v/>
      </c>
      <c r="AE941" s="105"/>
      <c r="AF941" s="191">
        <v>10</v>
      </c>
      <c r="AG941" s="105">
        <v>139</v>
      </c>
      <c r="AH941" s="188"/>
      <c r="AI941" s="188"/>
      <c r="AJ941" s="188"/>
      <c r="AK941" s="188">
        <v>164</v>
      </c>
      <c r="AL941" s="188"/>
      <c r="AM941" s="24" t="str">
        <f t="shared" ref="AM941:AM950" si="218">IF(MAX(AG941:AL941)/1.3&gt;AE$943,"Verbinder","")</f>
        <v>Verbinder</v>
      </c>
      <c r="AN941" t="str">
        <f t="shared" ref="AN941:AN949" si="219">IF(OR(AG941&lt;W941,AK941&lt;AA941),"ACHTUNG","")</f>
        <v/>
      </c>
    </row>
    <row r="942" spans="16:40">
      <c r="P942"/>
      <c r="Q942"/>
      <c r="R942"/>
      <c r="S942"/>
      <c r="U942" s="2"/>
      <c r="V942" s="2">
        <v>20</v>
      </c>
      <c r="W942" s="188"/>
      <c r="X942" s="188"/>
      <c r="Y942" s="188"/>
      <c r="Z942" s="188"/>
      <c r="AA942" s="188"/>
      <c r="AB942" s="188"/>
      <c r="AC942" s="24" t="str">
        <f t="shared" si="217"/>
        <v/>
      </c>
      <c r="AE942" s="188"/>
      <c r="AF942" s="188">
        <v>20</v>
      </c>
      <c r="AG942" s="188">
        <v>124</v>
      </c>
      <c r="AH942" s="188"/>
      <c r="AI942" s="188"/>
      <c r="AJ942" s="188"/>
      <c r="AK942" s="188">
        <v>145</v>
      </c>
      <c r="AL942" s="188"/>
      <c r="AM942" s="24" t="str">
        <f t="shared" si="218"/>
        <v>Verbinder</v>
      </c>
      <c r="AN942" t="str">
        <f t="shared" si="219"/>
        <v/>
      </c>
    </row>
    <row r="943" spans="16:40">
      <c r="P943"/>
      <c r="Q943"/>
      <c r="R943"/>
      <c r="S943"/>
      <c r="U943" s="2">
        <v>50</v>
      </c>
      <c r="V943" s="2">
        <v>30</v>
      </c>
      <c r="W943" s="188"/>
      <c r="X943" s="188"/>
      <c r="Y943" s="188"/>
      <c r="Z943" s="188"/>
      <c r="AA943" s="188"/>
      <c r="AB943" s="188"/>
      <c r="AC943" s="24" t="str">
        <f t="shared" si="217"/>
        <v/>
      </c>
      <c r="AE943" s="188">
        <v>50</v>
      </c>
      <c r="AF943" s="188">
        <v>30</v>
      </c>
      <c r="AG943" s="188">
        <v>111</v>
      </c>
      <c r="AH943" s="188"/>
      <c r="AI943" s="188"/>
      <c r="AJ943" s="188"/>
      <c r="AK943" s="188">
        <v>130</v>
      </c>
      <c r="AL943" s="188"/>
      <c r="AM943" s="24" t="str">
        <f t="shared" si="218"/>
        <v>Verbinder</v>
      </c>
      <c r="AN943" t="str">
        <f>IF(OR(AG943&lt;W943,AK943&lt;AA943),"ACHTUNG","")</f>
        <v/>
      </c>
    </row>
    <row r="944" spans="16:40">
      <c r="P944"/>
      <c r="Q944"/>
      <c r="R944"/>
      <c r="S944"/>
      <c r="U944" s="189">
        <f>N860</f>
        <v>0</v>
      </c>
      <c r="V944" s="2">
        <v>40</v>
      </c>
      <c r="W944" s="188">
        <v>36.1</v>
      </c>
      <c r="X944" s="188">
        <v>38.1</v>
      </c>
      <c r="Y944" s="188">
        <v>39.9</v>
      </c>
      <c r="Z944" s="188">
        <v>41.1</v>
      </c>
      <c r="AA944" s="188">
        <v>42.3</v>
      </c>
      <c r="AB944" s="188">
        <v>39.299999999999997</v>
      </c>
      <c r="AC944" s="24" t="str">
        <f t="shared" si="217"/>
        <v/>
      </c>
      <c r="AE944" s="191" t="e">
        <f>#REF!</f>
        <v>#REF!</v>
      </c>
      <c r="AF944" s="188">
        <v>40</v>
      </c>
      <c r="AG944" s="188">
        <v>100</v>
      </c>
      <c r="AH944" s="188"/>
      <c r="AI944" s="188"/>
      <c r="AJ944" s="188"/>
      <c r="AK944" s="188">
        <v>118</v>
      </c>
      <c r="AL944" s="188"/>
      <c r="AM944" s="24" t="str">
        <f t="shared" si="218"/>
        <v>Verbinder</v>
      </c>
      <c r="AN944" t="str">
        <f t="shared" si="219"/>
        <v/>
      </c>
    </row>
    <row r="945" spans="16:40">
      <c r="P945"/>
      <c r="Q945"/>
      <c r="R945"/>
      <c r="S945"/>
      <c r="U945" s="2"/>
      <c r="V945" s="2">
        <v>50</v>
      </c>
      <c r="W945" s="188">
        <v>33.5</v>
      </c>
      <c r="X945" s="188">
        <v>35.200000000000003</v>
      </c>
      <c r="Y945" s="191">
        <v>37</v>
      </c>
      <c r="Z945" s="188">
        <v>38.1</v>
      </c>
      <c r="AA945" s="188">
        <v>39.200000000000003</v>
      </c>
      <c r="AB945" s="188">
        <v>36.4</v>
      </c>
      <c r="AC945" s="24" t="str">
        <f t="shared" si="217"/>
        <v/>
      </c>
      <c r="AE945" s="188"/>
      <c r="AF945" s="188">
        <v>50</v>
      </c>
      <c r="AG945" s="188">
        <v>91.5</v>
      </c>
      <c r="AH945" s="188"/>
      <c r="AI945" s="188"/>
      <c r="AJ945" s="188"/>
      <c r="AK945" s="188">
        <v>107</v>
      </c>
      <c r="AL945" s="188"/>
      <c r="AM945" s="24" t="str">
        <f t="shared" si="218"/>
        <v>Verbinder</v>
      </c>
      <c r="AN945" t="str">
        <f t="shared" si="219"/>
        <v/>
      </c>
    </row>
    <row r="946" spans="16:40">
      <c r="P946"/>
      <c r="Q946"/>
      <c r="R946"/>
      <c r="S946"/>
      <c r="U946" s="2"/>
      <c r="V946" s="2">
        <v>60</v>
      </c>
      <c r="W946" s="188">
        <v>31.1</v>
      </c>
      <c r="X946" s="188">
        <v>32.799999999999997</v>
      </c>
      <c r="Y946" s="188">
        <v>34.4</v>
      </c>
      <c r="Z946" s="188">
        <v>35.4</v>
      </c>
      <c r="AA946" s="188">
        <v>36.4</v>
      </c>
      <c r="AB946" s="188">
        <v>33.799999999999997</v>
      </c>
      <c r="AC946" s="24" t="str">
        <f t="shared" si="217"/>
        <v/>
      </c>
      <c r="AE946" s="188"/>
      <c r="AF946" s="188">
        <v>60</v>
      </c>
      <c r="AG946" s="188">
        <v>84</v>
      </c>
      <c r="AH946" s="188"/>
      <c r="AI946" s="188"/>
      <c r="AJ946" s="188"/>
      <c r="AK946" s="188">
        <v>98.1</v>
      </c>
      <c r="AL946" s="188"/>
      <c r="AM946" s="24" t="str">
        <f t="shared" si="218"/>
        <v>Verbinder</v>
      </c>
      <c r="AN946" t="str">
        <f t="shared" si="219"/>
        <v/>
      </c>
    </row>
    <row r="947" spans="16:40">
      <c r="P947"/>
      <c r="Q947"/>
      <c r="R947"/>
      <c r="S947"/>
      <c r="U947" s="2"/>
      <c r="V947" s="2">
        <v>70</v>
      </c>
      <c r="W947" s="188">
        <v>29.1</v>
      </c>
      <c r="X947" s="188">
        <v>30.6</v>
      </c>
      <c r="Y947" s="188">
        <v>32.1</v>
      </c>
      <c r="Z947" s="188">
        <v>33.1</v>
      </c>
      <c r="AA947" s="191">
        <v>34</v>
      </c>
      <c r="AB947" s="188">
        <v>31.6</v>
      </c>
      <c r="AC947" s="24" t="str">
        <f t="shared" si="217"/>
        <v/>
      </c>
      <c r="AE947" s="188"/>
      <c r="AF947" s="188">
        <v>70</v>
      </c>
      <c r="AG947" s="188">
        <v>77.599999999999994</v>
      </c>
      <c r="AH947" s="188"/>
      <c r="AI947" s="188"/>
      <c r="AJ947" s="188"/>
      <c r="AK947" s="188">
        <v>90.6</v>
      </c>
      <c r="AL947" s="188"/>
      <c r="AM947" s="24" t="str">
        <f t="shared" si="218"/>
        <v>Verbinder</v>
      </c>
      <c r="AN947" t="str">
        <f t="shared" si="219"/>
        <v/>
      </c>
    </row>
    <row r="948" spans="16:40">
      <c r="P948"/>
      <c r="Q948"/>
      <c r="R948"/>
      <c r="S948"/>
      <c r="V948" s="2">
        <v>80</v>
      </c>
      <c r="W948" s="188">
        <v>27.3</v>
      </c>
      <c r="X948" s="188">
        <v>28.7</v>
      </c>
      <c r="Y948" s="188">
        <v>30.1</v>
      </c>
      <c r="Z948" s="191">
        <v>31</v>
      </c>
      <c r="AA948" s="188">
        <v>31.9</v>
      </c>
      <c r="AB948" s="188">
        <v>29.7</v>
      </c>
      <c r="AC948" s="24" t="str">
        <f t="shared" si="217"/>
        <v/>
      </c>
      <c r="AF948" s="2">
        <v>80</v>
      </c>
      <c r="AG948" s="188">
        <v>72</v>
      </c>
      <c r="AK948" s="188">
        <v>84</v>
      </c>
      <c r="AM948" s="24" t="str">
        <f t="shared" si="218"/>
        <v>Verbinder</v>
      </c>
      <c r="AN948" t="str">
        <f t="shared" si="219"/>
        <v/>
      </c>
    </row>
    <row r="949" spans="16:40">
      <c r="P949"/>
      <c r="Q949"/>
      <c r="R949"/>
      <c r="S949"/>
      <c r="V949" s="2">
        <v>90</v>
      </c>
      <c r="W949" s="188">
        <v>25.7</v>
      </c>
      <c r="X949" s="191">
        <v>27</v>
      </c>
      <c r="Y949" s="188">
        <v>28.3</v>
      </c>
      <c r="Z949" s="188">
        <v>29.2</v>
      </c>
      <c r="AA949" s="191">
        <v>30</v>
      </c>
      <c r="AB949" s="188">
        <v>27.9</v>
      </c>
      <c r="AC949" s="24" t="str">
        <f t="shared" si="217"/>
        <v/>
      </c>
      <c r="AF949" s="2">
        <v>90</v>
      </c>
      <c r="AG949" s="188">
        <v>66.900000000000006</v>
      </c>
      <c r="AK949" s="188">
        <v>78.3</v>
      </c>
      <c r="AM949" s="24" t="str">
        <f t="shared" si="218"/>
        <v>Verbinder</v>
      </c>
      <c r="AN949" t="str">
        <f t="shared" si="219"/>
        <v/>
      </c>
    </row>
    <row r="950" spans="16:40">
      <c r="P950"/>
      <c r="Q950"/>
      <c r="R950"/>
      <c r="S950"/>
      <c r="V950" s="2">
        <v>100</v>
      </c>
      <c r="W950" s="188">
        <v>24.3</v>
      </c>
      <c r="X950" s="188">
        <v>25.5</v>
      </c>
      <c r="Y950" s="188">
        <v>26.7</v>
      </c>
      <c r="Z950" s="188">
        <v>27.5</v>
      </c>
      <c r="AA950" s="188">
        <v>28.3</v>
      </c>
      <c r="AB950" s="188">
        <v>26.3</v>
      </c>
      <c r="AC950" s="24" t="str">
        <f t="shared" si="217"/>
        <v/>
      </c>
      <c r="AF950" s="2">
        <v>100</v>
      </c>
      <c r="AG950" s="188">
        <v>62.4</v>
      </c>
      <c r="AK950" s="188">
        <v>73.400000000000006</v>
      </c>
      <c r="AM950" s="24" t="str">
        <f t="shared" si="218"/>
        <v>Verbinder</v>
      </c>
      <c r="AN950" t="str">
        <f>IF(OR(AG950&lt;W950,AK950&lt;AA950),"ACHTUNG","")</f>
        <v/>
      </c>
    </row>
    <row r="951" spans="16:40">
      <c r="P951"/>
      <c r="Q951"/>
      <c r="R951"/>
      <c r="S951"/>
      <c r="W951" s="24"/>
      <c r="X951" s="24"/>
      <c r="Y951" s="24"/>
      <c r="Z951" s="24"/>
      <c r="AA951" s="24"/>
      <c r="AB951" s="24"/>
      <c r="AC951" s="24"/>
    </row>
    <row r="952" spans="16:40">
      <c r="P952"/>
      <c r="Q952"/>
      <c r="R952"/>
      <c r="S952"/>
      <c r="W952" s="24"/>
      <c r="X952" s="24"/>
      <c r="Y952" s="24"/>
      <c r="Z952" s="24"/>
      <c r="AA952" s="24"/>
      <c r="AB952" s="24"/>
      <c r="AC952" s="24"/>
    </row>
    <row r="953" spans="16:40">
      <c r="P953"/>
      <c r="Q953"/>
      <c r="R953"/>
      <c r="S953"/>
      <c r="W953" s="24"/>
      <c r="X953" s="24"/>
      <c r="Y953" s="24"/>
      <c r="Z953" s="24"/>
      <c r="AA953" s="24"/>
      <c r="AB953" s="24"/>
      <c r="AC953" s="24"/>
    </row>
    <row r="954" spans="16:40">
      <c r="P954"/>
      <c r="Q954"/>
      <c r="R954"/>
      <c r="S954"/>
      <c r="W954" s="24"/>
      <c r="X954" s="24"/>
      <c r="Y954" s="24"/>
      <c r="Z954" s="24"/>
      <c r="AA954" s="24"/>
      <c r="AB954" s="24"/>
      <c r="AC954" s="24"/>
    </row>
    <row r="955" spans="16:40">
      <c r="P955"/>
      <c r="Q955"/>
      <c r="R955"/>
      <c r="S955"/>
      <c r="W955" s="24"/>
      <c r="X955" s="24"/>
      <c r="Y955" s="24"/>
      <c r="Z955" s="24"/>
      <c r="AA955" s="24"/>
      <c r="AB955" s="24"/>
      <c r="AC955" s="24"/>
    </row>
    <row r="956" spans="16:40">
      <c r="P956"/>
      <c r="Q956"/>
      <c r="R956"/>
      <c r="S956"/>
      <c r="W956" s="24"/>
      <c r="X956" s="24"/>
      <c r="Y956" s="24"/>
      <c r="Z956" s="24"/>
      <c r="AA956" s="24"/>
      <c r="AB956" s="24"/>
      <c r="AC956" s="24"/>
    </row>
    <row r="957" spans="16:40">
      <c r="P957"/>
      <c r="Q957"/>
      <c r="R957"/>
      <c r="S957"/>
      <c r="W957" s="24"/>
      <c r="X957" s="24"/>
      <c r="Y957" s="24"/>
      <c r="Z957" s="24"/>
      <c r="AA957" s="24"/>
      <c r="AB957" s="24"/>
      <c r="AC957" s="24"/>
    </row>
    <row r="958" spans="16:40">
      <c r="P958"/>
      <c r="Q958"/>
      <c r="R958"/>
      <c r="S958"/>
      <c r="W958" s="24"/>
      <c r="X958" s="24"/>
      <c r="Y958" s="24"/>
      <c r="Z958" s="24"/>
      <c r="AA958" s="24"/>
      <c r="AB958" s="24"/>
      <c r="AC958" s="24"/>
    </row>
    <row r="959" spans="16:40">
      <c r="P959"/>
      <c r="Q959"/>
      <c r="R959"/>
      <c r="S959"/>
      <c r="W959" s="24"/>
      <c r="X959" s="24"/>
      <c r="Y959" s="24"/>
      <c r="Z959" s="24"/>
      <c r="AA959" s="24"/>
      <c r="AB959" s="24"/>
      <c r="AC959" s="24"/>
    </row>
    <row r="960" spans="16:40">
      <c r="P960"/>
      <c r="Q960"/>
      <c r="R960"/>
      <c r="S960"/>
      <c r="W960" s="24"/>
      <c r="X960" s="24"/>
      <c r="Y960" s="24"/>
      <c r="Z960" s="24"/>
      <c r="AA960" s="24"/>
      <c r="AB960" s="24"/>
      <c r="AC960" s="24"/>
    </row>
    <row r="961" spans="16:29">
      <c r="P961"/>
      <c r="Q961"/>
      <c r="R961"/>
      <c r="S961"/>
      <c r="W961" s="24"/>
      <c r="X961" s="24"/>
      <c r="Y961" s="24"/>
      <c r="Z961" s="24"/>
      <c r="AA961" s="24"/>
      <c r="AB961" s="24"/>
      <c r="AC961" s="24"/>
    </row>
    <row r="962" spans="16:29">
      <c r="P962"/>
      <c r="Q962"/>
      <c r="R962"/>
      <c r="S962"/>
      <c r="W962" s="24"/>
      <c r="X962" s="24"/>
      <c r="Y962" s="24"/>
      <c r="Z962" s="24"/>
      <c r="AA962" s="24"/>
      <c r="AB962" s="24"/>
      <c r="AC962" s="24"/>
    </row>
    <row r="963" spans="16:29">
      <c r="P963"/>
      <c r="Q963"/>
      <c r="R963"/>
      <c r="S963"/>
      <c r="W963" s="24"/>
      <c r="X963" s="24"/>
      <c r="Y963" s="24"/>
      <c r="Z963" s="24"/>
      <c r="AA963" s="24"/>
      <c r="AB963" s="24"/>
      <c r="AC963" s="24"/>
    </row>
    <row r="964" spans="16:29">
      <c r="P964"/>
      <c r="Q964"/>
      <c r="R964"/>
      <c r="S964"/>
      <c r="W964" s="24"/>
      <c r="X964" s="24"/>
      <c r="Y964" s="24"/>
      <c r="Z964" s="24"/>
      <c r="AA964" s="24"/>
      <c r="AB964" s="24"/>
      <c r="AC964" s="24"/>
    </row>
    <row r="965" spans="16:29">
      <c r="P965"/>
      <c r="Q965"/>
      <c r="R965"/>
      <c r="S965"/>
      <c r="W965" s="24"/>
      <c r="X965" s="24"/>
      <c r="Y965" s="24"/>
      <c r="Z965" s="24"/>
      <c r="AA965" s="24"/>
      <c r="AB965" s="24"/>
      <c r="AC965" s="24"/>
    </row>
    <row r="966" spans="16:29">
      <c r="P966"/>
      <c r="Q966"/>
      <c r="R966"/>
      <c r="S966"/>
      <c r="W966" s="24"/>
      <c r="X966" s="24"/>
      <c r="Y966" s="24"/>
      <c r="Z966" s="24"/>
      <c r="AA966" s="24"/>
      <c r="AB966" s="24"/>
      <c r="AC966" s="24"/>
    </row>
    <row r="967" spans="16:29">
      <c r="P967"/>
      <c r="Q967"/>
      <c r="R967"/>
      <c r="S967"/>
      <c r="W967" s="24"/>
      <c r="X967" s="24"/>
      <c r="Y967" s="24"/>
      <c r="Z967" s="24"/>
      <c r="AA967" s="24"/>
      <c r="AB967" s="24"/>
      <c r="AC967" s="24"/>
    </row>
    <row r="968" spans="16:29">
      <c r="P968"/>
      <c r="Q968"/>
      <c r="R968"/>
      <c r="S968"/>
      <c r="W968" s="24"/>
      <c r="X968" s="24"/>
      <c r="Y968" s="24"/>
      <c r="Z968" s="24"/>
      <c r="AA968" s="24"/>
      <c r="AB968" s="24"/>
      <c r="AC968" s="24"/>
    </row>
    <row r="969" spans="16:29">
      <c r="P969"/>
      <c r="Q969"/>
      <c r="R969"/>
      <c r="S969"/>
      <c r="W969" s="24"/>
      <c r="X969" s="24"/>
      <c r="Y969" s="24"/>
      <c r="Z969" s="24"/>
      <c r="AA969" s="24"/>
      <c r="AB969" s="24"/>
      <c r="AC969" s="24"/>
    </row>
    <row r="970" spans="16:29">
      <c r="P970"/>
      <c r="Q970"/>
      <c r="R970"/>
      <c r="S970"/>
      <c r="W970" s="24"/>
      <c r="X970" s="24"/>
      <c r="Y970" s="24"/>
      <c r="Z970" s="24"/>
      <c r="AA970" s="24"/>
      <c r="AB970" s="24"/>
      <c r="AC970" s="24"/>
    </row>
    <row r="971" spans="16:29">
      <c r="P971"/>
      <c r="Q971"/>
      <c r="R971"/>
      <c r="S971"/>
      <c r="W971" s="24"/>
      <c r="X971" s="24"/>
      <c r="Y971" s="24"/>
      <c r="Z971" s="24"/>
      <c r="AA971" s="24"/>
      <c r="AB971" s="24"/>
      <c r="AC971" s="24"/>
    </row>
    <row r="972" spans="16:29">
      <c r="P972"/>
      <c r="Q972"/>
      <c r="R972"/>
      <c r="S972"/>
      <c r="W972" s="24"/>
      <c r="X972" s="24"/>
      <c r="Y972" s="24"/>
      <c r="Z972" s="24"/>
      <c r="AA972" s="24"/>
      <c r="AB972" s="24"/>
      <c r="AC972" s="24"/>
    </row>
    <row r="973" spans="16:29">
      <c r="P973"/>
      <c r="Q973"/>
      <c r="R973"/>
      <c r="S973"/>
      <c r="W973" s="24"/>
      <c r="X973" s="24"/>
      <c r="Y973" s="24"/>
      <c r="Z973" s="24"/>
      <c r="AA973" s="24"/>
      <c r="AB973" s="24"/>
      <c r="AC973" s="24"/>
    </row>
    <row r="974" spans="16:29">
      <c r="P974"/>
      <c r="Q974"/>
      <c r="R974"/>
      <c r="S974"/>
      <c r="W974" s="24"/>
      <c r="X974" s="24"/>
      <c r="Y974" s="24"/>
      <c r="Z974" s="24"/>
      <c r="AA974" s="24"/>
      <c r="AB974" s="24"/>
      <c r="AC974" s="24"/>
    </row>
    <row r="975" spans="16:29">
      <c r="P975"/>
      <c r="Q975"/>
      <c r="R975"/>
      <c r="S975"/>
      <c r="W975" s="24"/>
      <c r="X975" s="24"/>
      <c r="Y975" s="24"/>
      <c r="Z975" s="24"/>
      <c r="AA975" s="24"/>
      <c r="AB975" s="24"/>
      <c r="AC975" s="24"/>
    </row>
    <row r="976" spans="16:29">
      <c r="P976"/>
      <c r="Q976"/>
      <c r="R976"/>
      <c r="S976"/>
      <c r="W976" s="24"/>
      <c r="X976" s="24"/>
      <c r="Y976" s="24"/>
      <c r="Z976" s="24"/>
      <c r="AA976" s="24"/>
      <c r="AB976" s="24"/>
      <c r="AC976" s="24"/>
    </row>
    <row r="977" spans="16:29">
      <c r="P977"/>
      <c r="Q977"/>
      <c r="R977"/>
      <c r="S977"/>
      <c r="W977" s="24"/>
      <c r="X977" s="24"/>
      <c r="Y977" s="24"/>
      <c r="Z977" s="24"/>
      <c r="AA977" s="24"/>
      <c r="AB977" s="24"/>
      <c r="AC977" s="24"/>
    </row>
    <row r="978" spans="16:29">
      <c r="P978"/>
      <c r="Q978"/>
      <c r="R978"/>
      <c r="S978"/>
      <c r="W978" s="24"/>
      <c r="X978" s="24"/>
      <c r="Y978" s="24"/>
      <c r="Z978" s="24"/>
      <c r="AA978" s="24"/>
      <c r="AB978" s="24"/>
      <c r="AC978" s="24"/>
    </row>
    <row r="979" spans="16:29">
      <c r="P979"/>
      <c r="Q979"/>
      <c r="R979"/>
      <c r="S979"/>
      <c r="W979" s="24"/>
      <c r="X979" s="24"/>
      <c r="Y979" s="24"/>
      <c r="Z979" s="24"/>
      <c r="AA979" s="24"/>
      <c r="AB979" s="24"/>
      <c r="AC979" s="24"/>
    </row>
    <row r="980" spans="16:29">
      <c r="P980"/>
      <c r="Q980"/>
      <c r="R980"/>
      <c r="S980"/>
      <c r="W980" s="24"/>
      <c r="X980" s="24"/>
      <c r="Y980" s="24"/>
      <c r="Z980" s="24"/>
      <c r="AA980" s="24"/>
      <c r="AB980" s="24"/>
      <c r="AC980" s="24"/>
    </row>
    <row r="981" spans="16:29">
      <c r="P981"/>
      <c r="Q981"/>
      <c r="R981"/>
      <c r="S981"/>
      <c r="W981" s="24"/>
      <c r="X981" s="24"/>
      <c r="Y981" s="24"/>
      <c r="Z981" s="24"/>
      <c r="AA981" s="24"/>
      <c r="AB981" s="24"/>
      <c r="AC981" s="24"/>
    </row>
    <row r="982" spans="16:29">
      <c r="P982"/>
      <c r="Q982"/>
      <c r="R982"/>
      <c r="S982"/>
      <c r="W982" s="24"/>
      <c r="X982" s="24"/>
      <c r="Y982" s="24"/>
      <c r="Z982" s="24"/>
      <c r="AA982" s="24"/>
      <c r="AB982" s="24"/>
      <c r="AC982" s="24"/>
    </row>
    <row r="983" spans="16:29">
      <c r="P983"/>
      <c r="Q983"/>
      <c r="R983"/>
      <c r="S983"/>
      <c r="W983" s="24"/>
      <c r="X983" s="24"/>
      <c r="Y983" s="24"/>
      <c r="Z983" s="24"/>
      <c r="AA983" s="24"/>
      <c r="AB983" s="24"/>
      <c r="AC983" s="24"/>
    </row>
    <row r="984" spans="16:29">
      <c r="P984"/>
      <c r="Q984"/>
      <c r="R984"/>
      <c r="S984"/>
      <c r="W984" s="24"/>
      <c r="X984" s="24"/>
      <c r="Y984" s="24"/>
      <c r="Z984" s="24"/>
      <c r="AA984" s="24"/>
      <c r="AB984" s="24"/>
      <c r="AC984" s="24"/>
    </row>
    <row r="985" spans="16:29">
      <c r="P985"/>
      <c r="Q985"/>
      <c r="R985"/>
      <c r="S985"/>
      <c r="W985" s="24"/>
      <c r="X985" s="24"/>
      <c r="Y985" s="24"/>
      <c r="Z985" s="24"/>
      <c r="AA985" s="24"/>
      <c r="AB985" s="24"/>
      <c r="AC985" s="24"/>
    </row>
    <row r="986" spans="16:29">
      <c r="P986"/>
      <c r="Q986"/>
      <c r="R986"/>
      <c r="S986"/>
      <c r="W986" s="24"/>
      <c r="X986" s="24"/>
      <c r="Y986" s="24"/>
      <c r="Z986" s="24"/>
      <c r="AA986" s="24"/>
      <c r="AB986" s="24"/>
      <c r="AC986" s="24"/>
    </row>
    <row r="987" spans="16:29">
      <c r="P987"/>
      <c r="Q987"/>
      <c r="R987"/>
      <c r="S987"/>
      <c r="W987" s="24"/>
      <c r="X987" s="24"/>
      <c r="Y987" s="24"/>
      <c r="Z987" s="24"/>
      <c r="AA987" s="24"/>
      <c r="AB987" s="24"/>
      <c r="AC987" s="24"/>
    </row>
    <row r="988" spans="16:29">
      <c r="P988"/>
      <c r="Q988"/>
      <c r="R988"/>
      <c r="S988"/>
      <c r="W988" s="24"/>
      <c r="X988" s="24"/>
      <c r="Y988" s="24"/>
      <c r="Z988" s="24"/>
      <c r="AA988" s="24"/>
      <c r="AB988" s="24"/>
      <c r="AC988" s="24"/>
    </row>
    <row r="989" spans="16:29">
      <c r="P989"/>
      <c r="Q989"/>
      <c r="R989"/>
      <c r="S989"/>
      <c r="W989" s="24"/>
      <c r="X989" s="24"/>
      <c r="Y989" s="24"/>
      <c r="Z989" s="24"/>
      <c r="AA989" s="24"/>
      <c r="AB989" s="24"/>
      <c r="AC989" s="24"/>
    </row>
    <row r="990" spans="16:29">
      <c r="P990"/>
      <c r="Q990"/>
      <c r="R990"/>
      <c r="S990"/>
      <c r="W990" s="24"/>
      <c r="X990" s="24"/>
      <c r="Y990" s="24"/>
      <c r="Z990" s="24"/>
      <c r="AA990" s="24"/>
      <c r="AB990" s="24"/>
      <c r="AC990" s="24"/>
    </row>
    <row r="991" spans="16:29">
      <c r="P991"/>
      <c r="Q991"/>
      <c r="R991"/>
      <c r="S991"/>
      <c r="W991" s="24"/>
      <c r="X991" s="24"/>
      <c r="Y991" s="24"/>
      <c r="Z991" s="24"/>
      <c r="AA991" s="24"/>
      <c r="AB991" s="24"/>
      <c r="AC991" s="24"/>
    </row>
    <row r="992" spans="16:29">
      <c r="P992"/>
      <c r="Q992"/>
      <c r="R992"/>
      <c r="S992"/>
      <c r="W992" s="24"/>
      <c r="X992" s="24"/>
      <c r="Y992" s="24"/>
      <c r="Z992" s="24"/>
      <c r="AA992" s="24"/>
      <c r="AB992" s="24"/>
      <c r="AC992" s="24"/>
    </row>
    <row r="993" spans="16:29">
      <c r="P993"/>
      <c r="Q993"/>
      <c r="R993"/>
      <c r="S993"/>
      <c r="W993" s="24"/>
      <c r="X993" s="24"/>
      <c r="Y993" s="24"/>
      <c r="Z993" s="24"/>
      <c r="AA993" s="24"/>
      <c r="AB993" s="24"/>
      <c r="AC993" s="24"/>
    </row>
    <row r="994" spans="16:29">
      <c r="P994"/>
      <c r="Q994"/>
      <c r="R994"/>
      <c r="S994"/>
      <c r="W994" s="24"/>
      <c r="X994" s="24"/>
      <c r="Y994" s="24"/>
      <c r="Z994" s="24"/>
      <c r="AA994" s="24"/>
      <c r="AB994" s="24"/>
      <c r="AC994" s="24"/>
    </row>
    <row r="995" spans="16:29">
      <c r="P995"/>
      <c r="Q995"/>
      <c r="R995"/>
      <c r="S995"/>
      <c r="W995" s="24"/>
      <c r="X995" s="24"/>
      <c r="Y995" s="24"/>
      <c r="Z995" s="24"/>
      <c r="AA995" s="24"/>
      <c r="AB995" s="24"/>
      <c r="AC995" s="24"/>
    </row>
    <row r="996" spans="16:29">
      <c r="P996"/>
      <c r="Q996"/>
      <c r="R996"/>
      <c r="S996"/>
      <c r="W996" s="24"/>
      <c r="X996" s="24"/>
      <c r="Y996" s="24"/>
      <c r="Z996" s="24"/>
      <c r="AA996" s="24"/>
      <c r="AB996" s="24"/>
      <c r="AC996" s="24"/>
    </row>
    <row r="997" spans="16:29">
      <c r="P997"/>
      <c r="Q997"/>
      <c r="R997"/>
      <c r="S997"/>
      <c r="W997" s="24"/>
      <c r="X997" s="24"/>
      <c r="Y997" s="24"/>
      <c r="Z997" s="24"/>
      <c r="AA997" s="24"/>
      <c r="AB997" s="24"/>
      <c r="AC997" s="24"/>
    </row>
    <row r="998" spans="16:29">
      <c r="P998"/>
      <c r="Q998"/>
      <c r="R998"/>
      <c r="S998"/>
      <c r="W998" s="24"/>
      <c r="X998" s="24"/>
      <c r="Y998" s="24"/>
      <c r="Z998" s="24"/>
      <c r="AA998" s="24"/>
      <c r="AB998" s="24"/>
      <c r="AC998" s="24"/>
    </row>
    <row r="999" spans="16:29">
      <c r="P999"/>
      <c r="Q999"/>
      <c r="R999"/>
      <c r="S999"/>
      <c r="W999" s="24"/>
      <c r="X999" s="24"/>
      <c r="Y999" s="24"/>
      <c r="Z999" s="24"/>
      <c r="AA999" s="24"/>
      <c r="AB999" s="24"/>
      <c r="AC999" s="24"/>
    </row>
    <row r="1000" spans="16:29">
      <c r="P1000"/>
      <c r="Q1000"/>
      <c r="R1000"/>
      <c r="S1000"/>
      <c r="W1000" s="24"/>
      <c r="X1000" s="24"/>
      <c r="Y1000" s="24"/>
      <c r="Z1000" s="24"/>
      <c r="AA1000" s="24"/>
      <c r="AB1000" s="24"/>
      <c r="AC1000" s="24"/>
    </row>
    <row r="1001" spans="16:29">
      <c r="P1001"/>
      <c r="Q1001"/>
      <c r="R1001"/>
      <c r="S1001"/>
      <c r="W1001" s="24"/>
      <c r="X1001" s="24"/>
      <c r="Y1001" s="24"/>
      <c r="Z1001" s="24"/>
      <c r="AA1001" s="24"/>
      <c r="AB1001" s="24"/>
      <c r="AC1001" s="24"/>
    </row>
    <row r="1002" spans="16:29">
      <c r="P1002"/>
      <c r="Q1002"/>
      <c r="R1002"/>
      <c r="S1002"/>
      <c r="W1002" s="24"/>
      <c r="X1002" s="24"/>
      <c r="Y1002" s="24"/>
      <c r="Z1002" s="24"/>
      <c r="AA1002" s="24"/>
      <c r="AB1002" s="24"/>
      <c r="AC1002" s="24"/>
    </row>
    <row r="1003" spans="16:29">
      <c r="P1003"/>
      <c r="Q1003"/>
      <c r="R1003"/>
      <c r="S1003"/>
      <c r="W1003" s="24"/>
      <c r="X1003" s="24"/>
      <c r="Y1003" s="24"/>
      <c r="Z1003" s="24"/>
      <c r="AA1003" s="24"/>
      <c r="AB1003" s="24"/>
      <c r="AC1003" s="24"/>
    </row>
    <row r="1004" spans="16:29">
      <c r="P1004"/>
      <c r="Q1004"/>
      <c r="R1004"/>
      <c r="S1004"/>
      <c r="W1004" s="24"/>
      <c r="X1004" s="24"/>
      <c r="Y1004" s="24"/>
      <c r="Z1004" s="24"/>
      <c r="AA1004" s="24"/>
      <c r="AB1004" s="24"/>
      <c r="AC1004" s="24"/>
    </row>
    <row r="1005" spans="16:29">
      <c r="P1005"/>
      <c r="Q1005"/>
      <c r="R1005"/>
      <c r="S1005"/>
      <c r="W1005" s="24"/>
      <c r="X1005" s="24"/>
      <c r="Y1005" s="24"/>
      <c r="Z1005" s="24"/>
      <c r="AA1005" s="24"/>
      <c r="AB1005" s="24"/>
      <c r="AC1005" s="24"/>
    </row>
    <row r="1006" spans="16:29">
      <c r="P1006"/>
      <c r="Q1006"/>
      <c r="R1006"/>
      <c r="S1006"/>
      <c r="W1006" s="24"/>
      <c r="X1006" s="24"/>
      <c r="Y1006" s="24"/>
      <c r="Z1006" s="24"/>
      <c r="AA1006" s="24"/>
      <c r="AB1006" s="24"/>
      <c r="AC1006" s="24"/>
    </row>
    <row r="1007" spans="16:29">
      <c r="P1007"/>
      <c r="Q1007"/>
      <c r="R1007"/>
      <c r="S1007"/>
      <c r="W1007" s="24"/>
      <c r="X1007" s="24"/>
      <c r="Y1007" s="24"/>
      <c r="Z1007" s="24"/>
      <c r="AA1007" s="24"/>
      <c r="AB1007" s="24"/>
      <c r="AC1007" s="24"/>
    </row>
    <row r="1008" spans="16:29">
      <c r="P1008"/>
      <c r="Q1008"/>
      <c r="R1008"/>
      <c r="S1008"/>
      <c r="W1008" s="24"/>
      <c r="X1008" s="24"/>
      <c r="Y1008" s="24"/>
      <c r="Z1008" s="24"/>
      <c r="AA1008" s="24"/>
      <c r="AB1008" s="24"/>
      <c r="AC1008" s="24"/>
    </row>
    <row r="1009" spans="16:29">
      <c r="P1009"/>
      <c r="Q1009"/>
      <c r="R1009"/>
      <c r="S1009"/>
      <c r="W1009" s="24"/>
      <c r="X1009" s="24"/>
      <c r="Y1009" s="24"/>
      <c r="Z1009" s="24"/>
      <c r="AA1009" s="24"/>
      <c r="AB1009" s="24"/>
      <c r="AC1009" s="24"/>
    </row>
    <row r="1010" spans="16:29">
      <c r="P1010"/>
      <c r="Q1010"/>
      <c r="R1010"/>
      <c r="S1010"/>
      <c r="W1010" s="24"/>
      <c r="X1010" s="24"/>
      <c r="Y1010" s="24"/>
      <c r="Z1010" s="24"/>
      <c r="AA1010" s="24"/>
      <c r="AB1010" s="24"/>
      <c r="AC1010" s="24"/>
    </row>
    <row r="1011" spans="16:29">
      <c r="P1011"/>
      <c r="Q1011"/>
      <c r="R1011"/>
      <c r="S1011"/>
      <c r="W1011" s="24"/>
      <c r="X1011" s="24"/>
      <c r="Y1011" s="24"/>
      <c r="Z1011" s="24"/>
      <c r="AA1011" s="24"/>
      <c r="AB1011" s="24"/>
      <c r="AC1011" s="24"/>
    </row>
    <row r="1012" spans="16:29">
      <c r="P1012"/>
      <c r="Q1012"/>
      <c r="R1012"/>
      <c r="S1012"/>
      <c r="W1012" s="24"/>
      <c r="X1012" s="24"/>
      <c r="Y1012" s="24"/>
      <c r="Z1012" s="24"/>
      <c r="AA1012" s="24"/>
      <c r="AB1012" s="24"/>
      <c r="AC1012" s="24"/>
    </row>
    <row r="1013" spans="16:29">
      <c r="P1013"/>
      <c r="Q1013"/>
      <c r="R1013"/>
      <c r="S1013"/>
      <c r="W1013" s="24"/>
      <c r="X1013" s="24"/>
      <c r="Y1013" s="24"/>
      <c r="Z1013" s="24"/>
      <c r="AA1013" s="24"/>
      <c r="AB1013" s="24"/>
      <c r="AC1013" s="24"/>
    </row>
    <row r="1014" spans="16:29">
      <c r="P1014"/>
      <c r="Q1014"/>
      <c r="R1014"/>
      <c r="S1014"/>
      <c r="W1014" s="24"/>
      <c r="X1014" s="24"/>
      <c r="Y1014" s="24"/>
      <c r="Z1014" s="24"/>
      <c r="AA1014" s="24"/>
      <c r="AB1014" s="24"/>
      <c r="AC1014" s="24"/>
    </row>
    <row r="1015" spans="16:29">
      <c r="P1015"/>
      <c r="Q1015"/>
      <c r="R1015"/>
      <c r="S1015"/>
      <c r="W1015" s="24"/>
      <c r="X1015" s="24"/>
      <c r="Y1015" s="24"/>
      <c r="Z1015" s="24"/>
      <c r="AA1015" s="24"/>
      <c r="AB1015" s="24"/>
      <c r="AC1015" s="24"/>
    </row>
    <row r="1016" spans="16:29">
      <c r="P1016"/>
      <c r="Q1016"/>
      <c r="R1016"/>
      <c r="S1016"/>
      <c r="W1016" s="24"/>
      <c r="X1016" s="24"/>
      <c r="Y1016" s="24"/>
      <c r="Z1016" s="24"/>
      <c r="AA1016" s="24"/>
      <c r="AB1016" s="24"/>
      <c r="AC1016" s="24"/>
    </row>
    <row r="1017" spans="16:29">
      <c r="P1017"/>
      <c r="Q1017"/>
      <c r="R1017"/>
      <c r="S1017"/>
      <c r="W1017" s="24"/>
      <c r="X1017" s="24"/>
      <c r="Y1017" s="24"/>
      <c r="Z1017" s="24"/>
      <c r="AA1017" s="24"/>
      <c r="AB1017" s="24"/>
      <c r="AC1017" s="24"/>
    </row>
    <row r="1018" spans="16:29">
      <c r="P1018"/>
      <c r="Q1018"/>
      <c r="R1018"/>
      <c r="S1018"/>
      <c r="W1018" s="24"/>
      <c r="X1018" s="24"/>
      <c r="Y1018" s="24"/>
      <c r="Z1018" s="24"/>
      <c r="AA1018" s="24"/>
      <c r="AB1018" s="24"/>
      <c r="AC1018" s="24"/>
    </row>
    <row r="1019" spans="16:29">
      <c r="P1019"/>
      <c r="Q1019"/>
      <c r="R1019"/>
      <c r="S1019"/>
      <c r="W1019" s="24"/>
      <c r="X1019" s="24"/>
      <c r="Y1019" s="24"/>
      <c r="Z1019" s="24"/>
      <c r="AA1019" s="24"/>
      <c r="AB1019" s="24"/>
      <c r="AC1019" s="24"/>
    </row>
    <row r="1020" spans="16:29">
      <c r="P1020"/>
      <c r="Q1020"/>
      <c r="R1020"/>
      <c r="S1020"/>
      <c r="W1020" s="24"/>
      <c r="X1020" s="24"/>
      <c r="Y1020" s="24"/>
      <c r="Z1020" s="24"/>
      <c r="AA1020" s="24"/>
      <c r="AB1020" s="24"/>
      <c r="AC1020" s="24"/>
    </row>
    <row r="1021" spans="16:29">
      <c r="P1021"/>
      <c r="Q1021"/>
      <c r="R1021"/>
      <c r="S1021"/>
      <c r="W1021" s="24"/>
      <c r="X1021" s="24"/>
      <c r="Y1021" s="24"/>
      <c r="Z1021" s="24"/>
      <c r="AA1021" s="24"/>
      <c r="AB1021" s="24"/>
      <c r="AC1021" s="24"/>
    </row>
    <row r="1022" spans="16:29">
      <c r="P1022"/>
      <c r="Q1022"/>
      <c r="R1022"/>
      <c r="S1022"/>
      <c r="W1022" s="24"/>
      <c r="X1022" s="24"/>
      <c r="Y1022" s="24"/>
      <c r="Z1022" s="24"/>
      <c r="AA1022" s="24"/>
      <c r="AB1022" s="24"/>
      <c r="AC1022" s="24"/>
    </row>
    <row r="1023" spans="16:29">
      <c r="P1023"/>
      <c r="Q1023"/>
      <c r="R1023"/>
      <c r="S1023"/>
      <c r="W1023" s="24"/>
      <c r="X1023" s="24"/>
      <c r="Y1023" s="24"/>
      <c r="Z1023" s="24"/>
      <c r="AA1023" s="24"/>
      <c r="AB1023" s="24"/>
      <c r="AC1023" s="24"/>
    </row>
    <row r="1024" spans="16:29">
      <c r="P1024"/>
      <c r="Q1024"/>
      <c r="R1024"/>
      <c r="S1024"/>
      <c r="W1024" s="24"/>
      <c r="X1024" s="24"/>
      <c r="Y1024" s="24"/>
      <c r="Z1024" s="24"/>
      <c r="AA1024" s="24"/>
      <c r="AB1024" s="24"/>
      <c r="AC1024" s="24"/>
    </row>
    <row r="1025" spans="16:29">
      <c r="P1025"/>
      <c r="Q1025"/>
      <c r="R1025"/>
      <c r="S1025"/>
      <c r="W1025" s="24"/>
      <c r="X1025" s="24"/>
      <c r="Y1025" s="24"/>
      <c r="Z1025" s="24"/>
      <c r="AA1025" s="24"/>
      <c r="AB1025" s="24"/>
      <c r="AC1025" s="24"/>
    </row>
    <row r="1026" spans="16:29">
      <c r="P1026"/>
      <c r="Q1026"/>
      <c r="R1026"/>
      <c r="S1026"/>
      <c r="W1026" s="24"/>
      <c r="X1026" s="24"/>
      <c r="Y1026" s="24"/>
      <c r="Z1026" s="24"/>
      <c r="AA1026" s="24"/>
      <c r="AB1026" s="24"/>
      <c r="AC1026" s="24"/>
    </row>
    <row r="1027" spans="16:29">
      <c r="P1027"/>
      <c r="Q1027"/>
      <c r="R1027"/>
      <c r="S1027"/>
      <c r="W1027" s="24"/>
      <c r="X1027" s="24"/>
      <c r="Y1027" s="24"/>
      <c r="Z1027" s="24"/>
      <c r="AA1027" s="24"/>
      <c r="AB1027" s="24"/>
      <c r="AC1027" s="24"/>
    </row>
    <row r="1028" spans="16:29">
      <c r="P1028"/>
      <c r="Q1028"/>
      <c r="R1028"/>
      <c r="S1028"/>
      <c r="W1028" s="24"/>
      <c r="X1028" s="24"/>
      <c r="Y1028" s="24"/>
      <c r="Z1028" s="24"/>
      <c r="AA1028" s="24"/>
      <c r="AB1028" s="24"/>
      <c r="AC1028" s="24"/>
    </row>
    <row r="1029" spans="16:29">
      <c r="P1029"/>
      <c r="Q1029"/>
      <c r="R1029"/>
      <c r="S1029"/>
      <c r="W1029" s="24"/>
      <c r="X1029" s="24"/>
      <c r="Y1029" s="24"/>
      <c r="Z1029" s="24"/>
      <c r="AA1029" s="24"/>
      <c r="AB1029" s="24"/>
      <c r="AC1029" s="24"/>
    </row>
    <row r="1030" spans="16:29">
      <c r="P1030"/>
      <c r="Q1030"/>
      <c r="R1030"/>
      <c r="S1030"/>
      <c r="W1030" s="24"/>
      <c r="X1030" s="24"/>
      <c r="Y1030" s="24"/>
      <c r="Z1030" s="24"/>
      <c r="AA1030" s="24"/>
      <c r="AB1030" s="24"/>
      <c r="AC1030" s="24"/>
    </row>
    <row r="1031" spans="16:29">
      <c r="P1031"/>
      <c r="Q1031"/>
      <c r="R1031"/>
      <c r="S1031"/>
      <c r="W1031" s="24"/>
      <c r="X1031" s="24"/>
      <c r="Y1031" s="24"/>
      <c r="Z1031" s="24"/>
      <c r="AA1031" s="24"/>
      <c r="AB1031" s="24"/>
      <c r="AC1031" s="24"/>
    </row>
    <row r="1032" spans="16:29">
      <c r="P1032"/>
      <c r="Q1032"/>
      <c r="R1032"/>
      <c r="S1032"/>
      <c r="W1032" s="24"/>
      <c r="X1032" s="24"/>
      <c r="Y1032" s="24"/>
      <c r="Z1032" s="24"/>
      <c r="AA1032" s="24"/>
      <c r="AB1032" s="24"/>
      <c r="AC1032" s="24"/>
    </row>
    <row r="1033" spans="16:29">
      <c r="P1033"/>
      <c r="Q1033"/>
      <c r="R1033"/>
      <c r="S1033"/>
      <c r="W1033" s="24"/>
      <c r="X1033" s="24"/>
      <c r="Y1033" s="24"/>
      <c r="Z1033" s="24"/>
      <c r="AA1033" s="24"/>
      <c r="AB1033" s="24"/>
      <c r="AC1033" s="24"/>
    </row>
    <row r="1034" spans="16:29">
      <c r="P1034"/>
      <c r="Q1034"/>
      <c r="R1034"/>
      <c r="S1034"/>
      <c r="W1034" s="24"/>
      <c r="X1034" s="24"/>
      <c r="Y1034" s="24"/>
      <c r="Z1034" s="24"/>
      <c r="AA1034" s="24"/>
      <c r="AB1034" s="24"/>
      <c r="AC1034" s="24"/>
    </row>
    <row r="1035" spans="16:29">
      <c r="P1035"/>
      <c r="Q1035"/>
      <c r="R1035"/>
      <c r="S1035"/>
      <c r="W1035" s="24"/>
      <c r="X1035" s="24"/>
      <c r="Y1035" s="24"/>
      <c r="Z1035" s="24"/>
      <c r="AA1035" s="24"/>
      <c r="AB1035" s="24"/>
      <c r="AC1035" s="24"/>
    </row>
    <row r="1036" spans="16:29">
      <c r="P1036"/>
      <c r="Q1036"/>
      <c r="R1036"/>
      <c r="S1036"/>
      <c r="W1036" s="24"/>
      <c r="X1036" s="24"/>
      <c r="Y1036" s="24"/>
      <c r="Z1036" s="24"/>
      <c r="AA1036" s="24"/>
      <c r="AB1036" s="24"/>
      <c r="AC1036" s="24"/>
    </row>
    <row r="1037" spans="16:29">
      <c r="P1037"/>
      <c r="Q1037"/>
      <c r="R1037"/>
      <c r="S1037"/>
      <c r="W1037" s="24"/>
      <c r="X1037" s="24"/>
      <c r="Y1037" s="24"/>
      <c r="Z1037" s="24"/>
      <c r="AA1037" s="24"/>
      <c r="AB1037" s="24"/>
      <c r="AC1037" s="24"/>
    </row>
    <row r="1038" spans="16:29">
      <c r="P1038"/>
      <c r="Q1038"/>
      <c r="R1038"/>
      <c r="S1038"/>
      <c r="W1038" s="24"/>
      <c r="X1038" s="24"/>
      <c r="Y1038" s="24"/>
      <c r="Z1038" s="24"/>
      <c r="AA1038" s="24"/>
      <c r="AB1038" s="24"/>
      <c r="AC1038" s="24"/>
    </row>
    <row r="1039" spans="16:29">
      <c r="P1039"/>
      <c r="Q1039"/>
      <c r="R1039"/>
      <c r="S1039"/>
      <c r="W1039" s="24"/>
      <c r="X1039" s="24"/>
      <c r="Y1039" s="24"/>
      <c r="Z1039" s="24"/>
      <c r="AA1039" s="24"/>
      <c r="AB1039" s="24"/>
      <c r="AC1039" s="24"/>
    </row>
    <row r="1040" spans="16:29">
      <c r="P1040"/>
      <c r="Q1040"/>
      <c r="R1040"/>
      <c r="S1040"/>
      <c r="W1040" s="24"/>
      <c r="X1040" s="24"/>
      <c r="Y1040" s="24"/>
      <c r="Z1040" s="24"/>
      <c r="AA1040" s="24"/>
      <c r="AB1040" s="24"/>
      <c r="AC1040" s="24"/>
    </row>
    <row r="1041" spans="16:29">
      <c r="P1041"/>
      <c r="Q1041"/>
      <c r="R1041"/>
      <c r="S1041"/>
      <c r="W1041" s="24"/>
      <c r="X1041" s="24"/>
      <c r="Y1041" s="24"/>
      <c r="Z1041" s="24"/>
      <c r="AA1041" s="24"/>
      <c r="AB1041" s="24"/>
      <c r="AC1041" s="24"/>
    </row>
    <row r="1042" spans="16:29">
      <c r="P1042"/>
      <c r="Q1042"/>
      <c r="R1042"/>
      <c r="S1042"/>
      <c r="W1042" s="24"/>
      <c r="X1042" s="24"/>
      <c r="Y1042" s="24"/>
      <c r="Z1042" s="24"/>
      <c r="AA1042" s="24"/>
      <c r="AB1042" s="24"/>
      <c r="AC1042" s="24"/>
    </row>
    <row r="1043" spans="16:29">
      <c r="P1043"/>
      <c r="Q1043"/>
      <c r="R1043"/>
      <c r="S1043"/>
      <c r="W1043" s="24"/>
      <c r="X1043" s="24"/>
      <c r="Y1043" s="24"/>
      <c r="Z1043" s="24"/>
      <c r="AA1043" s="24"/>
      <c r="AB1043" s="24"/>
      <c r="AC1043" s="24"/>
    </row>
    <row r="1044" spans="16:29">
      <c r="P1044"/>
      <c r="Q1044"/>
      <c r="R1044"/>
      <c r="S1044"/>
      <c r="W1044" s="24"/>
      <c r="X1044" s="24"/>
      <c r="Y1044" s="24"/>
      <c r="Z1044" s="24"/>
      <c r="AA1044" s="24"/>
      <c r="AB1044" s="24"/>
      <c r="AC1044" s="24"/>
    </row>
    <row r="1045" spans="16:29">
      <c r="P1045"/>
      <c r="Q1045"/>
      <c r="R1045"/>
      <c r="S1045"/>
      <c r="W1045" s="24"/>
      <c r="X1045" s="24"/>
      <c r="Y1045" s="24"/>
      <c r="Z1045" s="24"/>
      <c r="AA1045" s="24"/>
      <c r="AB1045" s="24"/>
      <c r="AC1045" s="24"/>
    </row>
    <row r="1046" spans="16:29">
      <c r="P1046"/>
      <c r="Q1046"/>
      <c r="R1046"/>
      <c r="S1046"/>
      <c r="W1046" s="24"/>
      <c r="X1046" s="24"/>
      <c r="Y1046" s="24"/>
      <c r="Z1046" s="24"/>
      <c r="AA1046" s="24"/>
      <c r="AB1046" s="24"/>
      <c r="AC1046" s="24"/>
    </row>
    <row r="1047" spans="16:29">
      <c r="P1047"/>
      <c r="Q1047"/>
      <c r="R1047"/>
      <c r="S1047"/>
      <c r="W1047" s="24"/>
      <c r="X1047" s="24"/>
      <c r="Y1047" s="24"/>
      <c r="Z1047" s="24"/>
      <c r="AA1047" s="24"/>
      <c r="AB1047" s="24"/>
      <c r="AC1047" s="24"/>
    </row>
    <row r="1048" spans="16:29">
      <c r="P1048"/>
      <c r="Q1048"/>
      <c r="R1048"/>
      <c r="S1048"/>
      <c r="W1048" s="24"/>
      <c r="X1048" s="24"/>
      <c r="Y1048" s="24"/>
      <c r="Z1048" s="24"/>
      <c r="AA1048" s="24"/>
      <c r="AB1048" s="24"/>
      <c r="AC1048" s="24"/>
    </row>
  </sheetData>
  <sheetProtection algorithmName="SHA-512" hashValue="tLhXrND5RlStXtLGtbNdFtD/TO+KFAckPkhn8nfQsLuy+oc65KO7HzVHM3lPOcXTbVaX+Qy1yLHtFNV45HNekg==" saltValue="/jDxikBpsyk8jJPjeBpBRQ==" spinCount="100000" sheet="1" objects="1" scenarios="1" selectLockedCells="1"/>
  <customSheetViews>
    <customSheetView guid="{88029C9E-0AAA-4AEA-8FBA-3530118F01BF}" hiddenRows="1" topLeftCell="J1">
      <selection activeCell="B530" sqref="B530"/>
      <pageMargins left="0.7" right="0.7" top="0.78740157499999996" bottom="0.78740157499999996" header="0.3" footer="0.3"/>
      <pageSetup paperSize="9" orientation="portrait" r:id="rId1"/>
    </customSheetView>
  </customSheetViews>
  <mergeCells count="57">
    <mergeCell ref="P5:T5"/>
    <mergeCell ref="V47:X47"/>
    <mergeCell ref="V48:Z48"/>
    <mergeCell ref="AB48:AF48"/>
    <mergeCell ref="L50:L51"/>
    <mergeCell ref="P50:T50"/>
    <mergeCell ref="P15:T15"/>
    <mergeCell ref="P35:T35"/>
    <mergeCell ref="P529:T529"/>
    <mergeCell ref="V57:Z57"/>
    <mergeCell ref="AB57:AF57"/>
    <mergeCell ref="P99:T99"/>
    <mergeCell ref="P163:T163"/>
    <mergeCell ref="P230:T230"/>
    <mergeCell ref="W329:AA329"/>
    <mergeCell ref="AC329:AG329"/>
    <mergeCell ref="P300:T300"/>
    <mergeCell ref="H352:H353"/>
    <mergeCell ref="P352:T352"/>
    <mergeCell ref="P398:T398"/>
    <mergeCell ref="P452:T452"/>
    <mergeCell ref="P467:T467"/>
    <mergeCell ref="B648:B662"/>
    <mergeCell ref="J667:L681"/>
    <mergeCell ref="W547:AA547"/>
    <mergeCell ref="W555:AA555"/>
    <mergeCell ref="AC555:AG555"/>
    <mergeCell ref="W563:AA563"/>
    <mergeCell ref="AC563:AG563"/>
    <mergeCell ref="P564:T564"/>
    <mergeCell ref="V703:W703"/>
    <mergeCell ref="W570:AA570"/>
    <mergeCell ref="AC570:AG570"/>
    <mergeCell ref="P605:T605"/>
    <mergeCell ref="J629:L643"/>
    <mergeCell ref="B686:C700"/>
    <mergeCell ref="R702:U702"/>
    <mergeCell ref="K703:O703"/>
    <mergeCell ref="R703:S703"/>
    <mergeCell ref="T703:U703"/>
    <mergeCell ref="K723:N723"/>
    <mergeCell ref="S723:V723"/>
    <mergeCell ref="K724:N724"/>
    <mergeCell ref="S724:V724"/>
    <mergeCell ref="K725:L725"/>
    <mergeCell ref="M725:N725"/>
    <mergeCell ref="O725:P725"/>
    <mergeCell ref="S725:V725"/>
    <mergeCell ref="P851:T851"/>
    <mergeCell ref="G900:G901"/>
    <mergeCell ref="K742:N742"/>
    <mergeCell ref="S742:V742"/>
    <mergeCell ref="K743:N743"/>
    <mergeCell ref="S743:V743"/>
    <mergeCell ref="K744:N744"/>
    <mergeCell ref="P744:Q744"/>
    <mergeCell ref="S744:V744"/>
  </mergeCells>
  <dataValidations disablePrompts="1" count="1">
    <dataValidation type="list" allowBlank="1" showInputMessage="1" showErrorMessage="1" sqref="B769 B896 B560 B59 B578 B325 B374 B410 B483" xr:uid="{00000000-0002-0000-0000-000000000000}">
      <formula1>$V$7:$V$16</formula1>
    </dataValidation>
  </dataValidations>
  <pageMargins left="0.7" right="0.7" top="0.78740157499999996" bottom="0.78740157499999996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Equation.3" shapeId="1025" r:id="rId5">
          <objectPr defaultSize="0" autoPict="0" r:id="rId6">
            <anchor moveWithCells="1">
              <from>
                <xdr:col>2</xdr:col>
                <xdr:colOff>704850</xdr:colOff>
                <xdr:row>68</xdr:row>
                <xdr:rowOff>133350</xdr:rowOff>
              </from>
              <to>
                <xdr:col>4</xdr:col>
                <xdr:colOff>561975</xdr:colOff>
                <xdr:row>69</xdr:row>
                <xdr:rowOff>190500</xdr:rowOff>
              </to>
            </anchor>
          </objectPr>
        </oleObject>
      </mc:Choice>
      <mc:Fallback>
        <oleObject progId="Equation.3" shapeId="1025" r:id="rId5"/>
      </mc:Fallback>
    </mc:AlternateContent>
    <mc:AlternateContent xmlns:mc="http://schemas.openxmlformats.org/markup-compatibility/2006">
      <mc:Choice Requires="x14">
        <oleObject progId="Equation.3" shapeId="1027" r:id="rId7">
          <objectPr defaultSize="0" autoPict="0" r:id="rId8">
            <anchor moveWithCells="1">
              <from>
                <xdr:col>7</xdr:col>
                <xdr:colOff>695325</xdr:colOff>
                <xdr:row>43</xdr:row>
                <xdr:rowOff>180975</xdr:rowOff>
              </from>
              <to>
                <xdr:col>11</xdr:col>
                <xdr:colOff>647700</xdr:colOff>
                <xdr:row>44</xdr:row>
                <xdr:rowOff>285750</xdr:rowOff>
              </to>
            </anchor>
          </objectPr>
        </oleObject>
      </mc:Choice>
      <mc:Fallback>
        <oleObject progId="Equation.3" shapeId="1027" r:id="rId7"/>
      </mc:Fallback>
    </mc:AlternateContent>
    <mc:AlternateContent xmlns:mc="http://schemas.openxmlformats.org/markup-compatibility/2006">
      <mc:Choice Requires="x14">
        <oleObject progId="Equation.3" shapeId="1028" r:id="rId9">
          <objectPr defaultSize="0" autoPict="0" r:id="rId10">
            <anchor moveWithCells="1">
              <from>
                <xdr:col>4</xdr:col>
                <xdr:colOff>676275</xdr:colOff>
                <xdr:row>58</xdr:row>
                <xdr:rowOff>142875</xdr:rowOff>
              </from>
              <to>
                <xdr:col>9</xdr:col>
                <xdr:colOff>552450</xdr:colOff>
                <xdr:row>60</xdr:row>
                <xdr:rowOff>19050</xdr:rowOff>
              </to>
            </anchor>
          </objectPr>
        </oleObject>
      </mc:Choice>
      <mc:Fallback>
        <oleObject progId="Equation.3" shapeId="1028" r:id="rId9"/>
      </mc:Fallback>
    </mc:AlternateContent>
    <mc:AlternateContent xmlns:mc="http://schemas.openxmlformats.org/markup-compatibility/2006">
      <mc:Choice Requires="x14">
        <oleObject progId="Equation.3" shapeId="1029" r:id="rId11">
          <objectPr defaultSize="0" autoPict="0" r:id="rId12">
            <anchor moveWithCells="1">
              <from>
                <xdr:col>2</xdr:col>
                <xdr:colOff>676275</xdr:colOff>
                <xdr:row>70</xdr:row>
                <xdr:rowOff>19050</xdr:rowOff>
              </from>
              <to>
                <xdr:col>4</xdr:col>
                <xdr:colOff>561975</xdr:colOff>
                <xdr:row>71</xdr:row>
                <xdr:rowOff>9525</xdr:rowOff>
              </to>
            </anchor>
          </objectPr>
        </oleObject>
      </mc:Choice>
      <mc:Fallback>
        <oleObject progId="Equation.3" shapeId="1029" r:id="rId11"/>
      </mc:Fallback>
    </mc:AlternateContent>
    <mc:AlternateContent xmlns:mc="http://schemas.openxmlformats.org/markup-compatibility/2006">
      <mc:Choice Requires="x14">
        <oleObject progId="Equation.3" shapeId="1030" r:id="rId13">
          <objectPr defaultSize="0" autoPict="0" r:id="rId6">
            <anchor moveWithCells="1">
              <from>
                <xdr:col>4</xdr:col>
                <xdr:colOff>542925</xdr:colOff>
                <xdr:row>117</xdr:row>
                <xdr:rowOff>123825</xdr:rowOff>
              </from>
              <to>
                <xdr:col>6</xdr:col>
                <xdr:colOff>400050</xdr:colOff>
                <xdr:row>118</xdr:row>
                <xdr:rowOff>190500</xdr:rowOff>
              </to>
            </anchor>
          </objectPr>
        </oleObject>
      </mc:Choice>
      <mc:Fallback>
        <oleObject progId="Equation.3" shapeId="1030" r:id="rId13"/>
      </mc:Fallback>
    </mc:AlternateContent>
    <mc:AlternateContent xmlns:mc="http://schemas.openxmlformats.org/markup-compatibility/2006">
      <mc:Choice Requires="x14">
        <oleObject progId="Equation.3" shapeId="1031" r:id="rId14">
          <objectPr defaultSize="0" autoPict="0" r:id="rId15">
            <anchor moveWithCells="1">
              <from>
                <xdr:col>4</xdr:col>
                <xdr:colOff>571500</xdr:colOff>
                <xdr:row>119</xdr:row>
                <xdr:rowOff>19050</xdr:rowOff>
              </from>
              <to>
                <xdr:col>6</xdr:col>
                <xdr:colOff>457200</xdr:colOff>
                <xdr:row>120</xdr:row>
                <xdr:rowOff>9525</xdr:rowOff>
              </to>
            </anchor>
          </objectPr>
        </oleObject>
      </mc:Choice>
      <mc:Fallback>
        <oleObject progId="Equation.3" shapeId="1031" r:id="rId14"/>
      </mc:Fallback>
    </mc:AlternateContent>
    <mc:AlternateContent xmlns:mc="http://schemas.openxmlformats.org/markup-compatibility/2006">
      <mc:Choice Requires="x14">
        <oleObject progId="Equation.3" shapeId="1032" r:id="rId16">
          <objectPr defaultSize="0" autoPict="0" r:id="rId6">
            <anchor moveWithCells="1">
              <from>
                <xdr:col>4</xdr:col>
                <xdr:colOff>28575</xdr:colOff>
                <xdr:row>186</xdr:row>
                <xdr:rowOff>123825</xdr:rowOff>
              </from>
              <to>
                <xdr:col>5</xdr:col>
                <xdr:colOff>647700</xdr:colOff>
                <xdr:row>188</xdr:row>
                <xdr:rowOff>0</xdr:rowOff>
              </to>
            </anchor>
          </objectPr>
        </oleObject>
      </mc:Choice>
      <mc:Fallback>
        <oleObject progId="Equation.3" shapeId="1032" r:id="rId16"/>
      </mc:Fallback>
    </mc:AlternateContent>
    <mc:AlternateContent xmlns:mc="http://schemas.openxmlformats.org/markup-compatibility/2006">
      <mc:Choice Requires="x14">
        <oleObject progId="Equation.3" shapeId="1033" r:id="rId17">
          <objectPr defaultSize="0" autoPict="0" r:id="rId18">
            <anchor moveWithCells="1">
              <from>
                <xdr:col>4</xdr:col>
                <xdr:colOff>28575</xdr:colOff>
                <xdr:row>188</xdr:row>
                <xdr:rowOff>28575</xdr:rowOff>
              </from>
              <to>
                <xdr:col>5</xdr:col>
                <xdr:colOff>676275</xdr:colOff>
                <xdr:row>189</xdr:row>
                <xdr:rowOff>19050</xdr:rowOff>
              </to>
            </anchor>
          </objectPr>
        </oleObject>
      </mc:Choice>
      <mc:Fallback>
        <oleObject progId="Equation.3" shapeId="1033" r:id="rId17"/>
      </mc:Fallback>
    </mc:AlternateContent>
    <mc:AlternateContent xmlns:mc="http://schemas.openxmlformats.org/markup-compatibility/2006">
      <mc:Choice Requires="x14">
        <oleObject progId="Equation.3" shapeId="1034" r:id="rId19">
          <objectPr defaultSize="0" autoPict="0" r:id="rId20">
            <anchor moveWithCells="1">
              <from>
                <xdr:col>7</xdr:col>
                <xdr:colOff>133350</xdr:colOff>
                <xdr:row>231</xdr:row>
                <xdr:rowOff>0</xdr:rowOff>
              </from>
              <to>
                <xdr:col>11</xdr:col>
                <xdr:colOff>619125</xdr:colOff>
                <xdr:row>243</xdr:row>
                <xdr:rowOff>228600</xdr:rowOff>
              </to>
            </anchor>
          </objectPr>
        </oleObject>
      </mc:Choice>
      <mc:Fallback>
        <oleObject progId="Equation.3" shapeId="1034" r:id="rId19"/>
      </mc:Fallback>
    </mc:AlternateContent>
    <mc:AlternateContent xmlns:mc="http://schemas.openxmlformats.org/markup-compatibility/2006">
      <mc:Choice Requires="x14">
        <oleObject progId="Equation.3" shapeId="1035" r:id="rId21">
          <objectPr defaultSize="0" autoPict="0" r:id="rId22">
            <anchor moveWithCells="1">
              <from>
                <xdr:col>8</xdr:col>
                <xdr:colOff>133350</xdr:colOff>
                <xdr:row>350</xdr:row>
                <xdr:rowOff>95250</xdr:rowOff>
              </from>
              <to>
                <xdr:col>12</xdr:col>
                <xdr:colOff>752475</xdr:colOff>
                <xdr:row>359</xdr:row>
                <xdr:rowOff>38100</xdr:rowOff>
              </to>
            </anchor>
          </objectPr>
        </oleObject>
      </mc:Choice>
      <mc:Fallback>
        <oleObject progId="Equation.3" shapeId="1035" r:id="rId21"/>
      </mc:Fallback>
    </mc:AlternateContent>
    <mc:AlternateContent xmlns:mc="http://schemas.openxmlformats.org/markup-compatibility/2006">
      <mc:Choice Requires="x14">
        <oleObject progId="Equation.3" shapeId="1036" r:id="rId23">
          <objectPr defaultSize="0" autoPict="0" r:id="rId22">
            <anchor moveWithCells="1">
              <from>
                <xdr:col>7</xdr:col>
                <xdr:colOff>352425</xdr:colOff>
                <xdr:row>162</xdr:row>
                <xdr:rowOff>9525</xdr:rowOff>
              </from>
              <to>
                <xdr:col>12</xdr:col>
                <xdr:colOff>76200</xdr:colOff>
                <xdr:row>166</xdr:row>
                <xdr:rowOff>161925</xdr:rowOff>
              </to>
            </anchor>
          </objectPr>
        </oleObject>
      </mc:Choice>
      <mc:Fallback>
        <oleObject progId="Equation.3" shapeId="1036" r:id="rId23"/>
      </mc:Fallback>
    </mc:AlternateContent>
    <mc:AlternateContent xmlns:mc="http://schemas.openxmlformats.org/markup-compatibility/2006">
      <mc:Choice Requires="x14">
        <oleObject progId="Equation.3" shapeId="1038" r:id="rId24">
          <objectPr defaultSize="0" autoPict="0" r:id="rId6">
            <anchor moveWithCells="1">
              <from>
                <xdr:col>2</xdr:col>
                <xdr:colOff>704850</xdr:colOff>
                <xdr:row>376</xdr:row>
                <xdr:rowOff>133350</xdr:rowOff>
              </from>
              <to>
                <xdr:col>4</xdr:col>
                <xdr:colOff>561975</xdr:colOff>
                <xdr:row>378</xdr:row>
                <xdr:rowOff>0</xdr:rowOff>
              </to>
            </anchor>
          </objectPr>
        </oleObject>
      </mc:Choice>
      <mc:Fallback>
        <oleObject progId="Equation.3" shapeId="1038" r:id="rId24"/>
      </mc:Fallback>
    </mc:AlternateContent>
    <mc:AlternateContent xmlns:mc="http://schemas.openxmlformats.org/markup-compatibility/2006">
      <mc:Choice Requires="x14">
        <oleObject progId="Equation.3" shapeId="1039" r:id="rId25">
          <objectPr defaultSize="0" autoPict="0" r:id="rId12">
            <anchor moveWithCells="1">
              <from>
                <xdr:col>2</xdr:col>
                <xdr:colOff>676275</xdr:colOff>
                <xdr:row>378</xdr:row>
                <xdr:rowOff>19050</xdr:rowOff>
              </from>
              <to>
                <xdr:col>4</xdr:col>
                <xdr:colOff>561975</xdr:colOff>
                <xdr:row>379</xdr:row>
                <xdr:rowOff>9525</xdr:rowOff>
              </to>
            </anchor>
          </objectPr>
        </oleObject>
      </mc:Choice>
      <mc:Fallback>
        <oleObject progId="Equation.3" shapeId="1039" r:id="rId25"/>
      </mc:Fallback>
    </mc:AlternateContent>
    <mc:AlternateContent xmlns:mc="http://schemas.openxmlformats.org/markup-compatibility/2006">
      <mc:Choice Requires="x14">
        <oleObject progId="Equation.3" shapeId="1040" r:id="rId26">
          <objectPr defaultSize="0" autoPict="0" r:id="rId6">
            <anchor moveWithCells="1">
              <from>
                <xdr:col>4</xdr:col>
                <xdr:colOff>542925</xdr:colOff>
                <xdr:row>412</xdr:row>
                <xdr:rowOff>123825</xdr:rowOff>
              </from>
              <to>
                <xdr:col>6</xdr:col>
                <xdr:colOff>400050</xdr:colOff>
                <xdr:row>414</xdr:row>
                <xdr:rowOff>0</xdr:rowOff>
              </to>
            </anchor>
          </objectPr>
        </oleObject>
      </mc:Choice>
      <mc:Fallback>
        <oleObject progId="Equation.3" shapeId="1040" r:id="rId26"/>
      </mc:Fallback>
    </mc:AlternateContent>
    <mc:AlternateContent xmlns:mc="http://schemas.openxmlformats.org/markup-compatibility/2006">
      <mc:Choice Requires="x14">
        <oleObject progId="Equation.3" shapeId="1041" r:id="rId27">
          <objectPr defaultSize="0" autoPict="0" r:id="rId15">
            <anchor moveWithCells="1">
              <from>
                <xdr:col>4</xdr:col>
                <xdr:colOff>571500</xdr:colOff>
                <xdr:row>414</xdr:row>
                <xdr:rowOff>19050</xdr:rowOff>
              </from>
              <to>
                <xdr:col>6</xdr:col>
                <xdr:colOff>457200</xdr:colOff>
                <xdr:row>415</xdr:row>
                <xdr:rowOff>9525</xdr:rowOff>
              </to>
            </anchor>
          </objectPr>
        </oleObject>
      </mc:Choice>
      <mc:Fallback>
        <oleObject progId="Equation.3" shapeId="1041" r:id="rId27"/>
      </mc:Fallback>
    </mc:AlternateContent>
    <mc:AlternateContent xmlns:mc="http://schemas.openxmlformats.org/markup-compatibility/2006">
      <mc:Choice Requires="x14">
        <oleObject progId="Equation.3" shapeId="1042" r:id="rId28">
          <objectPr defaultSize="0" autoPict="0" r:id="rId6">
            <anchor moveWithCells="1">
              <from>
                <xdr:col>4</xdr:col>
                <xdr:colOff>28575</xdr:colOff>
                <xdr:row>485</xdr:row>
                <xdr:rowOff>123825</xdr:rowOff>
              </from>
              <to>
                <xdr:col>5</xdr:col>
                <xdr:colOff>647700</xdr:colOff>
                <xdr:row>487</xdr:row>
                <xdr:rowOff>0</xdr:rowOff>
              </to>
            </anchor>
          </objectPr>
        </oleObject>
      </mc:Choice>
      <mc:Fallback>
        <oleObject progId="Equation.3" shapeId="1042" r:id="rId28"/>
      </mc:Fallback>
    </mc:AlternateContent>
    <mc:AlternateContent xmlns:mc="http://schemas.openxmlformats.org/markup-compatibility/2006">
      <mc:Choice Requires="x14">
        <oleObject progId="Equation.3" shapeId="1043" r:id="rId29">
          <objectPr defaultSize="0" autoPict="0" r:id="rId18">
            <anchor moveWithCells="1">
              <from>
                <xdr:col>4</xdr:col>
                <xdr:colOff>28575</xdr:colOff>
                <xdr:row>487</xdr:row>
                <xdr:rowOff>28575</xdr:rowOff>
              </from>
              <to>
                <xdr:col>5</xdr:col>
                <xdr:colOff>676275</xdr:colOff>
                <xdr:row>488</xdr:row>
                <xdr:rowOff>19050</xdr:rowOff>
              </to>
            </anchor>
          </objectPr>
        </oleObject>
      </mc:Choice>
      <mc:Fallback>
        <oleObject progId="Equation.3" shapeId="1043" r:id="rId29"/>
      </mc:Fallback>
    </mc:AlternateContent>
    <mc:AlternateContent xmlns:mc="http://schemas.openxmlformats.org/markup-compatibility/2006">
      <mc:Choice Requires="x14">
        <oleObject progId="Equation.3" shapeId="1044" r:id="rId30">
          <objectPr defaultSize="0" autoPict="0" r:id="rId31">
            <anchor moveWithCells="1">
              <from>
                <xdr:col>7</xdr:col>
                <xdr:colOff>133350</xdr:colOff>
                <xdr:row>397</xdr:row>
                <xdr:rowOff>142875</xdr:rowOff>
              </from>
              <to>
                <xdr:col>11</xdr:col>
                <xdr:colOff>581025</xdr:colOff>
                <xdr:row>401</xdr:row>
                <xdr:rowOff>66675</xdr:rowOff>
              </to>
            </anchor>
          </objectPr>
        </oleObject>
      </mc:Choice>
      <mc:Fallback>
        <oleObject progId="Equation.3" shapeId="1044" r:id="rId30"/>
      </mc:Fallback>
    </mc:AlternateContent>
    <mc:AlternateContent xmlns:mc="http://schemas.openxmlformats.org/markup-compatibility/2006">
      <mc:Choice Requires="x14">
        <oleObject progId="Equation.3" shapeId="1045" r:id="rId32">
          <objectPr defaultSize="0" autoPict="0" r:id="rId33">
            <anchor moveWithCells="1">
              <from>
                <xdr:col>7</xdr:col>
                <xdr:colOff>133350</xdr:colOff>
                <xdr:row>451</xdr:row>
                <xdr:rowOff>142875</xdr:rowOff>
              </from>
              <to>
                <xdr:col>11</xdr:col>
                <xdr:colOff>581025</xdr:colOff>
                <xdr:row>455</xdr:row>
                <xdr:rowOff>57150</xdr:rowOff>
              </to>
            </anchor>
          </objectPr>
        </oleObject>
      </mc:Choice>
      <mc:Fallback>
        <oleObject progId="Equation.3" shapeId="1045" r:id="rId32"/>
      </mc:Fallback>
    </mc:AlternateContent>
    <mc:AlternateContent xmlns:mc="http://schemas.openxmlformats.org/markup-compatibility/2006">
      <mc:Choice Requires="x14">
        <oleObject progId="Equation.3" shapeId="1046" r:id="rId34">
          <objectPr defaultSize="0" autoPict="0" r:id="rId33">
            <anchor moveWithCells="1">
              <from>
                <xdr:col>7</xdr:col>
                <xdr:colOff>133350</xdr:colOff>
                <xdr:row>530</xdr:row>
                <xdr:rowOff>0</xdr:rowOff>
              </from>
              <to>
                <xdr:col>11</xdr:col>
                <xdr:colOff>581025</xdr:colOff>
                <xdr:row>542</xdr:row>
                <xdr:rowOff>0</xdr:rowOff>
              </to>
            </anchor>
          </objectPr>
        </oleObject>
      </mc:Choice>
      <mc:Fallback>
        <oleObject progId="Equation.3" shapeId="1046" r:id="rId34"/>
      </mc:Fallback>
    </mc:AlternateContent>
    <mc:AlternateContent xmlns:mc="http://schemas.openxmlformats.org/markup-compatibility/2006">
      <mc:Choice Requires="x14">
        <oleObject progId="Equation.3" shapeId="1047" r:id="rId35">
          <objectPr defaultSize="0" autoPict="0" r:id="rId33">
            <anchor moveWithCells="1">
              <from>
                <xdr:col>7</xdr:col>
                <xdr:colOff>133350</xdr:colOff>
                <xdr:row>563</xdr:row>
                <xdr:rowOff>142875</xdr:rowOff>
              </from>
              <to>
                <xdr:col>11</xdr:col>
                <xdr:colOff>581025</xdr:colOff>
                <xdr:row>571</xdr:row>
                <xdr:rowOff>66675</xdr:rowOff>
              </to>
            </anchor>
          </objectPr>
        </oleObject>
      </mc:Choice>
      <mc:Fallback>
        <oleObject progId="Equation.3" shapeId="1047" r:id="rId35"/>
      </mc:Fallback>
    </mc:AlternateContent>
    <mc:AlternateContent xmlns:mc="http://schemas.openxmlformats.org/markup-compatibility/2006">
      <mc:Choice Requires="x14">
        <oleObject progId="Equation.3" shapeId="1048" r:id="rId36">
          <objectPr defaultSize="0" autoPict="0" r:id="rId6">
            <anchor moveWithCells="1">
              <from>
                <xdr:col>2</xdr:col>
                <xdr:colOff>704850</xdr:colOff>
                <xdr:row>580</xdr:row>
                <xdr:rowOff>133350</xdr:rowOff>
              </from>
              <to>
                <xdr:col>4</xdr:col>
                <xdr:colOff>561975</xdr:colOff>
                <xdr:row>582</xdr:row>
                <xdr:rowOff>0</xdr:rowOff>
              </to>
            </anchor>
          </objectPr>
        </oleObject>
      </mc:Choice>
      <mc:Fallback>
        <oleObject progId="Equation.3" shapeId="1048" r:id="rId36"/>
      </mc:Fallback>
    </mc:AlternateContent>
    <mc:AlternateContent xmlns:mc="http://schemas.openxmlformats.org/markup-compatibility/2006">
      <mc:Choice Requires="x14">
        <oleObject progId="Equation.3" shapeId="1049" r:id="rId37">
          <objectPr defaultSize="0" autoPict="0" r:id="rId12">
            <anchor moveWithCells="1">
              <from>
                <xdr:col>2</xdr:col>
                <xdr:colOff>676275</xdr:colOff>
                <xdr:row>582</xdr:row>
                <xdr:rowOff>19050</xdr:rowOff>
              </from>
              <to>
                <xdr:col>4</xdr:col>
                <xdr:colOff>561975</xdr:colOff>
                <xdr:row>583</xdr:row>
                <xdr:rowOff>9525</xdr:rowOff>
              </to>
            </anchor>
          </objectPr>
        </oleObject>
      </mc:Choice>
      <mc:Fallback>
        <oleObject progId="Equation.3" shapeId="1049" r:id="rId37"/>
      </mc:Fallback>
    </mc:AlternateContent>
    <mc:AlternateContent xmlns:mc="http://schemas.openxmlformats.org/markup-compatibility/2006">
      <mc:Choice Requires="x14">
        <oleObject progId="Equation.3" shapeId="1050" r:id="rId38">
          <objectPr defaultSize="0" autoPict="0" r:id="rId6">
            <anchor moveWithCells="1">
              <from>
                <xdr:col>4</xdr:col>
                <xdr:colOff>542925</xdr:colOff>
                <xdr:row>621</xdr:row>
                <xdr:rowOff>123825</xdr:rowOff>
              </from>
              <to>
                <xdr:col>6</xdr:col>
                <xdr:colOff>400050</xdr:colOff>
                <xdr:row>623</xdr:row>
                <xdr:rowOff>0</xdr:rowOff>
              </to>
            </anchor>
          </objectPr>
        </oleObject>
      </mc:Choice>
      <mc:Fallback>
        <oleObject progId="Equation.3" shapeId="1050" r:id="rId38"/>
      </mc:Fallback>
    </mc:AlternateContent>
    <mc:AlternateContent xmlns:mc="http://schemas.openxmlformats.org/markup-compatibility/2006">
      <mc:Choice Requires="x14">
        <oleObject progId="Equation.3" shapeId="1051" r:id="rId39">
          <objectPr defaultSize="0" autoPict="0" r:id="rId15">
            <anchor moveWithCells="1">
              <from>
                <xdr:col>4</xdr:col>
                <xdr:colOff>571500</xdr:colOff>
                <xdr:row>623</xdr:row>
                <xdr:rowOff>19050</xdr:rowOff>
              </from>
              <to>
                <xdr:col>6</xdr:col>
                <xdr:colOff>457200</xdr:colOff>
                <xdr:row>624</xdr:row>
                <xdr:rowOff>9525</xdr:rowOff>
              </to>
            </anchor>
          </objectPr>
        </oleObject>
      </mc:Choice>
      <mc:Fallback>
        <oleObject progId="Equation.3" shapeId="1051" r:id="rId39"/>
      </mc:Fallback>
    </mc:AlternateContent>
    <mc:AlternateContent xmlns:mc="http://schemas.openxmlformats.org/markup-compatibility/2006">
      <mc:Choice Requires="x14">
        <oleObject progId="Equation.3" shapeId="1052" r:id="rId40">
          <objectPr defaultSize="0" autoPict="0" r:id="rId6">
            <anchor moveWithCells="1">
              <from>
                <xdr:col>4</xdr:col>
                <xdr:colOff>28575</xdr:colOff>
                <xdr:row>771</xdr:row>
                <xdr:rowOff>123825</xdr:rowOff>
              </from>
              <to>
                <xdr:col>5</xdr:col>
                <xdr:colOff>647700</xdr:colOff>
                <xdr:row>773</xdr:row>
                <xdr:rowOff>0</xdr:rowOff>
              </to>
            </anchor>
          </objectPr>
        </oleObject>
      </mc:Choice>
      <mc:Fallback>
        <oleObject progId="Equation.3" shapeId="1052" r:id="rId40"/>
      </mc:Fallback>
    </mc:AlternateContent>
    <mc:AlternateContent xmlns:mc="http://schemas.openxmlformats.org/markup-compatibility/2006">
      <mc:Choice Requires="x14">
        <oleObject progId="Equation.3" shapeId="1053" r:id="rId41">
          <objectPr defaultSize="0" autoPict="0" r:id="rId18">
            <anchor moveWithCells="1">
              <from>
                <xdr:col>4</xdr:col>
                <xdr:colOff>28575</xdr:colOff>
                <xdr:row>773</xdr:row>
                <xdr:rowOff>28575</xdr:rowOff>
              </from>
              <to>
                <xdr:col>5</xdr:col>
                <xdr:colOff>676275</xdr:colOff>
                <xdr:row>774</xdr:row>
                <xdr:rowOff>19050</xdr:rowOff>
              </to>
            </anchor>
          </objectPr>
        </oleObject>
      </mc:Choice>
      <mc:Fallback>
        <oleObject progId="Equation.3" shapeId="1053" r:id="rId41"/>
      </mc:Fallback>
    </mc:AlternateContent>
    <mc:AlternateContent xmlns:mc="http://schemas.openxmlformats.org/markup-compatibility/2006">
      <mc:Choice Requires="x14">
        <oleObject progId="Equation.3" shapeId="1054" r:id="rId42">
          <objectPr defaultSize="0" autoPict="0" r:id="rId6">
            <anchor moveWithCells="1">
              <from>
                <xdr:col>2</xdr:col>
                <xdr:colOff>704850</xdr:colOff>
                <xdr:row>68</xdr:row>
                <xdr:rowOff>133350</xdr:rowOff>
              </from>
              <to>
                <xdr:col>4</xdr:col>
                <xdr:colOff>561975</xdr:colOff>
                <xdr:row>69</xdr:row>
                <xdr:rowOff>190500</xdr:rowOff>
              </to>
            </anchor>
          </objectPr>
        </oleObject>
      </mc:Choice>
      <mc:Fallback>
        <oleObject progId="Equation.3" shapeId="1054" r:id="rId42"/>
      </mc:Fallback>
    </mc:AlternateContent>
    <mc:AlternateContent xmlns:mc="http://schemas.openxmlformats.org/markup-compatibility/2006">
      <mc:Choice Requires="x14">
        <oleObject progId="Equation.3" shapeId="1056" r:id="rId43">
          <objectPr defaultSize="0" autoPict="0" r:id="rId10">
            <anchor moveWithCells="1">
              <from>
                <xdr:col>4</xdr:col>
                <xdr:colOff>676275</xdr:colOff>
                <xdr:row>58</xdr:row>
                <xdr:rowOff>142875</xdr:rowOff>
              </from>
              <to>
                <xdr:col>9</xdr:col>
                <xdr:colOff>552450</xdr:colOff>
                <xdr:row>60</xdr:row>
                <xdr:rowOff>19050</xdr:rowOff>
              </to>
            </anchor>
          </objectPr>
        </oleObject>
      </mc:Choice>
      <mc:Fallback>
        <oleObject progId="Equation.3" shapeId="1056" r:id="rId43"/>
      </mc:Fallback>
    </mc:AlternateContent>
    <mc:AlternateContent xmlns:mc="http://schemas.openxmlformats.org/markup-compatibility/2006">
      <mc:Choice Requires="x14">
        <oleObject progId="Equation.3" shapeId="1057" r:id="rId44">
          <objectPr defaultSize="0" autoPict="0" r:id="rId12">
            <anchor moveWithCells="1">
              <from>
                <xdr:col>2</xdr:col>
                <xdr:colOff>676275</xdr:colOff>
                <xdr:row>70</xdr:row>
                <xdr:rowOff>19050</xdr:rowOff>
              </from>
              <to>
                <xdr:col>4</xdr:col>
                <xdr:colOff>561975</xdr:colOff>
                <xdr:row>71</xdr:row>
                <xdr:rowOff>9525</xdr:rowOff>
              </to>
            </anchor>
          </objectPr>
        </oleObject>
      </mc:Choice>
      <mc:Fallback>
        <oleObject progId="Equation.3" shapeId="1057" r:id="rId44"/>
      </mc:Fallback>
    </mc:AlternateContent>
    <mc:AlternateContent xmlns:mc="http://schemas.openxmlformats.org/markup-compatibility/2006">
      <mc:Choice Requires="x14">
        <oleObject progId="Equation.3" shapeId="1058" r:id="rId45">
          <objectPr defaultSize="0" autoPict="0" r:id="rId6">
            <anchor moveWithCells="1">
              <from>
                <xdr:col>4</xdr:col>
                <xdr:colOff>542925</xdr:colOff>
                <xdr:row>117</xdr:row>
                <xdr:rowOff>123825</xdr:rowOff>
              </from>
              <to>
                <xdr:col>6</xdr:col>
                <xdr:colOff>400050</xdr:colOff>
                <xdr:row>118</xdr:row>
                <xdr:rowOff>190500</xdr:rowOff>
              </to>
            </anchor>
          </objectPr>
        </oleObject>
      </mc:Choice>
      <mc:Fallback>
        <oleObject progId="Equation.3" shapeId="1058" r:id="rId45"/>
      </mc:Fallback>
    </mc:AlternateContent>
    <mc:AlternateContent xmlns:mc="http://schemas.openxmlformats.org/markup-compatibility/2006">
      <mc:Choice Requires="x14">
        <oleObject progId="Equation.3" shapeId="1059" r:id="rId46">
          <objectPr defaultSize="0" autoPict="0" r:id="rId15">
            <anchor moveWithCells="1">
              <from>
                <xdr:col>4</xdr:col>
                <xdr:colOff>571500</xdr:colOff>
                <xdr:row>119</xdr:row>
                <xdr:rowOff>19050</xdr:rowOff>
              </from>
              <to>
                <xdr:col>6</xdr:col>
                <xdr:colOff>457200</xdr:colOff>
                <xdr:row>120</xdr:row>
                <xdr:rowOff>9525</xdr:rowOff>
              </to>
            </anchor>
          </objectPr>
        </oleObject>
      </mc:Choice>
      <mc:Fallback>
        <oleObject progId="Equation.3" shapeId="1059" r:id="rId46"/>
      </mc:Fallback>
    </mc:AlternateContent>
    <mc:AlternateContent xmlns:mc="http://schemas.openxmlformats.org/markup-compatibility/2006">
      <mc:Choice Requires="x14">
        <oleObject progId="Equation.3" shapeId="1060" r:id="rId47">
          <objectPr defaultSize="0" autoPict="0" r:id="rId6">
            <anchor moveWithCells="1">
              <from>
                <xdr:col>4</xdr:col>
                <xdr:colOff>28575</xdr:colOff>
                <xdr:row>186</xdr:row>
                <xdr:rowOff>123825</xdr:rowOff>
              </from>
              <to>
                <xdr:col>5</xdr:col>
                <xdr:colOff>647700</xdr:colOff>
                <xdr:row>188</xdr:row>
                <xdr:rowOff>0</xdr:rowOff>
              </to>
            </anchor>
          </objectPr>
        </oleObject>
      </mc:Choice>
      <mc:Fallback>
        <oleObject progId="Equation.3" shapeId="1060" r:id="rId47"/>
      </mc:Fallback>
    </mc:AlternateContent>
    <mc:AlternateContent xmlns:mc="http://schemas.openxmlformats.org/markup-compatibility/2006">
      <mc:Choice Requires="x14">
        <oleObject progId="Equation.3" shapeId="1061" r:id="rId48">
          <objectPr defaultSize="0" autoPict="0" r:id="rId18">
            <anchor moveWithCells="1">
              <from>
                <xdr:col>4</xdr:col>
                <xdr:colOff>28575</xdr:colOff>
                <xdr:row>188</xdr:row>
                <xdr:rowOff>28575</xdr:rowOff>
              </from>
              <to>
                <xdr:col>5</xdr:col>
                <xdr:colOff>676275</xdr:colOff>
                <xdr:row>189</xdr:row>
                <xdr:rowOff>19050</xdr:rowOff>
              </to>
            </anchor>
          </objectPr>
        </oleObject>
      </mc:Choice>
      <mc:Fallback>
        <oleObject progId="Equation.3" shapeId="1061" r:id="rId48"/>
      </mc:Fallback>
    </mc:AlternateContent>
    <mc:AlternateContent xmlns:mc="http://schemas.openxmlformats.org/markup-compatibility/2006">
      <mc:Choice Requires="x14">
        <oleObject progId="Equation.3" shapeId="1062" r:id="rId49">
          <objectPr defaultSize="0" autoPict="0" r:id="rId20">
            <anchor moveWithCells="1">
              <from>
                <xdr:col>7</xdr:col>
                <xdr:colOff>133350</xdr:colOff>
                <xdr:row>231</xdr:row>
                <xdr:rowOff>0</xdr:rowOff>
              </from>
              <to>
                <xdr:col>11</xdr:col>
                <xdr:colOff>619125</xdr:colOff>
                <xdr:row>243</xdr:row>
                <xdr:rowOff>228600</xdr:rowOff>
              </to>
            </anchor>
          </objectPr>
        </oleObject>
      </mc:Choice>
      <mc:Fallback>
        <oleObject progId="Equation.3" shapeId="1062" r:id="rId49"/>
      </mc:Fallback>
    </mc:AlternateContent>
    <mc:AlternateContent xmlns:mc="http://schemas.openxmlformats.org/markup-compatibility/2006">
      <mc:Choice Requires="x14">
        <oleObject progId="Equation.3" shapeId="1063" r:id="rId50">
          <objectPr defaultSize="0" autoPict="0" r:id="rId22">
            <anchor moveWithCells="1">
              <from>
                <xdr:col>8</xdr:col>
                <xdr:colOff>133350</xdr:colOff>
                <xdr:row>350</xdr:row>
                <xdr:rowOff>95250</xdr:rowOff>
              </from>
              <to>
                <xdr:col>12</xdr:col>
                <xdr:colOff>752475</xdr:colOff>
                <xdr:row>359</xdr:row>
                <xdr:rowOff>38100</xdr:rowOff>
              </to>
            </anchor>
          </objectPr>
        </oleObject>
      </mc:Choice>
      <mc:Fallback>
        <oleObject progId="Equation.3" shapeId="1063" r:id="rId50"/>
      </mc:Fallback>
    </mc:AlternateContent>
    <mc:AlternateContent xmlns:mc="http://schemas.openxmlformats.org/markup-compatibility/2006">
      <mc:Choice Requires="x14">
        <oleObject progId="Equation.3" shapeId="1064" r:id="rId51">
          <objectPr defaultSize="0" autoPict="0" r:id="rId22">
            <anchor moveWithCells="1">
              <from>
                <xdr:col>6</xdr:col>
                <xdr:colOff>142875</xdr:colOff>
                <xdr:row>100</xdr:row>
                <xdr:rowOff>142875</xdr:rowOff>
              </from>
              <to>
                <xdr:col>9</xdr:col>
                <xdr:colOff>514350</xdr:colOff>
                <xdr:row>102</xdr:row>
                <xdr:rowOff>628650</xdr:rowOff>
              </to>
            </anchor>
          </objectPr>
        </oleObject>
      </mc:Choice>
      <mc:Fallback>
        <oleObject progId="Equation.3" shapeId="1064" r:id="rId51"/>
      </mc:Fallback>
    </mc:AlternateContent>
    <mc:AlternateContent xmlns:mc="http://schemas.openxmlformats.org/markup-compatibility/2006">
      <mc:Choice Requires="x14">
        <oleObject progId="Equation.3" shapeId="1065" r:id="rId52">
          <objectPr defaultSize="0" autoPict="0" r:id="rId6">
            <anchor moveWithCells="1">
              <from>
                <xdr:col>2</xdr:col>
                <xdr:colOff>704850</xdr:colOff>
                <xdr:row>376</xdr:row>
                <xdr:rowOff>133350</xdr:rowOff>
              </from>
              <to>
                <xdr:col>4</xdr:col>
                <xdr:colOff>561975</xdr:colOff>
                <xdr:row>378</xdr:row>
                <xdr:rowOff>0</xdr:rowOff>
              </to>
            </anchor>
          </objectPr>
        </oleObject>
      </mc:Choice>
      <mc:Fallback>
        <oleObject progId="Equation.3" shapeId="1065" r:id="rId52"/>
      </mc:Fallback>
    </mc:AlternateContent>
    <mc:AlternateContent xmlns:mc="http://schemas.openxmlformats.org/markup-compatibility/2006">
      <mc:Choice Requires="x14">
        <oleObject progId="Equation.3" shapeId="1066" r:id="rId53">
          <objectPr defaultSize="0" autoPict="0" r:id="rId12">
            <anchor moveWithCells="1">
              <from>
                <xdr:col>2</xdr:col>
                <xdr:colOff>676275</xdr:colOff>
                <xdr:row>378</xdr:row>
                <xdr:rowOff>19050</xdr:rowOff>
              </from>
              <to>
                <xdr:col>4</xdr:col>
                <xdr:colOff>561975</xdr:colOff>
                <xdr:row>379</xdr:row>
                <xdr:rowOff>9525</xdr:rowOff>
              </to>
            </anchor>
          </objectPr>
        </oleObject>
      </mc:Choice>
      <mc:Fallback>
        <oleObject progId="Equation.3" shapeId="1066" r:id="rId53"/>
      </mc:Fallback>
    </mc:AlternateContent>
    <mc:AlternateContent xmlns:mc="http://schemas.openxmlformats.org/markup-compatibility/2006">
      <mc:Choice Requires="x14">
        <oleObject progId="Equation.3" shapeId="1067" r:id="rId54">
          <objectPr defaultSize="0" autoPict="0" r:id="rId6">
            <anchor moveWithCells="1">
              <from>
                <xdr:col>4</xdr:col>
                <xdr:colOff>542925</xdr:colOff>
                <xdr:row>412</xdr:row>
                <xdr:rowOff>123825</xdr:rowOff>
              </from>
              <to>
                <xdr:col>6</xdr:col>
                <xdr:colOff>400050</xdr:colOff>
                <xdr:row>414</xdr:row>
                <xdr:rowOff>0</xdr:rowOff>
              </to>
            </anchor>
          </objectPr>
        </oleObject>
      </mc:Choice>
      <mc:Fallback>
        <oleObject progId="Equation.3" shapeId="1067" r:id="rId54"/>
      </mc:Fallback>
    </mc:AlternateContent>
    <mc:AlternateContent xmlns:mc="http://schemas.openxmlformats.org/markup-compatibility/2006">
      <mc:Choice Requires="x14">
        <oleObject progId="Equation.3" shapeId="1068" r:id="rId55">
          <objectPr defaultSize="0" autoPict="0" r:id="rId15">
            <anchor moveWithCells="1">
              <from>
                <xdr:col>4</xdr:col>
                <xdr:colOff>571500</xdr:colOff>
                <xdr:row>414</xdr:row>
                <xdr:rowOff>19050</xdr:rowOff>
              </from>
              <to>
                <xdr:col>6</xdr:col>
                <xdr:colOff>457200</xdr:colOff>
                <xdr:row>415</xdr:row>
                <xdr:rowOff>9525</xdr:rowOff>
              </to>
            </anchor>
          </objectPr>
        </oleObject>
      </mc:Choice>
      <mc:Fallback>
        <oleObject progId="Equation.3" shapeId="1068" r:id="rId55"/>
      </mc:Fallback>
    </mc:AlternateContent>
    <mc:AlternateContent xmlns:mc="http://schemas.openxmlformats.org/markup-compatibility/2006">
      <mc:Choice Requires="x14">
        <oleObject progId="Equation.3" shapeId="1069" r:id="rId56">
          <objectPr defaultSize="0" autoPict="0" r:id="rId6">
            <anchor moveWithCells="1">
              <from>
                <xdr:col>4</xdr:col>
                <xdr:colOff>28575</xdr:colOff>
                <xdr:row>485</xdr:row>
                <xdr:rowOff>123825</xdr:rowOff>
              </from>
              <to>
                <xdr:col>5</xdr:col>
                <xdr:colOff>647700</xdr:colOff>
                <xdr:row>487</xdr:row>
                <xdr:rowOff>0</xdr:rowOff>
              </to>
            </anchor>
          </objectPr>
        </oleObject>
      </mc:Choice>
      <mc:Fallback>
        <oleObject progId="Equation.3" shapeId="1069" r:id="rId56"/>
      </mc:Fallback>
    </mc:AlternateContent>
    <mc:AlternateContent xmlns:mc="http://schemas.openxmlformats.org/markup-compatibility/2006">
      <mc:Choice Requires="x14">
        <oleObject progId="Equation.3" shapeId="1070" r:id="rId57">
          <objectPr defaultSize="0" autoPict="0" r:id="rId18">
            <anchor moveWithCells="1">
              <from>
                <xdr:col>4</xdr:col>
                <xdr:colOff>28575</xdr:colOff>
                <xdr:row>487</xdr:row>
                <xdr:rowOff>28575</xdr:rowOff>
              </from>
              <to>
                <xdr:col>5</xdr:col>
                <xdr:colOff>676275</xdr:colOff>
                <xdr:row>488</xdr:row>
                <xdr:rowOff>19050</xdr:rowOff>
              </to>
            </anchor>
          </objectPr>
        </oleObject>
      </mc:Choice>
      <mc:Fallback>
        <oleObject progId="Equation.3" shapeId="1070" r:id="rId57"/>
      </mc:Fallback>
    </mc:AlternateContent>
    <mc:AlternateContent xmlns:mc="http://schemas.openxmlformats.org/markup-compatibility/2006">
      <mc:Choice Requires="x14">
        <oleObject progId="Equation.3" shapeId="1071" r:id="rId58">
          <objectPr defaultSize="0" autoPict="0" r:id="rId31">
            <anchor moveWithCells="1">
              <from>
                <xdr:col>7</xdr:col>
                <xdr:colOff>133350</xdr:colOff>
                <xdr:row>397</xdr:row>
                <xdr:rowOff>142875</xdr:rowOff>
              </from>
              <to>
                <xdr:col>11</xdr:col>
                <xdr:colOff>581025</xdr:colOff>
                <xdr:row>401</xdr:row>
                <xdr:rowOff>66675</xdr:rowOff>
              </to>
            </anchor>
          </objectPr>
        </oleObject>
      </mc:Choice>
      <mc:Fallback>
        <oleObject progId="Equation.3" shapeId="1071" r:id="rId58"/>
      </mc:Fallback>
    </mc:AlternateContent>
    <mc:AlternateContent xmlns:mc="http://schemas.openxmlformats.org/markup-compatibility/2006">
      <mc:Choice Requires="x14">
        <oleObject progId="Equation.3" shapeId="1072" r:id="rId59">
          <objectPr defaultSize="0" autoPict="0" r:id="rId33">
            <anchor moveWithCells="1">
              <from>
                <xdr:col>7</xdr:col>
                <xdr:colOff>133350</xdr:colOff>
                <xdr:row>451</xdr:row>
                <xdr:rowOff>142875</xdr:rowOff>
              </from>
              <to>
                <xdr:col>11</xdr:col>
                <xdr:colOff>581025</xdr:colOff>
                <xdr:row>455</xdr:row>
                <xdr:rowOff>57150</xdr:rowOff>
              </to>
            </anchor>
          </objectPr>
        </oleObject>
      </mc:Choice>
      <mc:Fallback>
        <oleObject progId="Equation.3" shapeId="1072" r:id="rId59"/>
      </mc:Fallback>
    </mc:AlternateContent>
    <mc:AlternateContent xmlns:mc="http://schemas.openxmlformats.org/markup-compatibility/2006">
      <mc:Choice Requires="x14">
        <oleObject progId="Equation.3" shapeId="1073" r:id="rId60">
          <objectPr defaultSize="0" autoPict="0" r:id="rId33">
            <anchor moveWithCells="1">
              <from>
                <xdr:col>7</xdr:col>
                <xdr:colOff>133350</xdr:colOff>
                <xdr:row>530</xdr:row>
                <xdr:rowOff>0</xdr:rowOff>
              </from>
              <to>
                <xdr:col>11</xdr:col>
                <xdr:colOff>581025</xdr:colOff>
                <xdr:row>542</xdr:row>
                <xdr:rowOff>0</xdr:rowOff>
              </to>
            </anchor>
          </objectPr>
        </oleObject>
      </mc:Choice>
      <mc:Fallback>
        <oleObject progId="Equation.3" shapeId="1073" r:id="rId60"/>
      </mc:Fallback>
    </mc:AlternateContent>
    <mc:AlternateContent xmlns:mc="http://schemas.openxmlformats.org/markup-compatibility/2006">
      <mc:Choice Requires="x14">
        <oleObject progId="Equation.3" shapeId="1074" r:id="rId61">
          <objectPr defaultSize="0" autoPict="0" r:id="rId33">
            <anchor moveWithCells="1">
              <from>
                <xdr:col>7</xdr:col>
                <xdr:colOff>133350</xdr:colOff>
                <xdr:row>563</xdr:row>
                <xdr:rowOff>142875</xdr:rowOff>
              </from>
              <to>
                <xdr:col>11</xdr:col>
                <xdr:colOff>581025</xdr:colOff>
                <xdr:row>571</xdr:row>
                <xdr:rowOff>66675</xdr:rowOff>
              </to>
            </anchor>
          </objectPr>
        </oleObject>
      </mc:Choice>
      <mc:Fallback>
        <oleObject progId="Equation.3" shapeId="1074" r:id="rId61"/>
      </mc:Fallback>
    </mc:AlternateContent>
    <mc:AlternateContent xmlns:mc="http://schemas.openxmlformats.org/markup-compatibility/2006">
      <mc:Choice Requires="x14">
        <oleObject progId="Equation.3" shapeId="1075" r:id="rId62">
          <objectPr defaultSize="0" autoPict="0" r:id="rId6">
            <anchor moveWithCells="1">
              <from>
                <xdr:col>2</xdr:col>
                <xdr:colOff>704850</xdr:colOff>
                <xdr:row>580</xdr:row>
                <xdr:rowOff>133350</xdr:rowOff>
              </from>
              <to>
                <xdr:col>4</xdr:col>
                <xdr:colOff>561975</xdr:colOff>
                <xdr:row>582</xdr:row>
                <xdr:rowOff>0</xdr:rowOff>
              </to>
            </anchor>
          </objectPr>
        </oleObject>
      </mc:Choice>
      <mc:Fallback>
        <oleObject progId="Equation.3" shapeId="1075" r:id="rId62"/>
      </mc:Fallback>
    </mc:AlternateContent>
    <mc:AlternateContent xmlns:mc="http://schemas.openxmlformats.org/markup-compatibility/2006">
      <mc:Choice Requires="x14">
        <oleObject progId="Equation.3" shapeId="1076" r:id="rId63">
          <objectPr defaultSize="0" autoPict="0" r:id="rId12">
            <anchor moveWithCells="1">
              <from>
                <xdr:col>2</xdr:col>
                <xdr:colOff>676275</xdr:colOff>
                <xdr:row>582</xdr:row>
                <xdr:rowOff>19050</xdr:rowOff>
              </from>
              <to>
                <xdr:col>4</xdr:col>
                <xdr:colOff>561975</xdr:colOff>
                <xdr:row>583</xdr:row>
                <xdr:rowOff>9525</xdr:rowOff>
              </to>
            </anchor>
          </objectPr>
        </oleObject>
      </mc:Choice>
      <mc:Fallback>
        <oleObject progId="Equation.3" shapeId="1076" r:id="rId63"/>
      </mc:Fallback>
    </mc:AlternateContent>
    <mc:AlternateContent xmlns:mc="http://schemas.openxmlformats.org/markup-compatibility/2006">
      <mc:Choice Requires="x14">
        <oleObject progId="Equation.3" shapeId="1077" r:id="rId64">
          <objectPr defaultSize="0" autoPict="0" r:id="rId6">
            <anchor moveWithCells="1">
              <from>
                <xdr:col>4</xdr:col>
                <xdr:colOff>542925</xdr:colOff>
                <xdr:row>621</xdr:row>
                <xdr:rowOff>123825</xdr:rowOff>
              </from>
              <to>
                <xdr:col>6</xdr:col>
                <xdr:colOff>400050</xdr:colOff>
                <xdr:row>623</xdr:row>
                <xdr:rowOff>0</xdr:rowOff>
              </to>
            </anchor>
          </objectPr>
        </oleObject>
      </mc:Choice>
      <mc:Fallback>
        <oleObject progId="Equation.3" shapeId="1077" r:id="rId64"/>
      </mc:Fallback>
    </mc:AlternateContent>
    <mc:AlternateContent xmlns:mc="http://schemas.openxmlformats.org/markup-compatibility/2006">
      <mc:Choice Requires="x14">
        <oleObject progId="Equation.3" shapeId="1078" r:id="rId65">
          <objectPr defaultSize="0" autoPict="0" r:id="rId15">
            <anchor moveWithCells="1">
              <from>
                <xdr:col>4</xdr:col>
                <xdr:colOff>571500</xdr:colOff>
                <xdr:row>623</xdr:row>
                <xdr:rowOff>19050</xdr:rowOff>
              </from>
              <to>
                <xdr:col>6</xdr:col>
                <xdr:colOff>457200</xdr:colOff>
                <xdr:row>624</xdr:row>
                <xdr:rowOff>9525</xdr:rowOff>
              </to>
            </anchor>
          </objectPr>
        </oleObject>
      </mc:Choice>
      <mc:Fallback>
        <oleObject progId="Equation.3" shapeId="1078" r:id="rId65"/>
      </mc:Fallback>
    </mc:AlternateContent>
    <mc:AlternateContent xmlns:mc="http://schemas.openxmlformats.org/markup-compatibility/2006">
      <mc:Choice Requires="x14">
        <oleObject progId="Equation.3" shapeId="1079" r:id="rId66">
          <objectPr defaultSize="0" autoPict="0" r:id="rId6">
            <anchor moveWithCells="1">
              <from>
                <xdr:col>4</xdr:col>
                <xdr:colOff>28575</xdr:colOff>
                <xdr:row>771</xdr:row>
                <xdr:rowOff>123825</xdr:rowOff>
              </from>
              <to>
                <xdr:col>5</xdr:col>
                <xdr:colOff>647700</xdr:colOff>
                <xdr:row>773</xdr:row>
                <xdr:rowOff>0</xdr:rowOff>
              </to>
            </anchor>
          </objectPr>
        </oleObject>
      </mc:Choice>
      <mc:Fallback>
        <oleObject progId="Equation.3" shapeId="1079" r:id="rId66"/>
      </mc:Fallback>
    </mc:AlternateContent>
    <mc:AlternateContent xmlns:mc="http://schemas.openxmlformats.org/markup-compatibility/2006">
      <mc:Choice Requires="x14">
        <oleObject progId="Equation.3" shapeId="1080" r:id="rId67">
          <objectPr defaultSize="0" autoPict="0" r:id="rId18">
            <anchor moveWithCells="1">
              <from>
                <xdr:col>4</xdr:col>
                <xdr:colOff>28575</xdr:colOff>
                <xdr:row>773</xdr:row>
                <xdr:rowOff>28575</xdr:rowOff>
              </from>
              <to>
                <xdr:col>5</xdr:col>
                <xdr:colOff>676275</xdr:colOff>
                <xdr:row>774</xdr:row>
                <xdr:rowOff>19050</xdr:rowOff>
              </to>
            </anchor>
          </objectPr>
        </oleObject>
      </mc:Choice>
      <mc:Fallback>
        <oleObject progId="Equation.3" shapeId="1080" r:id="rId67"/>
      </mc:Fallback>
    </mc:AlternateContent>
    <mc:AlternateContent xmlns:mc="http://schemas.openxmlformats.org/markup-compatibility/2006">
      <mc:Choice Requires="x14">
        <oleObject progId="Equation.3" shapeId="1176" r:id="rId68">
          <objectPr defaultSize="0" autoPict="0" r:id="rId6">
            <anchor moveWithCells="1">
              <from>
                <xdr:col>4</xdr:col>
                <xdr:colOff>28575</xdr:colOff>
                <xdr:row>253</xdr:row>
                <xdr:rowOff>123825</xdr:rowOff>
              </from>
              <to>
                <xdr:col>5</xdr:col>
                <xdr:colOff>647700</xdr:colOff>
                <xdr:row>255</xdr:row>
                <xdr:rowOff>0</xdr:rowOff>
              </to>
            </anchor>
          </objectPr>
        </oleObject>
      </mc:Choice>
      <mc:Fallback>
        <oleObject progId="Equation.3" shapeId="1176" r:id="rId68"/>
      </mc:Fallback>
    </mc:AlternateContent>
    <mc:AlternateContent xmlns:mc="http://schemas.openxmlformats.org/markup-compatibility/2006">
      <mc:Choice Requires="x14">
        <oleObject progId="Equation.3" shapeId="1177" r:id="rId69">
          <objectPr defaultSize="0" autoPict="0" r:id="rId18">
            <anchor moveWithCells="1">
              <from>
                <xdr:col>4</xdr:col>
                <xdr:colOff>28575</xdr:colOff>
                <xdr:row>255</xdr:row>
                <xdr:rowOff>28575</xdr:rowOff>
              </from>
              <to>
                <xdr:col>5</xdr:col>
                <xdr:colOff>676275</xdr:colOff>
                <xdr:row>256</xdr:row>
                <xdr:rowOff>19050</xdr:rowOff>
              </to>
            </anchor>
          </objectPr>
        </oleObject>
      </mc:Choice>
      <mc:Fallback>
        <oleObject progId="Equation.3" shapeId="1177" r:id="rId69"/>
      </mc:Fallback>
    </mc:AlternateContent>
    <mc:AlternateContent xmlns:mc="http://schemas.openxmlformats.org/markup-compatibility/2006">
      <mc:Choice Requires="x14">
        <oleObject progId="Equation.3" shapeId="1178" r:id="rId70">
          <objectPr defaultSize="0" autoPict="0" r:id="rId6">
            <anchor moveWithCells="1">
              <from>
                <xdr:col>4</xdr:col>
                <xdr:colOff>28575</xdr:colOff>
                <xdr:row>253</xdr:row>
                <xdr:rowOff>123825</xdr:rowOff>
              </from>
              <to>
                <xdr:col>5</xdr:col>
                <xdr:colOff>647700</xdr:colOff>
                <xdr:row>255</xdr:row>
                <xdr:rowOff>0</xdr:rowOff>
              </to>
            </anchor>
          </objectPr>
        </oleObject>
      </mc:Choice>
      <mc:Fallback>
        <oleObject progId="Equation.3" shapeId="1178" r:id="rId70"/>
      </mc:Fallback>
    </mc:AlternateContent>
    <mc:AlternateContent xmlns:mc="http://schemas.openxmlformats.org/markup-compatibility/2006">
      <mc:Choice Requires="x14">
        <oleObject progId="Equation.3" shapeId="1179" r:id="rId71">
          <objectPr defaultSize="0" autoPict="0" r:id="rId18">
            <anchor moveWithCells="1">
              <from>
                <xdr:col>4</xdr:col>
                <xdr:colOff>28575</xdr:colOff>
                <xdr:row>255</xdr:row>
                <xdr:rowOff>28575</xdr:rowOff>
              </from>
              <to>
                <xdr:col>5</xdr:col>
                <xdr:colOff>676275</xdr:colOff>
                <xdr:row>256</xdr:row>
                <xdr:rowOff>19050</xdr:rowOff>
              </to>
            </anchor>
          </objectPr>
        </oleObject>
      </mc:Choice>
      <mc:Fallback>
        <oleObject progId="Equation.3" shapeId="1179" r:id="rId7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06"/>
  <sheetViews>
    <sheetView showGridLines="0" showRowColHeaders="0" zoomScaleNormal="100" workbookViewId="0">
      <selection activeCell="E33" sqref="E33"/>
    </sheetView>
  </sheetViews>
  <sheetFormatPr baseColWidth="10" defaultRowHeight="15"/>
  <cols>
    <col min="1" max="1" width="27.42578125" customWidth="1"/>
    <col min="2" max="2" width="24.85546875" bestFit="1" customWidth="1"/>
    <col min="4" max="4" width="25" customWidth="1"/>
    <col min="11" max="11" width="13.7109375" customWidth="1"/>
    <col min="12" max="12" width="27.42578125" customWidth="1"/>
    <col min="13" max="13" width="11.42578125" customWidth="1"/>
    <col min="14" max="14" width="13.7109375" customWidth="1"/>
    <col min="15" max="20" width="11.42578125" customWidth="1"/>
  </cols>
  <sheetData>
    <row r="1" spans="1:21" ht="21" customHeight="1">
      <c r="A1" s="815" t="s">
        <v>851</v>
      </c>
      <c r="B1" s="815"/>
      <c r="C1" s="815"/>
      <c r="D1" s="815"/>
      <c r="E1" s="815"/>
      <c r="F1" s="815"/>
      <c r="G1" s="815"/>
      <c r="H1" s="815"/>
      <c r="I1" s="815"/>
      <c r="J1" s="815"/>
      <c r="K1" s="815"/>
      <c r="L1" s="640"/>
      <c r="M1" s="640"/>
      <c r="N1" s="640"/>
      <c r="O1" s="640"/>
      <c r="P1" s="640"/>
      <c r="Q1" s="640"/>
      <c r="R1" s="640"/>
      <c r="S1" s="640"/>
      <c r="T1" s="643"/>
      <c r="U1" s="643"/>
    </row>
    <row r="2" spans="1:21" ht="21.6" customHeight="1" thickBot="1">
      <c r="A2" s="816"/>
      <c r="B2" s="816"/>
      <c r="C2" s="816"/>
      <c r="D2" s="816"/>
      <c r="E2" s="816"/>
      <c r="F2" s="816"/>
      <c r="G2" s="816"/>
      <c r="H2" s="816"/>
      <c r="I2" s="816"/>
      <c r="J2" s="816"/>
      <c r="K2" s="816"/>
      <c r="L2" s="640"/>
      <c r="M2" s="640"/>
      <c r="N2" s="640"/>
      <c r="O2" s="640"/>
      <c r="P2" s="640"/>
      <c r="Q2" s="640"/>
      <c r="R2" s="640"/>
      <c r="S2" s="640"/>
      <c r="T2" s="643"/>
      <c r="U2" s="643"/>
    </row>
    <row r="3" spans="1:21" ht="21.6" customHeight="1">
      <c r="A3" s="627"/>
      <c r="B3" s="627"/>
      <c r="C3" s="627"/>
      <c r="D3" s="627"/>
      <c r="E3" s="627"/>
      <c r="F3" s="627"/>
      <c r="G3" s="627"/>
      <c r="H3" s="806" t="s">
        <v>855</v>
      </c>
      <c r="I3" s="806"/>
      <c r="J3" s="807">
        <v>43789</v>
      </c>
      <c r="K3" s="807"/>
      <c r="L3" s="666"/>
      <c r="M3" s="666"/>
      <c r="N3" s="666"/>
      <c r="O3" s="666"/>
      <c r="P3" s="666"/>
      <c r="Q3" s="666"/>
      <c r="R3" s="666"/>
      <c r="S3" s="666"/>
      <c r="T3" s="247"/>
      <c r="U3" s="247"/>
    </row>
    <row r="4" spans="1:21" ht="33.75">
      <c r="A4" s="556" t="s">
        <v>848</v>
      </c>
      <c r="B4" s="557"/>
      <c r="C4" s="557"/>
      <c r="D4" s="557"/>
      <c r="E4" s="557"/>
      <c r="F4" s="557"/>
      <c r="G4" s="557"/>
      <c r="H4" s="557"/>
      <c r="I4" s="557"/>
      <c r="J4" s="557"/>
      <c r="K4" s="555"/>
      <c r="L4" s="660"/>
      <c r="M4" s="660"/>
      <c r="N4" s="660"/>
      <c r="O4" s="660"/>
      <c r="P4" s="660"/>
      <c r="Q4" s="660"/>
      <c r="R4" s="660"/>
      <c r="S4" s="660"/>
      <c r="T4" s="644"/>
      <c r="U4" s="644"/>
    </row>
    <row r="5" spans="1:21" ht="21">
      <c r="A5" s="558" t="s">
        <v>671</v>
      </c>
      <c r="B5" s="543"/>
      <c r="C5" s="543"/>
      <c r="D5" s="543" t="s">
        <v>673</v>
      </c>
      <c r="E5" s="601" t="s">
        <v>25</v>
      </c>
      <c r="G5" s="582" t="str">
        <f>VLOOKUP(E5,'RICON_RICON-S-EK_GIGANT_WALCO '!V7:Y17,4,FALSE)</f>
        <v>Glued laminated timber - homogeneous</v>
      </c>
      <c r="H5" s="582"/>
      <c r="L5" s="818"/>
      <c r="M5" s="818"/>
      <c r="N5" s="818"/>
      <c r="O5" s="818"/>
      <c r="P5" s="818"/>
      <c r="Q5" s="818"/>
      <c r="R5" s="818"/>
      <c r="S5" s="818"/>
    </row>
    <row r="6" spans="1:21" ht="18.75">
      <c r="D6" s="580" t="s">
        <v>672</v>
      </c>
      <c r="E6" s="601">
        <v>1</v>
      </c>
      <c r="G6" s="581" t="str">
        <f>VLOOKUP(E6,'RICON_RICON-S-EK_GIGANT_WALCO '!V21:X22,3,FALSE)</f>
        <v>Indoor</v>
      </c>
      <c r="H6" s="583"/>
      <c r="L6" s="677"/>
      <c r="M6" s="24"/>
      <c r="N6" s="24"/>
      <c r="O6" s="24"/>
      <c r="P6" s="24"/>
      <c r="Q6" s="24"/>
      <c r="R6" s="24"/>
      <c r="S6" s="24"/>
    </row>
    <row r="7" spans="1:21" ht="21.6" customHeight="1">
      <c r="A7" s="587"/>
      <c r="B7" s="587"/>
      <c r="C7" s="587"/>
      <c r="D7" s="587"/>
      <c r="E7" s="587"/>
      <c r="F7" s="587"/>
      <c r="G7" s="587"/>
      <c r="H7" s="587"/>
      <c r="I7" s="587"/>
      <c r="J7" s="627"/>
      <c r="L7" s="678"/>
      <c r="M7" s="678"/>
      <c r="N7" s="678"/>
      <c r="O7" s="678"/>
      <c r="P7" s="678"/>
      <c r="Q7" s="678"/>
      <c r="R7" s="678"/>
      <c r="S7" s="678"/>
    </row>
    <row r="8" spans="1:21">
      <c r="L8" s="24"/>
      <c r="M8" s="24"/>
      <c r="N8" s="24"/>
      <c r="O8" s="24"/>
      <c r="P8" s="24"/>
      <c r="Q8" s="24"/>
      <c r="R8" s="24"/>
      <c r="S8" s="24"/>
    </row>
    <row r="9" spans="1:21" ht="18.75">
      <c r="A9" s="511"/>
      <c r="B9" s="511"/>
      <c r="L9" s="677"/>
      <c r="M9" s="24"/>
      <c r="N9" s="24"/>
      <c r="O9" s="24"/>
      <c r="P9" s="24"/>
      <c r="Q9" s="24"/>
      <c r="R9" s="24"/>
      <c r="S9" s="24"/>
    </row>
    <row r="10" spans="1:21" ht="18.75">
      <c r="A10" s="511"/>
      <c r="B10" s="511"/>
      <c r="L10" s="677"/>
      <c r="M10" s="24"/>
      <c r="N10" s="24"/>
      <c r="O10" s="24"/>
      <c r="P10" s="24"/>
      <c r="Q10" s="24"/>
      <c r="R10" s="24"/>
      <c r="S10" s="24"/>
    </row>
    <row r="11" spans="1:21" ht="18.75">
      <c r="A11" s="511"/>
      <c r="B11" s="511"/>
      <c r="L11" s="677"/>
      <c r="M11" s="24"/>
      <c r="N11" s="24"/>
      <c r="O11" s="24"/>
      <c r="P11" s="24"/>
      <c r="Q11" s="24"/>
      <c r="R11" s="24"/>
      <c r="S11" s="24"/>
    </row>
    <row r="12" spans="1:21" ht="18.75">
      <c r="A12" s="511"/>
      <c r="B12" s="511"/>
      <c r="L12" s="677"/>
      <c r="M12" s="24"/>
      <c r="N12" s="24"/>
      <c r="O12" s="24"/>
      <c r="P12" s="24"/>
      <c r="Q12" s="24"/>
      <c r="R12" s="24"/>
      <c r="S12" s="24"/>
    </row>
    <row r="13" spans="1:21" ht="18.75">
      <c r="A13" s="511"/>
      <c r="B13" s="511"/>
      <c r="L13" s="677"/>
      <c r="M13" s="24"/>
      <c r="N13" s="24"/>
      <c r="O13" s="24"/>
      <c r="P13" s="24"/>
      <c r="Q13" s="24"/>
      <c r="R13" s="24"/>
      <c r="S13" s="24"/>
    </row>
    <row r="14" spans="1:21" ht="18.75">
      <c r="A14" s="511"/>
      <c r="B14" s="511"/>
      <c r="L14" s="677"/>
      <c r="M14" s="24"/>
      <c r="N14" s="24"/>
      <c r="O14" s="24"/>
      <c r="P14" s="24"/>
      <c r="Q14" s="24"/>
      <c r="R14" s="24"/>
      <c r="S14" s="24"/>
    </row>
    <row r="15" spans="1:21" ht="18.75">
      <c r="A15" s="511"/>
      <c r="B15" s="511"/>
      <c r="L15" s="677"/>
      <c r="M15" s="24"/>
      <c r="N15" s="24"/>
      <c r="O15" s="24"/>
      <c r="P15" s="24"/>
      <c r="Q15" s="24"/>
      <c r="R15" s="24"/>
      <c r="S15" s="24"/>
    </row>
    <row r="16" spans="1:21" ht="18.75">
      <c r="A16" s="511"/>
      <c r="B16" s="511"/>
      <c r="L16" s="677"/>
      <c r="M16" s="24"/>
      <c r="N16" s="24"/>
      <c r="O16" s="24"/>
      <c r="P16" s="24"/>
      <c r="Q16" s="24"/>
      <c r="R16" s="24"/>
      <c r="S16" s="24"/>
    </row>
    <row r="17" spans="1:20" ht="18.75">
      <c r="A17" s="511"/>
      <c r="B17" s="511"/>
      <c r="L17" s="677"/>
      <c r="M17" s="24"/>
      <c r="N17" s="24"/>
      <c r="O17" s="24"/>
      <c r="P17" s="24"/>
      <c r="Q17" s="24"/>
      <c r="R17" s="24"/>
      <c r="S17" s="24"/>
    </row>
    <row r="18" spans="1:20" ht="21">
      <c r="A18" s="506"/>
      <c r="B18" s="506"/>
      <c r="L18" s="506"/>
      <c r="M18" s="247"/>
      <c r="N18" s="247"/>
      <c r="O18" s="247"/>
      <c r="P18" s="247"/>
      <c r="Q18" s="247"/>
      <c r="R18" s="247"/>
      <c r="S18" s="247"/>
      <c r="T18" s="3"/>
    </row>
    <row r="19" spans="1:20" ht="15" customHeight="1">
      <c r="A19" s="596" t="s">
        <v>2</v>
      </c>
      <c r="B19" s="585" t="s">
        <v>613</v>
      </c>
      <c r="C19" s="800" t="s">
        <v>450</v>
      </c>
      <c r="D19" s="800"/>
      <c r="E19" s="808" t="s">
        <v>849</v>
      </c>
      <c r="F19" s="705" t="str">
        <f>"Design values F2,Rd for "&amp;E5&amp;" [kN]"</f>
        <v>Design values F2,Rd for GL24h [kN]</v>
      </c>
      <c r="G19" s="706"/>
      <c r="H19" s="706"/>
      <c r="I19" s="706"/>
      <c r="J19" s="706"/>
      <c r="K19" s="604" t="s">
        <v>690</v>
      </c>
      <c r="L19" s="679"/>
      <c r="M19" s="819"/>
      <c r="N19" s="819"/>
      <c r="O19" s="759"/>
      <c r="P19" s="759"/>
      <c r="Q19" s="759"/>
      <c r="R19" s="759"/>
      <c r="S19" s="759"/>
      <c r="T19" s="3"/>
    </row>
    <row r="20" spans="1:20" ht="18">
      <c r="A20" s="82"/>
      <c r="B20" s="586" t="s">
        <v>612</v>
      </c>
      <c r="C20" s="589" t="s">
        <v>794</v>
      </c>
      <c r="D20" s="589" t="s">
        <v>795</v>
      </c>
      <c r="E20" s="809"/>
      <c r="F20" s="590">
        <v>0.6</v>
      </c>
      <c r="G20" s="590">
        <v>0.7</v>
      </c>
      <c r="H20" s="590">
        <v>0.8</v>
      </c>
      <c r="I20" s="590">
        <v>0.9</v>
      </c>
      <c r="J20" s="590">
        <v>1</v>
      </c>
      <c r="K20" s="590">
        <v>1.1000000000000001</v>
      </c>
      <c r="L20" s="679"/>
      <c r="M20" s="247"/>
      <c r="N20" s="247"/>
      <c r="O20" s="680"/>
      <c r="P20" s="680"/>
      <c r="Q20" s="680"/>
      <c r="R20" s="680"/>
      <c r="S20" s="680"/>
      <c r="T20" s="3"/>
    </row>
    <row r="21" spans="1:20" ht="45">
      <c r="A21" s="424" t="s">
        <v>783</v>
      </c>
      <c r="B21" s="532" t="s">
        <v>488</v>
      </c>
      <c r="C21" s="551">
        <f>'RICON_RICON-S-EK_GIGANT_WALCO '!C240</f>
        <v>34</v>
      </c>
      <c r="D21" s="551">
        <f>'RICON_RICON-S-EK_GIGANT_WALCO '!F240</f>
        <v>37.149991394525706</v>
      </c>
      <c r="E21" s="637">
        <f>C21/1</f>
        <v>34</v>
      </c>
      <c r="F21" s="500">
        <f t="shared" ref="F21:K26" si="0">MIN($C21/1,$D21*F$20/1.3)</f>
        <v>17.146149874396478</v>
      </c>
      <c r="G21" s="500">
        <f t="shared" si="0"/>
        <v>20.003841520129225</v>
      </c>
      <c r="H21" s="500">
        <f t="shared" si="0"/>
        <v>22.861533165861974</v>
      </c>
      <c r="I21" s="500">
        <f t="shared" si="0"/>
        <v>25.719224811594717</v>
      </c>
      <c r="J21" s="500">
        <f t="shared" si="0"/>
        <v>28.576916457327464</v>
      </c>
      <c r="K21" s="500">
        <f t="shared" si="0"/>
        <v>31.434608103060214</v>
      </c>
      <c r="L21" s="676"/>
      <c r="M21" s="634"/>
      <c r="N21" s="634"/>
      <c r="O21" s="634"/>
      <c r="P21" s="634"/>
      <c r="Q21" s="634"/>
      <c r="R21" s="634"/>
      <c r="S21" s="634"/>
      <c r="T21" s="3"/>
    </row>
    <row r="22" spans="1:20" ht="45">
      <c r="A22" s="342" t="s">
        <v>784</v>
      </c>
      <c r="B22" s="530" t="s">
        <v>621</v>
      </c>
      <c r="C22" s="551">
        <f>'RICON_RICON-S-EK_GIGANT_WALCO '!C241</f>
        <v>34</v>
      </c>
      <c r="D22" s="551">
        <f>'RICON_RICON-S-EK_GIGANT_WALCO '!F241</f>
        <v>40.18125965399701</v>
      </c>
      <c r="E22" s="637">
        <f t="shared" ref="E22:E26" si="1">C22/1</f>
        <v>34</v>
      </c>
      <c r="F22" s="500">
        <f t="shared" si="0"/>
        <v>18.545196763383235</v>
      </c>
      <c r="G22" s="500">
        <f t="shared" si="0"/>
        <v>21.636062890613772</v>
      </c>
      <c r="H22" s="500">
        <f t="shared" si="0"/>
        <v>24.726929017844313</v>
      </c>
      <c r="I22" s="500">
        <f t="shared" si="0"/>
        <v>27.817795145074854</v>
      </c>
      <c r="J22" s="500">
        <f t="shared" si="0"/>
        <v>30.908661272305391</v>
      </c>
      <c r="K22" s="500">
        <f t="shared" si="0"/>
        <v>33.999527399535936</v>
      </c>
      <c r="L22" s="676"/>
      <c r="M22" s="634"/>
      <c r="N22" s="634"/>
      <c r="O22" s="634"/>
      <c r="P22" s="634"/>
      <c r="Q22" s="634"/>
      <c r="R22" s="634"/>
      <c r="S22" s="634"/>
      <c r="T22" s="3"/>
    </row>
    <row r="23" spans="1:20" ht="45">
      <c r="A23" s="342" t="s">
        <v>785</v>
      </c>
      <c r="B23" s="530" t="s">
        <v>489</v>
      </c>
      <c r="C23" s="551">
        <f>'RICON_RICON-S-EK_GIGANT_WALCO '!C242</f>
        <v>34</v>
      </c>
      <c r="D23" s="551">
        <f>'RICON_RICON-S-EK_GIGANT_WALCO '!F242</f>
        <v>56.710921194381697</v>
      </c>
      <c r="E23" s="637">
        <f t="shared" si="1"/>
        <v>34</v>
      </c>
      <c r="F23" s="500">
        <f t="shared" si="0"/>
        <v>26.174271320483861</v>
      </c>
      <c r="G23" s="500">
        <f t="shared" si="0"/>
        <v>30.536649873897833</v>
      </c>
      <c r="H23" s="500">
        <f t="shared" si="0"/>
        <v>34</v>
      </c>
      <c r="I23" s="500">
        <f t="shared" si="0"/>
        <v>34</v>
      </c>
      <c r="J23" s="500">
        <f t="shared" si="0"/>
        <v>34</v>
      </c>
      <c r="K23" s="500">
        <f t="shared" si="0"/>
        <v>34</v>
      </c>
      <c r="L23" s="676"/>
      <c r="M23" s="634"/>
      <c r="N23" s="634"/>
      <c r="O23" s="634"/>
      <c r="P23" s="634"/>
      <c r="Q23" s="634"/>
      <c r="R23" s="634"/>
      <c r="S23" s="634"/>
      <c r="T23" s="3"/>
    </row>
    <row r="24" spans="1:20" ht="45">
      <c r="A24" s="342" t="s">
        <v>786</v>
      </c>
      <c r="B24" s="530" t="s">
        <v>622</v>
      </c>
      <c r="C24" s="551">
        <f>'RICON_RICON-S-EK_GIGANT_WALCO '!C243</f>
        <v>34</v>
      </c>
      <c r="D24" s="551">
        <f>'RICON_RICON-S-EK_GIGANT_WALCO '!F243</f>
        <v>66.480609906200655</v>
      </c>
      <c r="E24" s="637">
        <f t="shared" si="1"/>
        <v>34</v>
      </c>
      <c r="F24" s="500">
        <f t="shared" si="0"/>
        <v>30.683358418246456</v>
      </c>
      <c r="G24" s="500">
        <f t="shared" si="0"/>
        <v>34</v>
      </c>
      <c r="H24" s="500">
        <f t="shared" si="0"/>
        <v>34</v>
      </c>
      <c r="I24" s="500">
        <f t="shared" si="0"/>
        <v>34</v>
      </c>
      <c r="J24" s="500">
        <f t="shared" si="0"/>
        <v>34</v>
      </c>
      <c r="K24" s="500">
        <f t="shared" si="0"/>
        <v>34</v>
      </c>
      <c r="L24" s="676"/>
      <c r="M24" s="634"/>
      <c r="N24" s="634"/>
      <c r="O24" s="634"/>
      <c r="P24" s="634"/>
      <c r="Q24" s="634"/>
      <c r="R24" s="634"/>
      <c r="S24" s="634"/>
      <c r="T24" s="3"/>
    </row>
    <row r="25" spans="1:20" ht="45">
      <c r="A25" s="342" t="s">
        <v>787</v>
      </c>
      <c r="B25" s="530" t="s">
        <v>498</v>
      </c>
      <c r="C25" s="551">
        <f>'RICON_RICON-S-EK_GIGANT_WALCO '!C244</f>
        <v>50</v>
      </c>
      <c r="D25" s="551">
        <f>'RICON_RICON-S-EK_GIGANT_WALCO '!F244</f>
        <v>79.124951595789881</v>
      </c>
      <c r="E25" s="637">
        <f t="shared" si="1"/>
        <v>50</v>
      </c>
      <c r="F25" s="500">
        <f t="shared" si="0"/>
        <v>36.519208428826097</v>
      </c>
      <c r="G25" s="500">
        <f t="shared" si="0"/>
        <v>42.605743166963784</v>
      </c>
      <c r="H25" s="500">
        <f t="shared" si="0"/>
        <v>48.692277905101463</v>
      </c>
      <c r="I25" s="500">
        <f t="shared" si="0"/>
        <v>50</v>
      </c>
      <c r="J25" s="500">
        <f t="shared" si="0"/>
        <v>50</v>
      </c>
      <c r="K25" s="500">
        <f t="shared" si="0"/>
        <v>50</v>
      </c>
      <c r="L25" s="676"/>
      <c r="M25" s="634"/>
      <c r="N25" s="634"/>
      <c r="O25" s="634"/>
      <c r="P25" s="634"/>
      <c r="Q25" s="634"/>
      <c r="R25" s="634"/>
      <c r="S25" s="634"/>
      <c r="T25" s="3"/>
    </row>
    <row r="26" spans="1:20" ht="45">
      <c r="A26" s="342" t="s">
        <v>788</v>
      </c>
      <c r="B26" s="530" t="s">
        <v>499</v>
      </c>
      <c r="C26" s="551">
        <f>'RICON_RICON-S-EK_GIGANT_WALCO '!C245</f>
        <v>50</v>
      </c>
      <c r="D26" s="551">
        <f>'RICON_RICON-S-EK_GIGANT_WALCO '!F245</f>
        <v>96.723603718619998</v>
      </c>
      <c r="E26" s="637">
        <f t="shared" si="1"/>
        <v>50</v>
      </c>
      <c r="F26" s="500">
        <f t="shared" si="0"/>
        <v>44.641663254747691</v>
      </c>
      <c r="G26" s="500">
        <f t="shared" si="0"/>
        <v>50</v>
      </c>
      <c r="H26" s="500">
        <f t="shared" si="0"/>
        <v>50</v>
      </c>
      <c r="I26" s="500">
        <f t="shared" si="0"/>
        <v>50</v>
      </c>
      <c r="J26" s="500">
        <f t="shared" si="0"/>
        <v>50</v>
      </c>
      <c r="K26" s="500">
        <f t="shared" si="0"/>
        <v>50</v>
      </c>
      <c r="L26" s="676"/>
      <c r="M26" s="634"/>
      <c r="N26" s="634"/>
      <c r="O26" s="634"/>
      <c r="P26" s="634"/>
      <c r="Q26" s="634"/>
      <c r="R26" s="634"/>
      <c r="S26" s="634"/>
      <c r="T26" s="3"/>
    </row>
    <row r="27" spans="1:20">
      <c r="A27" s="504"/>
      <c r="B27" s="533"/>
      <c r="C27" s="510"/>
      <c r="D27" s="510"/>
      <c r="E27" s="510"/>
      <c r="F27" s="510"/>
      <c r="G27" s="510"/>
      <c r="H27" s="510"/>
      <c r="I27" s="510"/>
      <c r="J27" s="510"/>
      <c r="L27" s="504"/>
      <c r="M27" s="634"/>
      <c r="N27" s="634"/>
      <c r="O27" s="634"/>
      <c r="P27" s="634"/>
      <c r="Q27" s="634"/>
      <c r="R27" s="634"/>
      <c r="S27" s="634"/>
    </row>
    <row r="28" spans="1:20">
      <c r="A28" s="504"/>
      <c r="B28" s="533"/>
      <c r="C28" s="510"/>
      <c r="D28" s="510"/>
      <c r="E28" s="510"/>
      <c r="F28" s="510"/>
      <c r="G28" s="510"/>
      <c r="H28" s="510"/>
      <c r="I28" s="510"/>
      <c r="J28" s="510"/>
      <c r="L28" s="504"/>
      <c r="M28" s="634"/>
      <c r="N28" s="634"/>
      <c r="O28" s="634"/>
      <c r="P28" s="634"/>
      <c r="Q28" s="634"/>
      <c r="R28" s="634"/>
      <c r="S28" s="634"/>
    </row>
    <row r="29" spans="1:20">
      <c r="A29" s="504"/>
      <c r="B29" s="533"/>
      <c r="C29" s="510"/>
      <c r="D29" s="510"/>
      <c r="E29" s="510"/>
      <c r="F29" s="510"/>
      <c r="G29" s="510"/>
      <c r="H29" s="510"/>
      <c r="I29" s="510"/>
      <c r="J29" s="510"/>
      <c r="L29" s="504"/>
      <c r="M29" s="634"/>
      <c r="N29" s="634"/>
      <c r="O29" s="634"/>
      <c r="P29" s="634"/>
      <c r="Q29" s="634"/>
      <c r="R29" s="634"/>
      <c r="S29" s="634"/>
    </row>
    <row r="30" spans="1:20">
      <c r="A30" s="504"/>
      <c r="B30" s="533"/>
      <c r="C30" s="510"/>
      <c r="D30" s="510"/>
      <c r="E30" s="510"/>
      <c r="F30" s="510"/>
      <c r="G30" s="510"/>
      <c r="H30" s="510"/>
      <c r="I30" s="510"/>
      <c r="J30" s="510"/>
      <c r="L30" s="504"/>
      <c r="M30" s="634"/>
      <c r="N30" s="634"/>
      <c r="O30" s="634"/>
      <c r="P30" s="634"/>
      <c r="Q30" s="634"/>
      <c r="R30" s="634"/>
      <c r="S30" s="634"/>
    </row>
    <row r="31" spans="1:20">
      <c r="A31" s="504"/>
      <c r="B31" s="533"/>
      <c r="C31" s="510"/>
      <c r="D31" s="510"/>
      <c r="E31" s="510"/>
      <c r="F31" s="510"/>
      <c r="G31" s="510"/>
      <c r="H31" s="510"/>
      <c r="I31" s="510"/>
      <c r="J31" s="510"/>
      <c r="L31" s="504"/>
      <c r="M31" s="510"/>
      <c r="N31" s="510"/>
      <c r="O31" s="510"/>
      <c r="P31" s="510"/>
      <c r="Q31" s="510"/>
      <c r="R31" s="510"/>
      <c r="S31" s="510"/>
    </row>
    <row r="32" spans="1:20" ht="33.75">
      <c r="A32" s="556" t="s">
        <v>829</v>
      </c>
      <c r="B32" s="557"/>
      <c r="C32" s="557"/>
      <c r="D32" s="557"/>
      <c r="E32" s="557"/>
      <c r="F32" s="557"/>
      <c r="G32" s="557"/>
      <c r="H32" s="557"/>
      <c r="I32" s="557"/>
      <c r="J32" s="555"/>
      <c r="K32" s="555"/>
      <c r="L32" s="660"/>
      <c r="M32" s="660"/>
      <c r="N32" s="660"/>
      <c r="O32" s="660"/>
      <c r="P32" s="660"/>
      <c r="Q32" s="660"/>
      <c r="R32" s="660"/>
      <c r="S32" s="660"/>
    </row>
    <row r="33" spans="1:20" ht="21">
      <c r="A33" s="558" t="s">
        <v>671</v>
      </c>
      <c r="B33" s="543"/>
      <c r="C33" s="543"/>
      <c r="D33" s="543" t="s">
        <v>673</v>
      </c>
      <c r="E33" s="601" t="s">
        <v>25</v>
      </c>
      <c r="G33" s="582" t="str">
        <f>VLOOKUP(E33,'RICON_RICON-S-EK_GIGANT_WALCO '!V7:Y16,4,FALSE)</f>
        <v>Glued laminated timber - homogeneous</v>
      </c>
      <c r="H33" s="582"/>
      <c r="K33" s="767"/>
      <c r="L33" s="767"/>
      <c r="M33" s="767"/>
      <c r="N33" s="767"/>
      <c r="O33" s="767"/>
      <c r="P33" s="767"/>
      <c r="Q33" s="767"/>
      <c r="R33" s="767"/>
    </row>
    <row r="34" spans="1:20" ht="18.75">
      <c r="D34" s="580" t="s">
        <v>672</v>
      </c>
      <c r="E34" s="601">
        <v>1</v>
      </c>
      <c r="G34" s="581" t="str">
        <f>VLOOKUP(E34,'RICON_RICON-S-EK_GIGANT_WALCO '!V21:X22,3,FALSE)</f>
        <v>Indoor</v>
      </c>
      <c r="H34" s="583"/>
      <c r="K34" s="511"/>
    </row>
    <row r="35" spans="1:20" ht="21">
      <c r="A35" s="627"/>
      <c r="B35" s="627"/>
      <c r="C35" s="627"/>
      <c r="D35" s="627"/>
      <c r="E35" s="627"/>
      <c r="F35" s="627"/>
      <c r="G35" s="627"/>
      <c r="H35" s="627"/>
      <c r="I35" s="627"/>
      <c r="K35" s="627"/>
      <c r="L35" s="627"/>
      <c r="M35" s="627"/>
      <c r="N35" s="627"/>
      <c r="O35" s="627"/>
      <c r="P35" s="627"/>
      <c r="Q35" s="627"/>
      <c r="R35" s="627"/>
    </row>
    <row r="37" spans="1:20" ht="18.75">
      <c r="A37" s="511"/>
      <c r="B37" s="511"/>
      <c r="K37" s="511"/>
    </row>
    <row r="38" spans="1:20" ht="18.75">
      <c r="A38" s="511"/>
      <c r="B38" s="511"/>
      <c r="K38" s="511"/>
    </row>
    <row r="39" spans="1:20" ht="18.75">
      <c r="A39" s="511"/>
      <c r="B39" s="511"/>
      <c r="K39" s="511"/>
    </row>
    <row r="40" spans="1:20" ht="18.75">
      <c r="A40" s="511"/>
      <c r="B40" s="511"/>
      <c r="K40" s="511"/>
    </row>
    <row r="41" spans="1:20" ht="18.75">
      <c r="A41" s="511"/>
      <c r="B41" s="511"/>
      <c r="K41" s="511"/>
    </row>
    <row r="42" spans="1:20" ht="18.75">
      <c r="A42" s="511"/>
      <c r="B42" s="511"/>
      <c r="K42" s="511"/>
    </row>
    <row r="43" spans="1:20" ht="18.75">
      <c r="A43" s="511"/>
      <c r="B43" s="511"/>
      <c r="K43" s="511"/>
    </row>
    <row r="44" spans="1:20" ht="18.75">
      <c r="A44" s="511"/>
      <c r="B44" s="511"/>
      <c r="K44" s="511"/>
    </row>
    <row r="45" spans="1:20" ht="18.75">
      <c r="A45" s="511"/>
      <c r="B45" s="511"/>
      <c r="K45" s="511"/>
    </row>
    <row r="46" spans="1:20" ht="21">
      <c r="A46" s="506"/>
      <c r="B46" s="506"/>
      <c r="K46" s="506"/>
    </row>
    <row r="47" spans="1:20" ht="18" customHeight="1">
      <c r="A47" s="596" t="s">
        <v>2</v>
      </c>
      <c r="B47" s="625" t="s">
        <v>613</v>
      </c>
      <c r="C47" s="800" t="s">
        <v>450</v>
      </c>
      <c r="D47" s="800"/>
      <c r="E47" s="808" t="s">
        <v>849</v>
      </c>
      <c r="F47" s="817" t="str">
        <f>"Design values F2,Rd for "&amp;E33&amp;" [kN]"</f>
        <v>Design values F2,Rd for GL24h [kN]</v>
      </c>
      <c r="G47" s="706"/>
      <c r="H47" s="706"/>
      <c r="I47" s="706"/>
      <c r="J47" s="706"/>
      <c r="K47" s="604" t="s">
        <v>690</v>
      </c>
      <c r="L47" s="820"/>
      <c r="M47" s="798"/>
      <c r="N47" s="693"/>
      <c r="O47" s="693"/>
      <c r="P47" s="693"/>
      <c r="Q47" s="693"/>
      <c r="R47" s="693"/>
      <c r="S47" s="3"/>
      <c r="T47" s="641"/>
    </row>
    <row r="48" spans="1:20" ht="18">
      <c r="A48" s="82"/>
      <c r="B48" s="626" t="s">
        <v>612</v>
      </c>
      <c r="C48" s="629" t="s">
        <v>794</v>
      </c>
      <c r="D48" s="629" t="s">
        <v>795</v>
      </c>
      <c r="E48" s="809"/>
      <c r="F48" s="590">
        <v>0.6</v>
      </c>
      <c r="G48" s="590">
        <v>0.7</v>
      </c>
      <c r="H48" s="590">
        <v>0.8</v>
      </c>
      <c r="I48" s="590">
        <v>0.9</v>
      </c>
      <c r="J48" s="590">
        <v>1</v>
      </c>
      <c r="K48" s="590">
        <v>1.1000000000000001</v>
      </c>
      <c r="L48" s="653"/>
      <c r="M48" s="642"/>
      <c r="N48" s="642"/>
      <c r="O48" s="642"/>
      <c r="P48" s="642"/>
      <c r="Q48" s="642"/>
      <c r="R48" s="642"/>
      <c r="S48" s="642"/>
      <c r="T48" s="642"/>
    </row>
    <row r="49" spans="1:20" ht="45">
      <c r="A49" s="424" t="s">
        <v>831</v>
      </c>
      <c r="B49" s="532" t="s">
        <v>488</v>
      </c>
      <c r="C49" s="551">
        <v>34</v>
      </c>
      <c r="D49" s="551">
        <f>'RICON_RICON-S-EK_GIGANT_WALCO '!F310</f>
        <v>31.491496682526368</v>
      </c>
      <c r="E49" s="637">
        <f>C49/1</f>
        <v>34</v>
      </c>
      <c r="F49" s="500">
        <f t="shared" ref="F49:K56" si="2">MIN($C49/1,$D49*F$20/1.3)</f>
        <v>14.534536930396785</v>
      </c>
      <c r="G49" s="500">
        <f t="shared" si="2"/>
        <v>16.956959752129581</v>
      </c>
      <c r="H49" s="500">
        <f t="shared" si="2"/>
        <v>19.37938257386238</v>
      </c>
      <c r="I49" s="500">
        <f t="shared" si="2"/>
        <v>21.801805395595178</v>
      </c>
      <c r="J49" s="500">
        <f t="shared" si="2"/>
        <v>24.224228217327973</v>
      </c>
      <c r="K49" s="500">
        <f t="shared" si="2"/>
        <v>26.646651039060774</v>
      </c>
      <c r="L49" s="654"/>
      <c r="M49" s="510"/>
      <c r="N49" s="510"/>
      <c r="O49" s="510"/>
      <c r="P49" s="510"/>
      <c r="Q49" s="510"/>
      <c r="R49" s="510"/>
      <c r="S49" s="510"/>
      <c r="T49" s="510"/>
    </row>
    <row r="50" spans="1:20" ht="45">
      <c r="A50" s="342" t="s">
        <v>832</v>
      </c>
      <c r="B50" s="530" t="s">
        <v>621</v>
      </c>
      <c r="C50" s="551">
        <v>34</v>
      </c>
      <c r="D50" s="551">
        <f>'RICON_RICON-S-EK_GIGANT_WALCO '!F311</f>
        <v>33.461995493984347</v>
      </c>
      <c r="E50" s="637">
        <f t="shared" ref="E50:E56" si="3">C50/1</f>
        <v>34</v>
      </c>
      <c r="F50" s="500">
        <f t="shared" si="2"/>
        <v>15.443997920300466</v>
      </c>
      <c r="G50" s="500">
        <f t="shared" si="2"/>
        <v>18.017997573683878</v>
      </c>
      <c r="H50" s="500">
        <f t="shared" si="2"/>
        <v>20.591997227067289</v>
      </c>
      <c r="I50" s="500">
        <f t="shared" si="2"/>
        <v>23.165996880450702</v>
      </c>
      <c r="J50" s="500">
        <f t="shared" si="2"/>
        <v>25.739996533834113</v>
      </c>
      <c r="K50" s="500">
        <f t="shared" si="2"/>
        <v>28.313996187217523</v>
      </c>
      <c r="L50" s="654"/>
      <c r="M50" s="510"/>
      <c r="N50" s="510"/>
      <c r="O50" s="510"/>
      <c r="P50" s="510"/>
      <c r="Q50" s="510"/>
      <c r="R50" s="510"/>
      <c r="S50" s="510"/>
      <c r="T50" s="510"/>
    </row>
    <row r="51" spans="1:20" ht="45">
      <c r="A51" s="342" t="s">
        <v>833</v>
      </c>
      <c r="B51" s="530" t="s">
        <v>489</v>
      </c>
      <c r="C51" s="551">
        <v>34</v>
      </c>
      <c r="D51" s="551">
        <f>'RICON_RICON-S-EK_GIGANT_WALCO '!F312</f>
        <v>34.932860097435942</v>
      </c>
      <c r="E51" s="637">
        <f t="shared" si="3"/>
        <v>34</v>
      </c>
      <c r="F51" s="500">
        <f t="shared" si="2"/>
        <v>16.122858506508894</v>
      </c>
      <c r="G51" s="500">
        <f t="shared" si="2"/>
        <v>18.810001590927044</v>
      </c>
      <c r="H51" s="500">
        <f t="shared" si="2"/>
        <v>21.497144675345194</v>
      </c>
      <c r="I51" s="500">
        <f t="shared" si="2"/>
        <v>24.184287759763347</v>
      </c>
      <c r="J51" s="500">
        <f t="shared" si="2"/>
        <v>26.871430844181493</v>
      </c>
      <c r="K51" s="500">
        <f t="shared" si="2"/>
        <v>29.558573928599646</v>
      </c>
      <c r="L51" s="654"/>
      <c r="M51" s="510"/>
      <c r="N51" s="510"/>
      <c r="O51" s="510"/>
      <c r="P51" s="510"/>
      <c r="Q51" s="510"/>
      <c r="R51" s="510"/>
      <c r="S51" s="510"/>
      <c r="T51" s="510"/>
    </row>
    <row r="52" spans="1:20" ht="45.75" thickBot="1">
      <c r="A52" s="651" t="s">
        <v>834</v>
      </c>
      <c r="B52" s="652" t="s">
        <v>622</v>
      </c>
      <c r="C52" s="614">
        <v>34</v>
      </c>
      <c r="D52" s="655">
        <f>'RICON_RICON-S-EK_GIGANT_WALCO '!F313</f>
        <v>41.424610237180048</v>
      </c>
      <c r="E52" s="645">
        <f t="shared" si="3"/>
        <v>34</v>
      </c>
      <c r="F52" s="502">
        <f t="shared" si="2"/>
        <v>19.119050878698481</v>
      </c>
      <c r="G52" s="502">
        <f t="shared" si="2"/>
        <v>22.305559358481563</v>
      </c>
      <c r="H52" s="502">
        <f t="shared" si="2"/>
        <v>25.492067838264646</v>
      </c>
      <c r="I52" s="502">
        <f t="shared" si="2"/>
        <v>28.678576318047725</v>
      </c>
      <c r="J52" s="502">
        <f t="shared" si="2"/>
        <v>31.865084797830804</v>
      </c>
      <c r="K52" s="502">
        <f t="shared" si="2"/>
        <v>34</v>
      </c>
      <c r="L52" s="654"/>
      <c r="M52" s="510"/>
      <c r="N52" s="510"/>
      <c r="O52" s="510"/>
      <c r="P52" s="510"/>
      <c r="Q52" s="510"/>
      <c r="R52" s="510"/>
      <c r="S52" s="510"/>
      <c r="T52" s="510"/>
    </row>
    <row r="53" spans="1:20" ht="45.75" thickTop="1">
      <c r="A53" s="424" t="s">
        <v>835</v>
      </c>
      <c r="B53" s="532" t="s">
        <v>498</v>
      </c>
      <c r="C53" s="613">
        <v>50</v>
      </c>
      <c r="D53" s="613">
        <f>'RICON_RICON-S-EK_GIGANT_WALCO '!F314</f>
        <v>48.84998370785852</v>
      </c>
      <c r="E53" s="646">
        <f t="shared" si="3"/>
        <v>50</v>
      </c>
      <c r="F53" s="501">
        <f t="shared" si="2"/>
        <v>22.54614632670393</v>
      </c>
      <c r="G53" s="501">
        <f t="shared" si="2"/>
        <v>26.303837381154583</v>
      </c>
      <c r="H53" s="501">
        <f t="shared" si="2"/>
        <v>30.061528435605243</v>
      </c>
      <c r="I53" s="501">
        <f t="shared" si="2"/>
        <v>33.8192194900559</v>
      </c>
      <c r="J53" s="501">
        <f t="shared" si="2"/>
        <v>37.576910544506553</v>
      </c>
      <c r="K53" s="501">
        <f t="shared" si="2"/>
        <v>41.334601598957214</v>
      </c>
      <c r="L53" s="654"/>
      <c r="M53" s="510"/>
      <c r="N53" s="510"/>
      <c r="O53" s="510"/>
      <c r="P53" s="510"/>
      <c r="Q53" s="510"/>
      <c r="R53" s="510"/>
      <c r="S53" s="510"/>
      <c r="T53" s="510"/>
    </row>
    <row r="54" spans="1:20" ht="45">
      <c r="A54" s="342" t="s">
        <v>836</v>
      </c>
      <c r="B54" s="530" t="s">
        <v>498</v>
      </c>
      <c r="C54" s="551">
        <v>50</v>
      </c>
      <c r="D54" s="551">
        <f>'RICON_RICON-S-EK_GIGANT_WALCO '!F315</f>
        <v>58.443039446631978</v>
      </c>
      <c r="E54" s="637">
        <f t="shared" si="3"/>
        <v>50</v>
      </c>
      <c r="F54" s="500">
        <f t="shared" si="2"/>
        <v>26.973710513830145</v>
      </c>
      <c r="G54" s="500">
        <f t="shared" si="2"/>
        <v>31.469328932801833</v>
      </c>
      <c r="H54" s="500">
        <f t="shared" si="2"/>
        <v>35.964947351773525</v>
      </c>
      <c r="I54" s="500">
        <f t="shared" si="2"/>
        <v>40.460565770745212</v>
      </c>
      <c r="J54" s="500">
        <f t="shared" si="2"/>
        <v>44.956184189716907</v>
      </c>
      <c r="K54" s="500">
        <f t="shared" si="2"/>
        <v>49.451802608688602</v>
      </c>
      <c r="L54" s="654"/>
      <c r="M54" s="510"/>
      <c r="N54" s="510"/>
      <c r="O54" s="510"/>
      <c r="P54" s="510"/>
      <c r="Q54" s="510"/>
      <c r="R54" s="510"/>
      <c r="S54" s="510"/>
      <c r="T54" s="510"/>
    </row>
    <row r="55" spans="1:20" ht="45">
      <c r="A55" s="342" t="s">
        <v>837</v>
      </c>
      <c r="B55" s="530" t="s">
        <v>499</v>
      </c>
      <c r="C55" s="551">
        <v>50</v>
      </c>
      <c r="D55" s="551">
        <f>'RICON_RICON-S-EK_GIGANT_WALCO '!F316</f>
        <v>48.84998370785852</v>
      </c>
      <c r="E55" s="637">
        <f t="shared" si="3"/>
        <v>50</v>
      </c>
      <c r="F55" s="500">
        <f t="shared" si="2"/>
        <v>22.54614632670393</v>
      </c>
      <c r="G55" s="500">
        <f t="shared" si="2"/>
        <v>26.303837381154583</v>
      </c>
      <c r="H55" s="500">
        <f t="shared" si="2"/>
        <v>30.061528435605243</v>
      </c>
      <c r="I55" s="500">
        <f t="shared" si="2"/>
        <v>33.8192194900559</v>
      </c>
      <c r="J55" s="500">
        <f t="shared" si="2"/>
        <v>37.576910544506553</v>
      </c>
      <c r="K55" s="500">
        <f t="shared" si="2"/>
        <v>41.334601598957214</v>
      </c>
      <c r="L55" s="654"/>
      <c r="M55" s="510"/>
      <c r="N55" s="510"/>
      <c r="O55" s="510"/>
      <c r="P55" s="510"/>
      <c r="Q55" s="510"/>
      <c r="R55" s="510"/>
      <c r="S55" s="510"/>
      <c r="T55" s="510"/>
    </row>
    <row r="56" spans="1:20" ht="45">
      <c r="A56" s="342" t="s">
        <v>838</v>
      </c>
      <c r="B56" s="530" t="s">
        <v>499</v>
      </c>
      <c r="C56" s="551">
        <v>50</v>
      </c>
      <c r="D56" s="551">
        <f>'RICON_RICON-S-EK_GIGANT_WALCO '!F317</f>
        <v>59.709990723289614</v>
      </c>
      <c r="E56" s="637">
        <f t="shared" si="3"/>
        <v>50</v>
      </c>
      <c r="F56" s="500">
        <f t="shared" si="2"/>
        <v>27.558457256902898</v>
      </c>
      <c r="G56" s="500">
        <f t="shared" si="2"/>
        <v>32.151533466386709</v>
      </c>
      <c r="H56" s="500">
        <f t="shared" si="2"/>
        <v>36.744609675870528</v>
      </c>
      <c r="I56" s="500">
        <f t="shared" si="2"/>
        <v>41.337685885354347</v>
      </c>
      <c r="J56" s="500">
        <f t="shared" si="2"/>
        <v>45.930762094838165</v>
      </c>
      <c r="K56" s="500">
        <f t="shared" si="2"/>
        <v>50</v>
      </c>
      <c r="L56" s="654"/>
      <c r="M56" s="510"/>
      <c r="N56" s="510"/>
      <c r="O56" s="510"/>
      <c r="P56" s="510"/>
      <c r="Q56" s="510"/>
      <c r="R56" s="510"/>
      <c r="S56" s="510"/>
      <c r="T56" s="510"/>
    </row>
    <row r="57" spans="1:20">
      <c r="A57" s="504"/>
      <c r="B57" s="533"/>
      <c r="C57" s="510"/>
      <c r="D57" s="510"/>
      <c r="E57" s="510"/>
      <c r="F57" s="510"/>
      <c r="G57" s="510"/>
      <c r="H57" s="510"/>
      <c r="I57" s="510"/>
      <c r="K57" s="504"/>
      <c r="L57" s="510"/>
      <c r="M57" s="510"/>
      <c r="N57" s="510"/>
      <c r="O57" s="510"/>
      <c r="P57" s="510"/>
      <c r="Q57" s="510"/>
      <c r="R57" s="510"/>
    </row>
    <row r="58" spans="1:20">
      <c r="A58" s="504"/>
      <c r="B58" s="533"/>
      <c r="C58" s="510"/>
      <c r="D58" s="510"/>
      <c r="E58" s="510"/>
      <c r="F58" s="510"/>
      <c r="G58" s="510"/>
      <c r="H58" s="510"/>
      <c r="I58" s="510"/>
      <c r="K58" s="504"/>
      <c r="L58" s="510"/>
      <c r="M58" s="510"/>
      <c r="N58" s="510"/>
      <c r="O58" s="510"/>
      <c r="P58" s="510"/>
      <c r="Q58" s="510"/>
      <c r="R58" s="510"/>
    </row>
    <row r="59" spans="1:20">
      <c r="A59" s="504"/>
      <c r="B59" s="533"/>
      <c r="C59" s="510"/>
      <c r="D59" s="510"/>
      <c r="E59" s="510"/>
      <c r="F59" s="510"/>
      <c r="G59" s="510"/>
      <c r="H59" s="510"/>
      <c r="I59" s="510"/>
      <c r="K59" s="504"/>
      <c r="L59" s="510"/>
      <c r="M59" s="510"/>
      <c r="N59" s="510"/>
      <c r="O59" s="510"/>
      <c r="P59" s="510"/>
      <c r="Q59" s="510"/>
      <c r="R59" s="510"/>
    </row>
    <row r="60" spans="1:20">
      <c r="A60" s="504"/>
      <c r="B60" s="533"/>
      <c r="C60" s="510"/>
      <c r="D60" s="510"/>
      <c r="E60" s="510"/>
      <c r="F60" s="510"/>
      <c r="G60" s="510"/>
      <c r="H60" s="510"/>
      <c r="I60" s="510"/>
      <c r="K60" s="504"/>
      <c r="L60" s="510"/>
      <c r="M60" s="510"/>
      <c r="N60" s="510"/>
      <c r="O60" s="510"/>
      <c r="P60" s="510"/>
      <c r="Q60" s="510"/>
      <c r="R60" s="510"/>
    </row>
    <row r="61" spans="1:20">
      <c r="A61" s="504"/>
      <c r="B61" s="533"/>
      <c r="C61" s="510"/>
      <c r="D61" s="510"/>
      <c r="E61" s="510"/>
      <c r="F61" s="510"/>
      <c r="G61" s="510"/>
      <c r="H61" s="510"/>
      <c r="I61" s="510"/>
      <c r="K61" s="504"/>
      <c r="L61" s="510"/>
      <c r="M61" s="510"/>
      <c r="N61" s="510"/>
      <c r="O61" s="510"/>
      <c r="P61" s="510"/>
      <c r="Q61" s="510"/>
      <c r="R61" s="510"/>
    </row>
    <row r="62" spans="1:20">
      <c r="A62" s="504"/>
      <c r="B62" s="533"/>
      <c r="C62" s="510"/>
      <c r="D62" s="510"/>
      <c r="E62" s="510"/>
      <c r="F62" s="510"/>
      <c r="G62" s="510"/>
      <c r="H62" s="510"/>
      <c r="I62" s="510"/>
      <c r="K62" s="504"/>
      <c r="L62" s="510"/>
      <c r="M62" s="510"/>
      <c r="N62" s="510"/>
      <c r="O62" s="510"/>
      <c r="P62" s="510"/>
      <c r="Q62" s="510"/>
      <c r="R62" s="510"/>
    </row>
    <row r="63" spans="1:20">
      <c r="A63" s="504"/>
      <c r="B63" s="533"/>
      <c r="C63" s="510"/>
      <c r="D63" s="510"/>
      <c r="E63" s="510"/>
      <c r="F63" s="510"/>
      <c r="G63" s="510"/>
      <c r="H63" s="510"/>
      <c r="I63" s="510"/>
      <c r="K63" s="504"/>
      <c r="L63" s="510"/>
      <c r="M63" s="510"/>
      <c r="N63" s="510"/>
      <c r="O63" s="510"/>
      <c r="P63" s="510"/>
      <c r="Q63" s="510"/>
      <c r="R63" s="510"/>
    </row>
    <row r="64" spans="1:20" ht="33.75">
      <c r="A64" s="556" t="s">
        <v>830</v>
      </c>
      <c r="B64" s="557"/>
      <c r="C64" s="557"/>
      <c r="D64" s="557"/>
      <c r="E64" s="557"/>
      <c r="F64" s="557"/>
      <c r="G64" s="557"/>
      <c r="H64" s="557"/>
      <c r="I64" s="557"/>
      <c r="J64" s="557"/>
      <c r="K64" s="555"/>
      <c r="L64" s="504"/>
      <c r="M64" s="510"/>
      <c r="N64" s="510"/>
      <c r="O64" s="510"/>
      <c r="P64" s="510"/>
      <c r="Q64" s="510"/>
      <c r="R64" s="510"/>
      <c r="S64" s="510"/>
    </row>
    <row r="65" spans="1:19" ht="21">
      <c r="A65" s="558" t="s">
        <v>689</v>
      </c>
      <c r="B65" s="543"/>
      <c r="C65" s="543"/>
      <c r="D65" s="543" t="s">
        <v>673</v>
      </c>
      <c r="E65" s="601" t="s">
        <v>25</v>
      </c>
      <c r="G65" s="582" t="str">
        <f>VLOOKUP(E65,'RICON_RICON-S-EK_GIGANT_WALCO '!V7:Y17,4,FALSE)</f>
        <v>Glued laminated timber - homogeneous</v>
      </c>
      <c r="H65" s="582"/>
      <c r="L65" s="767"/>
      <c r="M65" s="767"/>
      <c r="N65" s="767"/>
      <c r="O65" s="767"/>
      <c r="P65" s="767"/>
      <c r="Q65" s="767"/>
      <c r="R65" s="767"/>
      <c r="S65" s="767"/>
    </row>
    <row r="66" spans="1:19" ht="18.75">
      <c r="D66" s="580" t="s">
        <v>672</v>
      </c>
      <c r="E66" s="601">
        <v>1</v>
      </c>
      <c r="G66" s="581" t="str">
        <f>VLOOKUP(E66,'RICON_RICON-S-EK_GIGANT_WALCO '!V21:X22,3,FALSE)</f>
        <v>Indoor</v>
      </c>
      <c r="H66" s="583"/>
      <c r="L66" s="511"/>
    </row>
    <row r="67" spans="1:19" ht="18.75">
      <c r="A67" s="511"/>
      <c r="B67" s="511"/>
      <c r="L67" s="511"/>
    </row>
    <row r="68" spans="1:19" ht="18.75">
      <c r="A68" s="511"/>
      <c r="B68" s="511"/>
      <c r="L68" s="511"/>
    </row>
    <row r="69" spans="1:19" ht="18.75">
      <c r="A69" s="511"/>
      <c r="B69" s="511"/>
      <c r="L69" s="511"/>
    </row>
    <row r="70" spans="1:19" ht="18.75">
      <c r="A70" s="511"/>
      <c r="B70" s="511"/>
      <c r="L70" s="511"/>
    </row>
    <row r="71" spans="1:19" ht="18.75">
      <c r="A71" s="511"/>
      <c r="B71" s="511"/>
      <c r="L71" s="511"/>
    </row>
    <row r="72" spans="1:19" ht="18.75">
      <c r="A72" s="511"/>
      <c r="B72" s="511"/>
      <c r="L72" s="511"/>
    </row>
    <row r="73" spans="1:19" ht="18.75">
      <c r="A73" s="511"/>
      <c r="B73" s="511"/>
      <c r="L73" s="511"/>
    </row>
    <row r="74" spans="1:19" ht="18.75">
      <c r="A74" s="511"/>
      <c r="B74" s="511"/>
      <c r="L74" s="511"/>
    </row>
    <row r="75" spans="1:19" ht="18.75">
      <c r="A75" s="511"/>
      <c r="B75" s="511"/>
      <c r="L75" s="511"/>
    </row>
    <row r="76" spans="1:19" ht="18.75">
      <c r="A76" s="511"/>
      <c r="B76" s="511"/>
      <c r="L76" s="511"/>
    </row>
    <row r="77" spans="1:19" ht="18.75">
      <c r="A77" s="511"/>
      <c r="B77" s="511"/>
      <c r="L77" s="511"/>
    </row>
    <row r="78" spans="1:19" ht="18.75">
      <c r="A78" s="511"/>
      <c r="B78" s="511"/>
      <c r="L78" s="511"/>
    </row>
    <row r="79" spans="1:19" ht="21">
      <c r="A79" s="505"/>
      <c r="B79" s="505"/>
      <c r="E79" s="2"/>
      <c r="F79" s="2"/>
      <c r="G79" s="2"/>
      <c r="H79" s="2"/>
      <c r="L79" s="505"/>
    </row>
    <row r="80" spans="1:19" ht="15" customHeight="1">
      <c r="A80" s="596" t="s">
        <v>2</v>
      </c>
      <c r="B80" s="585" t="s">
        <v>613</v>
      </c>
      <c r="C80" s="800" t="s">
        <v>450</v>
      </c>
      <c r="D80" s="800"/>
      <c r="E80" s="808" t="s">
        <v>849</v>
      </c>
      <c r="F80" s="817" t="str">
        <f>"Design values F2,Rd for "&amp;E65&amp;" [kN]"</f>
        <v>Design values F2,Rd for GL24h [kN]</v>
      </c>
      <c r="G80" s="706"/>
      <c r="H80" s="706"/>
      <c r="I80" s="706"/>
      <c r="J80" s="706"/>
      <c r="K80" s="604" t="s">
        <v>690</v>
      </c>
      <c r="L80" s="144"/>
      <c r="M80" s="798"/>
      <c r="N80" s="798"/>
      <c r="O80" s="693"/>
      <c r="P80" s="693"/>
      <c r="Q80" s="693"/>
      <c r="R80" s="693"/>
      <c r="S80" s="693"/>
    </row>
    <row r="81" spans="1:19" ht="31.5" customHeight="1">
      <c r="A81" s="82"/>
      <c r="B81" s="586" t="s">
        <v>612</v>
      </c>
      <c r="C81" s="612" t="s">
        <v>794</v>
      </c>
      <c r="D81" s="612" t="s">
        <v>795</v>
      </c>
      <c r="E81" s="809"/>
      <c r="F81" s="590">
        <v>0.6</v>
      </c>
      <c r="G81" s="590">
        <v>0.7</v>
      </c>
      <c r="H81" s="590">
        <v>0.8</v>
      </c>
      <c r="I81" s="590">
        <v>0.9</v>
      </c>
      <c r="J81" s="590">
        <v>1</v>
      </c>
      <c r="K81" s="590">
        <v>1.1000000000000001</v>
      </c>
      <c r="L81" s="144"/>
      <c r="M81" s="3"/>
      <c r="N81" s="3"/>
      <c r="O81" s="669"/>
      <c r="P81" s="669"/>
      <c r="Q81" s="669"/>
      <c r="R81" s="669"/>
      <c r="S81" s="669"/>
    </row>
    <row r="82" spans="1:19" ht="45">
      <c r="A82" s="342" t="s">
        <v>805</v>
      </c>
      <c r="B82" s="530" t="s">
        <v>488</v>
      </c>
      <c r="C82" s="551">
        <f>'RICON-S-VS'!C76</f>
        <v>60</v>
      </c>
      <c r="D82" s="551">
        <f>'RICON-S-VS'!F76</f>
        <v>26.949266771153084</v>
      </c>
      <c r="E82" s="637">
        <f>C82/1</f>
        <v>60</v>
      </c>
      <c r="F82" s="500">
        <f t="shared" ref="F82:K82" si="4">MIN($C82/1,$D82*F$81/1.3)</f>
        <v>12.438123125147577</v>
      </c>
      <c r="G82" s="500">
        <f t="shared" si="4"/>
        <v>14.511143646005506</v>
      </c>
      <c r="H82" s="500">
        <f t="shared" si="4"/>
        <v>16.584164166863435</v>
      </c>
      <c r="I82" s="500">
        <f t="shared" si="4"/>
        <v>18.657184687721365</v>
      </c>
      <c r="J82" s="500">
        <f t="shared" si="4"/>
        <v>20.730205208579296</v>
      </c>
      <c r="K82" s="500">
        <f t="shared" si="4"/>
        <v>22.803225729437226</v>
      </c>
      <c r="L82" s="144"/>
      <c r="M82" s="3"/>
      <c r="N82" s="3"/>
      <c r="O82" s="669"/>
      <c r="P82" s="669"/>
      <c r="Q82" s="669"/>
      <c r="R82" s="669"/>
      <c r="S82" s="669"/>
    </row>
    <row r="83" spans="1:19" ht="45">
      <c r="A83" s="342" t="s">
        <v>804</v>
      </c>
      <c r="B83" s="530" t="s">
        <v>488</v>
      </c>
      <c r="C83" s="551">
        <f>'RICON-S-VS'!C77</f>
        <v>60</v>
      </c>
      <c r="D83" s="551">
        <f>'RICON-S-VS'!F77</f>
        <v>37.149991394525706</v>
      </c>
      <c r="E83" s="637">
        <f t="shared" ref="E83:E96" si="5">C83/1</f>
        <v>60</v>
      </c>
      <c r="F83" s="500">
        <f t="shared" ref="F83:I96" si="6">MIN($C83/1,$D83*F$81/1.3)</f>
        <v>17.146149874396478</v>
      </c>
      <c r="G83" s="500">
        <f t="shared" si="6"/>
        <v>20.003841520129225</v>
      </c>
      <c r="H83" s="500">
        <f t="shared" si="6"/>
        <v>22.861533165861974</v>
      </c>
      <c r="I83" s="500">
        <f t="shared" si="6"/>
        <v>25.719224811594717</v>
      </c>
      <c r="J83" s="500">
        <f t="shared" ref="J83:K96" si="7">MIN($C83/1,$D83*J$81/1.3)</f>
        <v>28.576916457327464</v>
      </c>
      <c r="K83" s="500">
        <f t="shared" si="7"/>
        <v>31.434608103060214</v>
      </c>
      <c r="L83" s="676"/>
      <c r="M83" s="510"/>
      <c r="N83" s="510"/>
      <c r="O83" s="510"/>
      <c r="P83" s="510"/>
      <c r="Q83" s="510"/>
      <c r="R83" s="510"/>
      <c r="S83" s="510"/>
    </row>
    <row r="84" spans="1:19" ht="45.75" thickBot="1">
      <c r="A84" s="651" t="s">
        <v>789</v>
      </c>
      <c r="B84" s="652" t="s">
        <v>490</v>
      </c>
      <c r="C84" s="614">
        <f>'RICON-S-VS'!C78</f>
        <v>60</v>
      </c>
      <c r="D84" s="614">
        <f>'RICON-S-VS'!F78</f>
        <v>40.18125965399701</v>
      </c>
      <c r="E84" s="645">
        <f t="shared" si="5"/>
        <v>60</v>
      </c>
      <c r="F84" s="502">
        <f t="shared" si="6"/>
        <v>18.545196763383235</v>
      </c>
      <c r="G84" s="502">
        <f t="shared" si="6"/>
        <v>21.636062890613772</v>
      </c>
      <c r="H84" s="502">
        <f t="shared" si="6"/>
        <v>24.726929017844313</v>
      </c>
      <c r="I84" s="502">
        <f t="shared" si="6"/>
        <v>27.817795145074854</v>
      </c>
      <c r="J84" s="502">
        <f t="shared" si="7"/>
        <v>30.908661272305391</v>
      </c>
      <c r="K84" s="502">
        <f t="shared" si="7"/>
        <v>33.999527399535936</v>
      </c>
      <c r="L84" s="676"/>
      <c r="M84" s="510"/>
      <c r="N84" s="510"/>
      <c r="O84" s="510"/>
      <c r="P84" s="510"/>
      <c r="Q84" s="510"/>
      <c r="R84" s="510"/>
      <c r="S84" s="510"/>
    </row>
    <row r="85" spans="1:19" ht="45.75" thickTop="1">
      <c r="A85" s="424" t="s">
        <v>806</v>
      </c>
      <c r="B85" s="532" t="s">
        <v>489</v>
      </c>
      <c r="C85" s="613">
        <f>'RICON-S-VS'!C79</f>
        <v>60</v>
      </c>
      <c r="D85" s="613">
        <f>'RICON-S-VS'!F79</f>
        <v>30.390630186062658</v>
      </c>
      <c r="E85" s="646">
        <f t="shared" si="5"/>
        <v>60</v>
      </c>
      <c r="F85" s="501">
        <f t="shared" si="6"/>
        <v>14.026444701259686</v>
      </c>
      <c r="G85" s="501">
        <f t="shared" si="6"/>
        <v>16.36418548480297</v>
      </c>
      <c r="H85" s="501">
        <f t="shared" si="6"/>
        <v>18.701926268346252</v>
      </c>
      <c r="I85" s="501">
        <f t="shared" si="6"/>
        <v>21.039667051889534</v>
      </c>
      <c r="J85" s="501">
        <f t="shared" si="7"/>
        <v>23.377407835432813</v>
      </c>
      <c r="K85" s="501">
        <f t="shared" si="7"/>
        <v>25.715148618976098</v>
      </c>
      <c r="L85" s="676"/>
      <c r="M85" s="510"/>
      <c r="N85" s="510"/>
      <c r="O85" s="510"/>
      <c r="P85" s="510"/>
      <c r="Q85" s="510"/>
      <c r="R85" s="510"/>
      <c r="S85" s="510"/>
    </row>
    <row r="86" spans="1:19" ht="45">
      <c r="A86" s="342" t="s">
        <v>807</v>
      </c>
      <c r="B86" s="530" t="s">
        <v>489</v>
      </c>
      <c r="C86" s="551">
        <f>'RICON-S-VS'!C80</f>
        <v>60</v>
      </c>
      <c r="D86" s="551">
        <f>'RICON-S-VS'!F80</f>
        <v>56.710921194381697</v>
      </c>
      <c r="E86" s="637">
        <f t="shared" si="5"/>
        <v>60</v>
      </c>
      <c r="F86" s="500">
        <f t="shared" si="6"/>
        <v>26.174271320483861</v>
      </c>
      <c r="G86" s="500">
        <f t="shared" si="6"/>
        <v>30.536649873897833</v>
      </c>
      <c r="H86" s="500">
        <f t="shared" si="6"/>
        <v>34.899028427311819</v>
      </c>
      <c r="I86" s="500">
        <f t="shared" si="6"/>
        <v>39.261406980725788</v>
      </c>
      <c r="J86" s="500">
        <f t="shared" si="7"/>
        <v>43.623785534139763</v>
      </c>
      <c r="K86" s="500">
        <f t="shared" si="7"/>
        <v>47.986164087553746</v>
      </c>
      <c r="L86" s="676"/>
      <c r="M86" s="510"/>
      <c r="N86" s="510"/>
      <c r="O86" s="510"/>
      <c r="P86" s="510"/>
      <c r="Q86" s="510"/>
      <c r="R86" s="510"/>
      <c r="S86" s="510"/>
    </row>
    <row r="87" spans="1:19" ht="45.75" thickBot="1">
      <c r="A87" s="651" t="s">
        <v>790</v>
      </c>
      <c r="B87" s="652" t="s">
        <v>500</v>
      </c>
      <c r="C87" s="614">
        <f>'RICON-S-VS'!C81</f>
        <v>60</v>
      </c>
      <c r="D87" s="614">
        <f>'RICON-S-VS'!F81</f>
        <v>66.480609906200655</v>
      </c>
      <c r="E87" s="645">
        <f t="shared" si="5"/>
        <v>60</v>
      </c>
      <c r="F87" s="502">
        <f t="shared" si="6"/>
        <v>30.683358418246456</v>
      </c>
      <c r="G87" s="502">
        <f t="shared" si="6"/>
        <v>35.797251487954192</v>
      </c>
      <c r="H87" s="502">
        <f t="shared" si="6"/>
        <v>40.911144557661942</v>
      </c>
      <c r="I87" s="502">
        <f t="shared" si="6"/>
        <v>46.025037627369684</v>
      </c>
      <c r="J87" s="502">
        <f t="shared" si="7"/>
        <v>51.138930697077427</v>
      </c>
      <c r="K87" s="502">
        <f t="shared" si="7"/>
        <v>56.25282376678517</v>
      </c>
      <c r="L87" s="676"/>
      <c r="M87" s="510"/>
      <c r="N87" s="510"/>
      <c r="O87" s="510"/>
      <c r="P87" s="510"/>
      <c r="Q87" s="510"/>
      <c r="R87" s="510"/>
      <c r="S87" s="510"/>
    </row>
    <row r="88" spans="1:19" ht="45.75" thickTop="1">
      <c r="A88" s="424" t="s">
        <v>808</v>
      </c>
      <c r="B88" s="532" t="s">
        <v>498</v>
      </c>
      <c r="C88" s="613">
        <f>'RICON-S-VS'!C82</f>
        <v>99</v>
      </c>
      <c r="D88" s="613">
        <f>'RICON-S-VS'!F82</f>
        <v>42.402011672418155</v>
      </c>
      <c r="E88" s="646">
        <f t="shared" si="5"/>
        <v>99</v>
      </c>
      <c r="F88" s="501">
        <f t="shared" si="6"/>
        <v>19.570159233423762</v>
      </c>
      <c r="G88" s="501">
        <f t="shared" si="6"/>
        <v>22.831852438994389</v>
      </c>
      <c r="H88" s="501">
        <f t="shared" si="6"/>
        <v>26.093545644565019</v>
      </c>
      <c r="I88" s="501">
        <f t="shared" si="6"/>
        <v>29.355238850135645</v>
      </c>
      <c r="J88" s="501">
        <f t="shared" si="7"/>
        <v>32.616932055706272</v>
      </c>
      <c r="K88" s="501">
        <f t="shared" si="7"/>
        <v>35.878625261276902</v>
      </c>
      <c r="L88" s="676"/>
      <c r="M88" s="510"/>
      <c r="N88" s="510"/>
      <c r="O88" s="510"/>
      <c r="P88" s="510"/>
      <c r="Q88" s="510"/>
      <c r="R88" s="510"/>
      <c r="S88" s="510"/>
    </row>
    <row r="89" spans="1:19" ht="45">
      <c r="A89" s="342" t="s">
        <v>809</v>
      </c>
      <c r="B89" s="530" t="s">
        <v>498</v>
      </c>
      <c r="C89" s="551">
        <f>'RICON-S-VS'!C83</f>
        <v>99</v>
      </c>
      <c r="D89" s="551">
        <f>'RICON-S-VS'!F83</f>
        <v>79.124951595789881</v>
      </c>
      <c r="E89" s="637">
        <f t="shared" si="5"/>
        <v>99</v>
      </c>
      <c r="F89" s="500">
        <f t="shared" si="6"/>
        <v>36.519208428826097</v>
      </c>
      <c r="G89" s="500">
        <f t="shared" si="6"/>
        <v>42.605743166963784</v>
      </c>
      <c r="H89" s="500">
        <f t="shared" si="6"/>
        <v>48.692277905101463</v>
      </c>
      <c r="I89" s="500">
        <f t="shared" si="6"/>
        <v>54.778812643239149</v>
      </c>
      <c r="J89" s="500">
        <f t="shared" si="7"/>
        <v>60.865347381376829</v>
      </c>
      <c r="K89" s="500">
        <f t="shared" si="7"/>
        <v>66.951882119514522</v>
      </c>
      <c r="L89" s="676"/>
      <c r="M89" s="510"/>
      <c r="N89" s="510"/>
      <c r="O89" s="510"/>
      <c r="P89" s="510"/>
      <c r="Q89" s="510"/>
      <c r="R89" s="510"/>
      <c r="S89" s="510"/>
    </row>
    <row r="90" spans="1:19" ht="45.75" thickBot="1">
      <c r="A90" s="651" t="s">
        <v>791</v>
      </c>
      <c r="B90" s="652" t="s">
        <v>501</v>
      </c>
      <c r="C90" s="614">
        <f>'RICON-S-VS'!C84</f>
        <v>99</v>
      </c>
      <c r="D90" s="614">
        <f>'RICON-S-VS'!F84</f>
        <v>92.415567140008505</v>
      </c>
      <c r="E90" s="645">
        <f t="shared" si="5"/>
        <v>99</v>
      </c>
      <c r="F90" s="502">
        <f t="shared" si="6"/>
        <v>42.653338680003927</v>
      </c>
      <c r="G90" s="502">
        <f t="shared" si="6"/>
        <v>49.762228460004579</v>
      </c>
      <c r="H90" s="502">
        <f t="shared" si="6"/>
        <v>56.871118240005231</v>
      </c>
      <c r="I90" s="502">
        <f t="shared" si="6"/>
        <v>63.980008020005883</v>
      </c>
      <c r="J90" s="502">
        <f t="shared" si="7"/>
        <v>71.088897800006535</v>
      </c>
      <c r="K90" s="502">
        <f t="shared" si="7"/>
        <v>78.197787580007201</v>
      </c>
      <c r="L90" s="676"/>
      <c r="M90" s="510"/>
      <c r="N90" s="510"/>
      <c r="O90" s="510"/>
      <c r="P90" s="510"/>
      <c r="Q90" s="510"/>
      <c r="R90" s="510"/>
      <c r="S90" s="510"/>
    </row>
    <row r="91" spans="1:19" ht="45.75" thickTop="1">
      <c r="A91" s="424" t="s">
        <v>811</v>
      </c>
      <c r="B91" s="532" t="s">
        <v>499</v>
      </c>
      <c r="C91" s="613">
        <f>'RICON-S-VS'!C85</f>
        <v>99</v>
      </c>
      <c r="D91" s="613">
        <f>'RICON-S-VS'!F85</f>
        <v>42.402011672418155</v>
      </c>
      <c r="E91" s="646">
        <f t="shared" si="5"/>
        <v>99</v>
      </c>
      <c r="F91" s="501">
        <f t="shared" si="6"/>
        <v>19.570159233423762</v>
      </c>
      <c r="G91" s="501">
        <f t="shared" si="6"/>
        <v>22.831852438994389</v>
      </c>
      <c r="H91" s="501">
        <f t="shared" si="6"/>
        <v>26.093545644565019</v>
      </c>
      <c r="I91" s="501">
        <f t="shared" si="6"/>
        <v>29.355238850135645</v>
      </c>
      <c r="J91" s="501">
        <f t="shared" si="7"/>
        <v>32.616932055706272</v>
      </c>
      <c r="K91" s="501">
        <f t="shared" si="7"/>
        <v>35.878625261276902</v>
      </c>
      <c r="L91" s="676"/>
      <c r="M91" s="510"/>
      <c r="N91" s="510"/>
      <c r="O91" s="510"/>
      <c r="P91" s="510"/>
      <c r="Q91" s="510"/>
      <c r="R91" s="510"/>
      <c r="S91" s="510"/>
    </row>
    <row r="92" spans="1:19" ht="45">
      <c r="A92" s="342" t="s">
        <v>810</v>
      </c>
      <c r="B92" s="530" t="s">
        <v>499</v>
      </c>
      <c r="C92" s="551">
        <f>'RICON-S-VS'!C86</f>
        <v>99</v>
      </c>
      <c r="D92" s="551">
        <f>'RICON-S-VS'!F86</f>
        <v>118.23647695999895</v>
      </c>
      <c r="E92" s="637">
        <f t="shared" si="5"/>
        <v>99</v>
      </c>
      <c r="F92" s="500">
        <f t="shared" si="6"/>
        <v>54.570681673845669</v>
      </c>
      <c r="G92" s="500">
        <f t="shared" si="6"/>
        <v>63.665795286153283</v>
      </c>
      <c r="H92" s="500">
        <f t="shared" si="6"/>
        <v>72.760908898460897</v>
      </c>
      <c r="I92" s="500">
        <f t="shared" si="6"/>
        <v>81.856022510768497</v>
      </c>
      <c r="J92" s="500">
        <f t="shared" si="7"/>
        <v>90.951136123076111</v>
      </c>
      <c r="K92" s="500">
        <f t="shared" si="7"/>
        <v>99</v>
      </c>
      <c r="L92" s="676"/>
      <c r="M92" s="510"/>
      <c r="N92" s="510"/>
      <c r="O92" s="510"/>
      <c r="P92" s="510"/>
      <c r="Q92" s="510"/>
      <c r="R92" s="510"/>
      <c r="S92" s="510"/>
    </row>
    <row r="93" spans="1:19" ht="45.75" thickBot="1">
      <c r="A93" s="651" t="s">
        <v>792</v>
      </c>
      <c r="B93" s="652" t="s">
        <v>502</v>
      </c>
      <c r="C93" s="614">
        <f>'RICON-S-VS'!C87</f>
        <v>99</v>
      </c>
      <c r="D93" s="614">
        <f>'RICON-S-VS'!F87</f>
        <v>142.69127424794846</v>
      </c>
      <c r="E93" s="645">
        <f t="shared" si="5"/>
        <v>99</v>
      </c>
      <c r="F93" s="502">
        <f t="shared" si="6"/>
        <v>65.857511191360828</v>
      </c>
      <c r="G93" s="502">
        <f t="shared" si="6"/>
        <v>76.833763056587628</v>
      </c>
      <c r="H93" s="502">
        <f t="shared" si="6"/>
        <v>87.810014921814428</v>
      </c>
      <c r="I93" s="502">
        <f t="shared" si="6"/>
        <v>98.786266787041242</v>
      </c>
      <c r="J93" s="502">
        <f t="shared" si="7"/>
        <v>99</v>
      </c>
      <c r="K93" s="502">
        <f t="shared" si="7"/>
        <v>99</v>
      </c>
      <c r="L93" s="676"/>
      <c r="M93" s="510"/>
      <c r="N93" s="510"/>
      <c r="O93" s="510"/>
      <c r="P93" s="510"/>
      <c r="Q93" s="510"/>
      <c r="R93" s="510"/>
      <c r="S93" s="510"/>
    </row>
    <row r="94" spans="1:19" ht="45.75" thickTop="1">
      <c r="A94" s="424" t="s">
        <v>812</v>
      </c>
      <c r="B94" s="532" t="s">
        <v>747</v>
      </c>
      <c r="C94" s="613">
        <f>'RICON-S-VS'!C88</f>
        <v>180</v>
      </c>
      <c r="D94" s="613">
        <f>'RICON-S-VS'!F88</f>
        <v>130.93257261945729</v>
      </c>
      <c r="E94" s="646">
        <f t="shared" si="5"/>
        <v>180</v>
      </c>
      <c r="F94" s="501">
        <f t="shared" si="6"/>
        <v>60.430418132057206</v>
      </c>
      <c r="G94" s="501">
        <f t="shared" si="6"/>
        <v>70.502154487400063</v>
      </c>
      <c r="H94" s="501">
        <f t="shared" si="6"/>
        <v>80.573890842742955</v>
      </c>
      <c r="I94" s="501">
        <f t="shared" si="6"/>
        <v>90.645627198085819</v>
      </c>
      <c r="J94" s="501">
        <f t="shared" si="7"/>
        <v>100.71736355342868</v>
      </c>
      <c r="K94" s="501">
        <f t="shared" si="7"/>
        <v>110.78909990877156</v>
      </c>
      <c r="L94" s="676"/>
      <c r="M94" s="510"/>
      <c r="N94" s="510"/>
      <c r="O94" s="510"/>
      <c r="P94" s="510"/>
      <c r="Q94" s="510"/>
      <c r="R94" s="510"/>
      <c r="S94" s="510"/>
    </row>
    <row r="95" spans="1:19" ht="60">
      <c r="A95" s="342" t="s">
        <v>813</v>
      </c>
      <c r="B95" s="530" t="s">
        <v>747</v>
      </c>
      <c r="C95" s="551">
        <f>'RICON-S-VS'!C89</f>
        <v>180</v>
      </c>
      <c r="D95" s="551">
        <f>'RICON-S-VS'!F89</f>
        <v>170.93257261945729</v>
      </c>
      <c r="E95" s="637">
        <f t="shared" si="5"/>
        <v>180</v>
      </c>
      <c r="F95" s="500">
        <f t="shared" si="6"/>
        <v>78.891956593595665</v>
      </c>
      <c r="G95" s="500">
        <f t="shared" si="6"/>
        <v>92.04061602586161</v>
      </c>
      <c r="H95" s="500">
        <f t="shared" si="6"/>
        <v>105.18927545812757</v>
      </c>
      <c r="I95" s="500">
        <f t="shared" si="6"/>
        <v>118.33793489039351</v>
      </c>
      <c r="J95" s="500">
        <f t="shared" si="7"/>
        <v>131.48659432265944</v>
      </c>
      <c r="K95" s="500">
        <f t="shared" si="7"/>
        <v>144.6352537549254</v>
      </c>
      <c r="L95" s="676"/>
      <c r="M95" s="510"/>
      <c r="N95" s="510"/>
      <c r="O95" s="510"/>
      <c r="P95" s="510"/>
      <c r="Q95" s="510"/>
      <c r="R95" s="510"/>
      <c r="S95" s="510"/>
    </row>
    <row r="96" spans="1:19" ht="45">
      <c r="A96" s="342" t="s">
        <v>793</v>
      </c>
      <c r="B96" s="530" t="s">
        <v>623</v>
      </c>
      <c r="C96" s="551">
        <f>'RICON-S-VS'!C90</f>
        <v>180</v>
      </c>
      <c r="D96" s="551">
        <f>'RICON-S-VS'!F90</f>
        <v>195.85472248368981</v>
      </c>
      <c r="E96" s="637">
        <f t="shared" si="5"/>
        <v>180</v>
      </c>
      <c r="F96" s="500">
        <f t="shared" si="6"/>
        <v>90.394487300164513</v>
      </c>
      <c r="G96" s="500">
        <f t="shared" si="6"/>
        <v>105.46023518352528</v>
      </c>
      <c r="H96" s="500">
        <f t="shared" si="6"/>
        <v>120.52598306688604</v>
      </c>
      <c r="I96" s="500">
        <f t="shared" si="6"/>
        <v>135.59173095024678</v>
      </c>
      <c r="J96" s="500">
        <f t="shared" si="7"/>
        <v>150.65747883360754</v>
      </c>
      <c r="K96" s="500">
        <f t="shared" si="7"/>
        <v>165.7232267169683</v>
      </c>
      <c r="L96" s="676"/>
      <c r="M96" s="510"/>
      <c r="N96" s="510"/>
      <c r="O96" s="510"/>
      <c r="P96" s="510"/>
      <c r="Q96" s="510"/>
      <c r="R96" s="510"/>
      <c r="S96" s="510"/>
    </row>
    <row r="97" spans="1:19">
      <c r="A97" s="504"/>
      <c r="B97" s="533"/>
      <c r="C97" s="510"/>
      <c r="D97" s="510"/>
      <c r="E97" s="510"/>
      <c r="F97" s="510"/>
      <c r="G97" s="510"/>
      <c r="H97" s="510"/>
      <c r="I97" s="510"/>
      <c r="J97" s="510"/>
      <c r="L97" s="504"/>
      <c r="M97" s="510"/>
      <c r="N97" s="510"/>
      <c r="O97" s="510"/>
      <c r="P97" s="510"/>
      <c r="Q97" s="510"/>
      <c r="R97" s="510"/>
      <c r="S97" s="510"/>
    </row>
    <row r="98" spans="1:19">
      <c r="A98" s="504"/>
      <c r="B98" s="533"/>
      <c r="C98" s="510"/>
      <c r="D98" s="510"/>
      <c r="E98" s="510"/>
      <c r="F98" s="510"/>
      <c r="G98" s="510"/>
      <c r="H98" s="510"/>
      <c r="I98" s="510"/>
      <c r="J98" s="510"/>
      <c r="L98" s="504"/>
      <c r="M98" s="510"/>
      <c r="N98" s="510"/>
      <c r="O98" s="510"/>
      <c r="P98" s="510"/>
      <c r="Q98" s="510"/>
      <c r="R98" s="510"/>
      <c r="S98" s="510"/>
    </row>
    <row r="99" spans="1:19">
      <c r="A99" s="504"/>
      <c r="B99" s="533"/>
      <c r="C99" s="510"/>
      <c r="D99" s="510"/>
      <c r="E99" s="510"/>
      <c r="F99" s="510"/>
      <c r="G99" s="510"/>
      <c r="H99" s="510"/>
      <c r="I99" s="510"/>
      <c r="J99" s="510"/>
      <c r="L99" s="504"/>
      <c r="M99" s="510"/>
      <c r="N99" s="510"/>
      <c r="O99" s="510"/>
      <c r="P99" s="510"/>
      <c r="Q99" s="510"/>
      <c r="R99" s="510"/>
      <c r="S99" s="510"/>
    </row>
    <row r="100" spans="1:19">
      <c r="A100" s="504"/>
      <c r="B100" s="533"/>
      <c r="C100" s="510"/>
      <c r="D100" s="510"/>
      <c r="E100" s="510"/>
      <c r="F100" s="510"/>
      <c r="G100" s="510"/>
      <c r="H100" s="510"/>
      <c r="I100" s="510"/>
      <c r="J100" s="510"/>
      <c r="L100" s="504"/>
      <c r="M100" s="510"/>
      <c r="N100" s="510"/>
      <c r="O100" s="510"/>
      <c r="P100" s="510"/>
      <c r="Q100" s="510"/>
      <c r="R100" s="510"/>
      <c r="S100" s="510"/>
    </row>
    <row r="101" spans="1:19">
      <c r="A101" s="504"/>
      <c r="B101" s="533"/>
      <c r="C101" s="510"/>
      <c r="D101" s="510"/>
      <c r="E101" s="510"/>
      <c r="F101" s="510"/>
      <c r="G101" s="510"/>
      <c r="H101" s="510"/>
      <c r="I101" s="510"/>
      <c r="J101" s="510"/>
      <c r="L101" s="504"/>
      <c r="M101" s="510"/>
      <c r="N101" s="510"/>
      <c r="O101" s="510"/>
      <c r="P101" s="510"/>
      <c r="Q101" s="510"/>
      <c r="R101" s="510"/>
      <c r="S101" s="510"/>
    </row>
    <row r="102" spans="1:19">
      <c r="A102" s="504"/>
      <c r="B102" s="533"/>
      <c r="C102" s="510"/>
      <c r="D102" s="510"/>
      <c r="E102" s="510"/>
      <c r="F102" s="510"/>
      <c r="G102" s="510"/>
      <c r="H102" s="510"/>
      <c r="I102" s="510"/>
      <c r="J102" s="510"/>
      <c r="L102" s="504"/>
      <c r="M102" s="510"/>
      <c r="N102" s="510"/>
      <c r="O102" s="510"/>
      <c r="P102" s="510"/>
      <c r="Q102" s="510"/>
      <c r="R102" s="510"/>
      <c r="S102" s="510"/>
    </row>
    <row r="103" spans="1:19">
      <c r="A103" s="504"/>
      <c r="B103" s="533"/>
      <c r="C103" s="510"/>
      <c r="D103" s="510"/>
      <c r="E103" s="510"/>
      <c r="F103" s="510"/>
      <c r="G103" s="510"/>
      <c r="H103" s="510"/>
      <c r="I103" s="510"/>
      <c r="J103" s="510"/>
      <c r="L103" s="504"/>
      <c r="M103" s="510"/>
      <c r="N103" s="510"/>
      <c r="O103" s="510"/>
      <c r="P103" s="510"/>
      <c r="Q103" s="510"/>
      <c r="R103" s="510"/>
      <c r="S103" s="510"/>
    </row>
    <row r="104" spans="1:19">
      <c r="A104" s="504"/>
      <c r="B104" s="533"/>
      <c r="C104" s="510"/>
      <c r="D104" s="510"/>
      <c r="E104" s="510"/>
      <c r="F104" s="510"/>
      <c r="G104" s="510"/>
      <c r="H104" s="510"/>
      <c r="I104" s="510"/>
      <c r="J104" s="510"/>
      <c r="L104" s="504"/>
      <c r="M104" s="510"/>
      <c r="N104" s="510"/>
      <c r="O104" s="510"/>
      <c r="P104" s="510"/>
      <c r="Q104" s="510"/>
      <c r="R104" s="510"/>
      <c r="S104" s="510"/>
    </row>
    <row r="105" spans="1:19">
      <c r="A105" s="504"/>
      <c r="B105" s="533"/>
      <c r="C105" s="510"/>
      <c r="D105" s="510"/>
      <c r="E105" s="510"/>
      <c r="F105" s="510"/>
      <c r="G105" s="510"/>
      <c r="H105" s="510"/>
      <c r="I105" s="510"/>
      <c r="J105" s="510"/>
      <c r="L105" s="504"/>
      <c r="M105" s="510"/>
      <c r="N105" s="510"/>
      <c r="O105" s="510"/>
      <c r="P105" s="510"/>
      <c r="Q105" s="510"/>
      <c r="R105" s="510"/>
      <c r="S105" s="510"/>
    </row>
    <row r="106" spans="1:19">
      <c r="A106" s="504"/>
      <c r="B106" s="533"/>
      <c r="C106" s="510"/>
      <c r="D106" s="510"/>
      <c r="E106" s="510"/>
      <c r="F106" s="510"/>
      <c r="G106" s="510"/>
      <c r="H106" s="510"/>
      <c r="I106" s="510"/>
      <c r="J106" s="510"/>
      <c r="L106" s="504"/>
      <c r="M106" s="510"/>
      <c r="N106" s="510"/>
      <c r="O106" s="510"/>
      <c r="P106" s="510"/>
      <c r="Q106" s="510"/>
      <c r="R106" s="510"/>
      <c r="S106" s="510"/>
    </row>
  </sheetData>
  <sheetProtection algorithmName="SHA-512" hashValue="ox2cQFaVslcnJMZ3zkM4B7VaOkjkIz7rjsdLjMyGud60ZuanZe0vM40ZNttYeoDpd0WvwV7gZutcXZdXg+oSXQ==" saltValue="48ri1/AYb1CsUeI6MoPlXA==" spinCount="100000" sheet="1" objects="1" scenarios="1" selectLockedCells="1"/>
  <mergeCells count="21">
    <mergeCell ref="C47:D47"/>
    <mergeCell ref="E47:E48"/>
    <mergeCell ref="F47:J47"/>
    <mergeCell ref="L47:M47"/>
    <mergeCell ref="N47:R47"/>
    <mergeCell ref="A1:K2"/>
    <mergeCell ref="H3:I3"/>
    <mergeCell ref="J3:K3"/>
    <mergeCell ref="L65:S65"/>
    <mergeCell ref="C80:D80"/>
    <mergeCell ref="M80:N80"/>
    <mergeCell ref="O80:S80"/>
    <mergeCell ref="E80:E81"/>
    <mergeCell ref="F80:J80"/>
    <mergeCell ref="L5:S5"/>
    <mergeCell ref="C19:D19"/>
    <mergeCell ref="M19:N19"/>
    <mergeCell ref="O19:S19"/>
    <mergeCell ref="F19:J19"/>
    <mergeCell ref="E19:E20"/>
    <mergeCell ref="K33:R33"/>
  </mergeCells>
  <printOptions horizontalCentered="1"/>
  <pageMargins left="0.19685039370078741" right="0.19685039370078741" top="1.1811023622047245" bottom="0.74803149606299213" header="0.31496062992125984" footer="0.31496062992125984"/>
  <pageSetup paperSize="9" scale="58" orientation="portrait" r:id="rId1"/>
  <headerFooter scaleWithDoc="0">
    <oddHeader>&amp;L&amp;G</oddHeader>
    <oddFooter>&amp;L&amp;G</oddFooter>
  </headerFooter>
  <rowBreaks count="2" manualBreakCount="2">
    <brk id="31" max="10" man="1"/>
    <brk id="63" max="16383" man="1"/>
  </rowBreaks>
  <colBreaks count="1" manualBreakCount="1">
    <brk id="11" max="1048575" man="1"/>
  </colBreak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900-000000000000}">
          <x14:formula1>
            <xm:f>'RICON_RICON-S-EK_GIGANT_WALCO '!$V$7:$V$17</xm:f>
          </x14:formula1>
          <xm:sqref>E5 E65</xm:sqref>
        </x14:dataValidation>
        <x14:dataValidation type="list" allowBlank="1" showInputMessage="1" showErrorMessage="1" xr:uid="{00000000-0002-0000-0900-000001000000}">
          <x14:formula1>
            <xm:f>'RICON_RICON-S-EK_GIGANT_WALCO '!$V$21:$V$22</xm:f>
          </x14:formula1>
          <xm:sqref>E6 E66 E34</xm:sqref>
        </x14:dataValidation>
        <x14:dataValidation type="list" allowBlank="1" showInputMessage="1" showErrorMessage="1" xr:uid="{00000000-0002-0000-0900-000002000000}">
          <x14:formula1>
            <xm:f>'RICON_RICON-S-EK_GIGANT_WALCO '!$V$7:$V$16</xm:f>
          </x14:formula1>
          <xm:sqref>E33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173"/>
  <sheetViews>
    <sheetView zoomScaleNormal="100" workbookViewId="0"/>
  </sheetViews>
  <sheetFormatPr baseColWidth="10" defaultRowHeight="15"/>
  <cols>
    <col min="1" max="1" width="29.5703125" customWidth="1"/>
    <col min="2" max="2" width="21.85546875" customWidth="1"/>
    <col min="10" max="10" width="12.28515625" customWidth="1"/>
    <col min="11" max="11" width="12.42578125" customWidth="1"/>
    <col min="13" max="13" width="12.28515625" customWidth="1"/>
    <col min="14" max="15" width="12.140625" customWidth="1"/>
    <col min="16" max="16" width="29.42578125" customWidth="1"/>
    <col min="22" max="22" width="14.5703125" customWidth="1"/>
    <col min="23" max="23" width="22" customWidth="1"/>
    <col min="26" max="26" width="16.28515625" customWidth="1"/>
    <col min="32" max="32" width="26.140625" customWidth="1"/>
    <col min="35" max="35" width="15" customWidth="1"/>
  </cols>
  <sheetData>
    <row r="1" spans="1:24" ht="26.25">
      <c r="A1" s="1" t="s">
        <v>0</v>
      </c>
      <c r="B1" s="1"/>
      <c r="R1" s="2"/>
      <c r="S1" s="2"/>
      <c r="T1" s="2"/>
      <c r="W1" s="247"/>
      <c r="X1" s="247"/>
    </row>
    <row r="2" spans="1:24">
      <c r="W2" s="247"/>
      <c r="X2" s="247"/>
    </row>
    <row r="3" spans="1:24" ht="18.75">
      <c r="A3" s="56" t="s">
        <v>275</v>
      </c>
      <c r="B3" s="56"/>
      <c r="R3" s="2"/>
      <c r="S3" s="2"/>
      <c r="T3" s="2"/>
      <c r="W3" s="247"/>
      <c r="X3" s="539"/>
    </row>
    <row r="4" spans="1:24">
      <c r="L4" t="s">
        <v>1</v>
      </c>
      <c r="M4" s="3"/>
      <c r="N4" s="3"/>
      <c r="O4" s="3"/>
      <c r="Q4" s="739"/>
      <c r="R4" s="739"/>
      <c r="S4" s="739"/>
      <c r="T4" s="739"/>
      <c r="W4" s="247"/>
      <c r="X4" s="539"/>
    </row>
    <row r="5" spans="1:24" ht="18">
      <c r="A5" s="4" t="s">
        <v>2</v>
      </c>
      <c r="B5" s="5" t="s">
        <v>291</v>
      </c>
      <c r="C5" s="5" t="s">
        <v>291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6" t="s">
        <v>13</v>
      </c>
      <c r="O5" s="280"/>
      <c r="P5" s="4" t="s">
        <v>2</v>
      </c>
      <c r="Q5" s="682" t="s">
        <v>14</v>
      </c>
      <c r="R5" s="683"/>
      <c r="S5" s="683"/>
      <c r="T5" s="683"/>
      <c r="U5" s="684"/>
      <c r="W5" s="247"/>
      <c r="X5" s="539"/>
    </row>
    <row r="6" spans="1:24">
      <c r="A6" s="8"/>
      <c r="B6" s="9" t="s">
        <v>292</v>
      </c>
      <c r="C6" s="9" t="s">
        <v>293</v>
      </c>
      <c r="D6" s="9" t="s">
        <v>17</v>
      </c>
      <c r="E6" s="9" t="s">
        <v>18</v>
      </c>
      <c r="F6" s="9" t="s">
        <v>18</v>
      </c>
      <c r="G6" s="9" t="s">
        <v>19</v>
      </c>
      <c r="H6" s="9" t="s">
        <v>18</v>
      </c>
      <c r="I6" s="9" t="s">
        <v>18</v>
      </c>
      <c r="J6" s="9" t="s">
        <v>18</v>
      </c>
      <c r="K6" s="9" t="s">
        <v>17</v>
      </c>
      <c r="L6" s="9" t="s">
        <v>17</v>
      </c>
      <c r="M6" s="9" t="s">
        <v>17</v>
      </c>
      <c r="N6" s="10" t="s">
        <v>17</v>
      </c>
      <c r="O6" s="280"/>
      <c r="P6" s="8"/>
      <c r="Q6" s="11">
        <v>0.6</v>
      </c>
      <c r="R6" s="11">
        <v>0.7</v>
      </c>
      <c r="S6" s="11">
        <v>0.8</v>
      </c>
      <c r="T6" s="11">
        <v>0.9</v>
      </c>
      <c r="U6" s="11">
        <v>1</v>
      </c>
      <c r="W6" s="247"/>
      <c r="X6" s="539"/>
    </row>
    <row r="7" spans="1:24" ht="30">
      <c r="A7" s="281" t="s">
        <v>294</v>
      </c>
      <c r="B7" s="282">
        <v>80</v>
      </c>
      <c r="C7" s="282">
        <v>160</v>
      </c>
      <c r="D7" s="282">
        <v>9</v>
      </c>
      <c r="E7" s="283">
        <v>60</v>
      </c>
      <c r="F7" s="283">
        <f t="shared" ref="F7:F16" si="0">E7/2</f>
        <v>30</v>
      </c>
      <c r="G7" s="283">
        <f t="shared" ref="G7:G16" si="1">(2*E7)/(E7-F7)</f>
        <v>4</v>
      </c>
      <c r="H7" s="283">
        <f t="shared" ref="H7:H10" si="2">B7-10</f>
        <v>70</v>
      </c>
      <c r="I7" s="283">
        <f>C7-15</f>
        <v>145</v>
      </c>
      <c r="J7" s="283">
        <v>8</v>
      </c>
      <c r="K7" s="284">
        <f t="shared" ref="K7:K16" si="3">(0.52*SQRT(J7)*(H7)^0.9*$B$19^0.8)/1000</f>
        <v>7.8796178754106014</v>
      </c>
      <c r="L7" s="284">
        <f t="shared" ref="L7:L16" si="4">($K$18*0.52*SQRT(J7)*I7^0.9*$B$19^0.8)/1000</f>
        <v>9.1054072130615449</v>
      </c>
      <c r="M7" s="282">
        <v>23</v>
      </c>
      <c r="N7" s="285">
        <f t="shared" ref="N7:N16" si="5">G7*MIN(D7,K7,L7,M7)</f>
        <v>31.518471501642406</v>
      </c>
      <c r="O7" s="286"/>
      <c r="P7" s="281" t="s">
        <v>294</v>
      </c>
      <c r="Q7" s="287">
        <f t="shared" ref="Q7:U16" si="6">$G7*MIN($D7/1,$K7*Q$6/1.3,$L7*Q$6/1.3,$M7/1.25)</f>
        <v>14.546986846911878</v>
      </c>
      <c r="R7" s="287">
        <f t="shared" si="6"/>
        <v>16.971484654730524</v>
      </c>
      <c r="S7" s="287">
        <f t="shared" si="6"/>
        <v>19.395982462549174</v>
      </c>
      <c r="T7" s="287">
        <f t="shared" si="6"/>
        <v>21.82048027036782</v>
      </c>
      <c r="U7" s="287">
        <f t="shared" si="6"/>
        <v>24.244978078186467</v>
      </c>
      <c r="V7" s="301"/>
      <c r="W7" s="247"/>
      <c r="X7" s="539"/>
    </row>
    <row r="8" spans="1:24" ht="30.75" thickBot="1">
      <c r="A8" s="288" t="s">
        <v>295</v>
      </c>
      <c r="B8" s="289">
        <v>80</v>
      </c>
      <c r="C8" s="289">
        <v>240</v>
      </c>
      <c r="D8" s="289">
        <v>9</v>
      </c>
      <c r="E8" s="290">
        <v>60</v>
      </c>
      <c r="F8" s="290">
        <f t="shared" si="0"/>
        <v>30</v>
      </c>
      <c r="G8" s="291">
        <f t="shared" si="1"/>
        <v>4</v>
      </c>
      <c r="H8" s="290">
        <f t="shared" si="2"/>
        <v>70</v>
      </c>
      <c r="I8" s="290">
        <f t="shared" ref="I8:I10" si="7">C8-15</f>
        <v>225</v>
      </c>
      <c r="J8" s="290">
        <v>8</v>
      </c>
      <c r="K8" s="292">
        <f t="shared" si="3"/>
        <v>7.8796178754106014</v>
      </c>
      <c r="L8" s="292">
        <f t="shared" si="4"/>
        <v>13.521735531614226</v>
      </c>
      <c r="M8" s="289">
        <v>23</v>
      </c>
      <c r="N8" s="293">
        <f t="shared" si="5"/>
        <v>31.518471501642406</v>
      </c>
      <c r="O8" s="286"/>
      <c r="P8" s="288" t="s">
        <v>295</v>
      </c>
      <c r="Q8" s="294">
        <f t="shared" si="6"/>
        <v>14.546986846911878</v>
      </c>
      <c r="R8" s="294">
        <f t="shared" si="6"/>
        <v>16.971484654730524</v>
      </c>
      <c r="S8" s="294">
        <f t="shared" si="6"/>
        <v>19.395982462549174</v>
      </c>
      <c r="T8" s="294">
        <f t="shared" si="6"/>
        <v>21.82048027036782</v>
      </c>
      <c r="U8" s="294">
        <f t="shared" si="6"/>
        <v>24.244978078186467</v>
      </c>
      <c r="V8" s="301"/>
      <c r="W8" s="247"/>
      <c r="X8" s="539"/>
    </row>
    <row r="9" spans="1:24" ht="30.75" thickTop="1">
      <c r="A9" s="295" t="s">
        <v>296</v>
      </c>
      <c r="B9" s="296">
        <v>80</v>
      </c>
      <c r="C9" s="296">
        <v>160</v>
      </c>
      <c r="D9" s="296">
        <v>9</v>
      </c>
      <c r="E9" s="297">
        <v>120</v>
      </c>
      <c r="F9" s="297">
        <f t="shared" si="0"/>
        <v>60</v>
      </c>
      <c r="G9" s="297">
        <f t="shared" si="1"/>
        <v>4</v>
      </c>
      <c r="H9" s="297">
        <f t="shared" si="2"/>
        <v>70</v>
      </c>
      <c r="I9" s="297">
        <f t="shared" si="7"/>
        <v>145</v>
      </c>
      <c r="J9" s="297">
        <v>8</v>
      </c>
      <c r="K9" s="298">
        <f t="shared" si="3"/>
        <v>7.8796178754106014</v>
      </c>
      <c r="L9" s="298">
        <f t="shared" si="4"/>
        <v>9.1054072130615449</v>
      </c>
      <c r="M9" s="296">
        <v>23</v>
      </c>
      <c r="N9" s="299">
        <f t="shared" si="5"/>
        <v>31.518471501642406</v>
      </c>
      <c r="O9" s="286"/>
      <c r="P9" s="295" t="s">
        <v>296</v>
      </c>
      <c r="Q9" s="300">
        <f t="shared" si="6"/>
        <v>14.546986846911878</v>
      </c>
      <c r="R9" s="300">
        <f t="shared" si="6"/>
        <v>16.971484654730524</v>
      </c>
      <c r="S9" s="300">
        <f t="shared" si="6"/>
        <v>19.395982462549174</v>
      </c>
      <c r="T9" s="300">
        <f t="shared" si="6"/>
        <v>21.82048027036782</v>
      </c>
      <c r="U9" s="300">
        <f t="shared" si="6"/>
        <v>24.244978078186467</v>
      </c>
      <c r="V9" s="301"/>
      <c r="W9" s="247"/>
      <c r="X9" s="539"/>
    </row>
    <row r="10" spans="1:24" ht="30.75" thickBot="1">
      <c r="A10" s="288" t="s">
        <v>297</v>
      </c>
      <c r="B10" s="289">
        <v>80</v>
      </c>
      <c r="C10" s="289">
        <v>240</v>
      </c>
      <c r="D10" s="289">
        <v>9</v>
      </c>
      <c r="E10" s="290">
        <v>120</v>
      </c>
      <c r="F10" s="290">
        <f t="shared" si="0"/>
        <v>60</v>
      </c>
      <c r="G10" s="291">
        <f t="shared" si="1"/>
        <v>4</v>
      </c>
      <c r="H10" s="290">
        <f t="shared" si="2"/>
        <v>70</v>
      </c>
      <c r="I10" s="290">
        <f t="shared" si="7"/>
        <v>225</v>
      </c>
      <c r="J10" s="290">
        <v>8</v>
      </c>
      <c r="K10" s="292">
        <f t="shared" si="3"/>
        <v>7.8796178754106014</v>
      </c>
      <c r="L10" s="292">
        <f t="shared" si="4"/>
        <v>13.521735531614226</v>
      </c>
      <c r="M10" s="289">
        <v>23</v>
      </c>
      <c r="N10" s="293">
        <f t="shared" si="5"/>
        <v>31.518471501642406</v>
      </c>
      <c r="O10" s="286"/>
      <c r="P10" s="288" t="s">
        <v>297</v>
      </c>
      <c r="Q10" s="294">
        <f t="shared" si="6"/>
        <v>14.546986846911878</v>
      </c>
      <c r="R10" s="294">
        <f t="shared" si="6"/>
        <v>16.971484654730524</v>
      </c>
      <c r="S10" s="294">
        <f t="shared" si="6"/>
        <v>19.395982462549174</v>
      </c>
      <c r="T10" s="294">
        <f t="shared" si="6"/>
        <v>21.82048027036782</v>
      </c>
      <c r="U10" s="294">
        <f t="shared" si="6"/>
        <v>24.244978078186467</v>
      </c>
      <c r="V10" s="301"/>
      <c r="W10" s="247"/>
      <c r="X10" s="539"/>
    </row>
    <row r="11" spans="1:24" ht="30.75" thickTop="1">
      <c r="A11" s="295" t="s">
        <v>299</v>
      </c>
      <c r="B11" s="296">
        <v>100</v>
      </c>
      <c r="C11" s="296">
        <v>200</v>
      </c>
      <c r="D11" s="296">
        <v>9</v>
      </c>
      <c r="E11" s="297">
        <v>120</v>
      </c>
      <c r="F11" s="297">
        <f t="shared" si="0"/>
        <v>60</v>
      </c>
      <c r="G11" s="297">
        <f t="shared" si="1"/>
        <v>4</v>
      </c>
      <c r="H11" s="297">
        <f>B11-15</f>
        <v>85</v>
      </c>
      <c r="I11" s="297">
        <f>C11-20</f>
        <v>180</v>
      </c>
      <c r="J11" s="297">
        <v>10</v>
      </c>
      <c r="K11" s="298">
        <f t="shared" si="3"/>
        <v>10.491774806064372</v>
      </c>
      <c r="L11" s="298">
        <f t="shared" si="4"/>
        <v>12.367115938864831</v>
      </c>
      <c r="M11" s="296">
        <v>32</v>
      </c>
      <c r="N11" s="299">
        <f t="shared" si="5"/>
        <v>36</v>
      </c>
      <c r="O11" s="286"/>
      <c r="P11" s="295" t="s">
        <v>299</v>
      </c>
      <c r="Q11" s="300">
        <f t="shared" si="6"/>
        <v>19.369430411195761</v>
      </c>
      <c r="R11" s="300">
        <f t="shared" si="6"/>
        <v>22.597668813061723</v>
      </c>
      <c r="S11" s="300">
        <f t="shared" si="6"/>
        <v>25.825907214927689</v>
      </c>
      <c r="T11" s="300">
        <f t="shared" si="6"/>
        <v>29.054145616793647</v>
      </c>
      <c r="U11" s="300">
        <f t="shared" si="6"/>
        <v>32.282384018659606</v>
      </c>
      <c r="V11" s="301"/>
      <c r="W11" s="247"/>
      <c r="X11" s="539"/>
    </row>
    <row r="12" spans="1:24" ht="30.75" thickBot="1">
      <c r="A12" s="288" t="s">
        <v>301</v>
      </c>
      <c r="B12" s="289">
        <v>100</v>
      </c>
      <c r="C12" s="289">
        <v>300</v>
      </c>
      <c r="D12" s="289">
        <v>9</v>
      </c>
      <c r="E12" s="290">
        <v>120</v>
      </c>
      <c r="F12" s="290">
        <f t="shared" si="0"/>
        <v>60</v>
      </c>
      <c r="G12" s="291">
        <f t="shared" si="1"/>
        <v>4</v>
      </c>
      <c r="H12" s="290">
        <f t="shared" ref="H12:H16" si="8">B12-15</f>
        <v>85</v>
      </c>
      <c r="I12" s="290">
        <f t="shared" ref="I12:I16" si="9">C12-20</f>
        <v>280</v>
      </c>
      <c r="J12" s="290">
        <v>10</v>
      </c>
      <c r="K12" s="292">
        <f t="shared" si="3"/>
        <v>10.491774806064372</v>
      </c>
      <c r="L12" s="292">
        <f t="shared" si="4"/>
        <v>18.406253787508255</v>
      </c>
      <c r="M12" s="289">
        <v>32</v>
      </c>
      <c r="N12" s="293">
        <f t="shared" si="5"/>
        <v>36</v>
      </c>
      <c r="O12" s="286"/>
      <c r="P12" s="288" t="s">
        <v>301</v>
      </c>
      <c r="Q12" s="294">
        <f t="shared" si="6"/>
        <v>19.369430411195761</v>
      </c>
      <c r="R12" s="294">
        <f t="shared" si="6"/>
        <v>22.597668813061723</v>
      </c>
      <c r="S12" s="294">
        <f t="shared" si="6"/>
        <v>25.825907214927689</v>
      </c>
      <c r="T12" s="294">
        <f t="shared" si="6"/>
        <v>29.054145616793647</v>
      </c>
      <c r="U12" s="294">
        <f t="shared" si="6"/>
        <v>32.282384018659606</v>
      </c>
      <c r="V12" s="301"/>
      <c r="W12" s="247"/>
      <c r="X12" s="539"/>
    </row>
    <row r="13" spans="1:24" ht="30.75" thickTop="1">
      <c r="A13" s="295" t="s">
        <v>303</v>
      </c>
      <c r="B13" s="296">
        <v>100</v>
      </c>
      <c r="C13" s="296">
        <v>200</v>
      </c>
      <c r="D13" s="296">
        <v>9</v>
      </c>
      <c r="E13" s="297">
        <v>210</v>
      </c>
      <c r="F13" s="297">
        <f t="shared" si="0"/>
        <v>105</v>
      </c>
      <c r="G13" s="297">
        <f t="shared" si="1"/>
        <v>4</v>
      </c>
      <c r="H13" s="297">
        <f t="shared" si="8"/>
        <v>85</v>
      </c>
      <c r="I13" s="297">
        <f t="shared" si="9"/>
        <v>180</v>
      </c>
      <c r="J13" s="297">
        <v>10</v>
      </c>
      <c r="K13" s="298">
        <f t="shared" si="3"/>
        <v>10.491774806064372</v>
      </c>
      <c r="L13" s="298">
        <f t="shared" si="4"/>
        <v>12.367115938864831</v>
      </c>
      <c r="M13" s="296">
        <v>32</v>
      </c>
      <c r="N13" s="299">
        <f t="shared" si="5"/>
        <v>36</v>
      </c>
      <c r="O13" s="286"/>
      <c r="P13" s="295" t="s">
        <v>303</v>
      </c>
      <c r="Q13" s="300">
        <f t="shared" si="6"/>
        <v>19.369430411195761</v>
      </c>
      <c r="R13" s="300">
        <f t="shared" si="6"/>
        <v>22.597668813061723</v>
      </c>
      <c r="S13" s="300">
        <f t="shared" si="6"/>
        <v>25.825907214927689</v>
      </c>
      <c r="T13" s="300">
        <f t="shared" si="6"/>
        <v>29.054145616793647</v>
      </c>
      <c r="U13" s="300">
        <f t="shared" si="6"/>
        <v>32.282384018659606</v>
      </c>
      <c r="V13" s="301"/>
      <c r="W13" s="247"/>
      <c r="X13" s="105"/>
    </row>
    <row r="14" spans="1:24" ht="30.75" thickBot="1">
      <c r="A14" s="288" t="s">
        <v>304</v>
      </c>
      <c r="B14" s="289">
        <v>100</v>
      </c>
      <c r="C14" s="289">
        <v>300</v>
      </c>
      <c r="D14" s="289">
        <v>9</v>
      </c>
      <c r="E14" s="290">
        <v>210</v>
      </c>
      <c r="F14" s="290">
        <f t="shared" si="0"/>
        <v>105</v>
      </c>
      <c r="G14" s="291">
        <f t="shared" si="1"/>
        <v>4</v>
      </c>
      <c r="H14" s="290">
        <f t="shared" si="8"/>
        <v>85</v>
      </c>
      <c r="I14" s="290">
        <f t="shared" si="9"/>
        <v>280</v>
      </c>
      <c r="J14" s="290">
        <v>10</v>
      </c>
      <c r="K14" s="292">
        <f t="shared" si="3"/>
        <v>10.491774806064372</v>
      </c>
      <c r="L14" s="292">
        <f t="shared" si="4"/>
        <v>18.406253787508255</v>
      </c>
      <c r="M14" s="289">
        <v>32</v>
      </c>
      <c r="N14" s="293">
        <f t="shared" si="5"/>
        <v>36</v>
      </c>
      <c r="O14" s="286"/>
      <c r="P14" s="288" t="s">
        <v>304</v>
      </c>
      <c r="Q14" s="294">
        <f t="shared" si="6"/>
        <v>19.369430411195761</v>
      </c>
      <c r="R14" s="294">
        <f t="shared" si="6"/>
        <v>22.597668813061723</v>
      </c>
      <c r="S14" s="294">
        <f t="shared" si="6"/>
        <v>25.825907214927689</v>
      </c>
      <c r="T14" s="294">
        <f t="shared" si="6"/>
        <v>29.054145616793647</v>
      </c>
      <c r="U14" s="294">
        <f t="shared" si="6"/>
        <v>32.282384018659606</v>
      </c>
      <c r="V14" s="301"/>
      <c r="W14" s="247"/>
      <c r="X14" s="105"/>
    </row>
    <row r="15" spans="1:24" ht="30.75" thickTop="1">
      <c r="A15" s="295" t="s">
        <v>305</v>
      </c>
      <c r="B15" s="282">
        <v>100</v>
      </c>
      <c r="C15" s="282">
        <v>200</v>
      </c>
      <c r="D15" s="296">
        <v>9</v>
      </c>
      <c r="E15" s="297">
        <v>270</v>
      </c>
      <c r="F15" s="297">
        <f t="shared" si="0"/>
        <v>135</v>
      </c>
      <c r="G15" s="297">
        <f t="shared" si="1"/>
        <v>4</v>
      </c>
      <c r="H15" s="297">
        <f t="shared" si="8"/>
        <v>85</v>
      </c>
      <c r="I15" s="297">
        <f t="shared" si="9"/>
        <v>180</v>
      </c>
      <c r="J15" s="297">
        <v>10</v>
      </c>
      <c r="K15" s="298">
        <f t="shared" si="3"/>
        <v>10.491774806064372</v>
      </c>
      <c r="L15" s="298">
        <f t="shared" si="4"/>
        <v>12.367115938864831</v>
      </c>
      <c r="M15" s="296">
        <v>32</v>
      </c>
      <c r="N15" s="299">
        <f t="shared" si="5"/>
        <v>36</v>
      </c>
      <c r="O15" s="286"/>
      <c r="P15" s="295" t="s">
        <v>305</v>
      </c>
      <c r="Q15" s="300">
        <f t="shared" si="6"/>
        <v>19.369430411195761</v>
      </c>
      <c r="R15" s="300">
        <f t="shared" si="6"/>
        <v>22.597668813061723</v>
      </c>
      <c r="S15" s="300">
        <f t="shared" si="6"/>
        <v>25.825907214927689</v>
      </c>
      <c r="T15" s="300">
        <f t="shared" si="6"/>
        <v>29.054145616793647</v>
      </c>
      <c r="U15" s="300">
        <f t="shared" si="6"/>
        <v>32.282384018659606</v>
      </c>
      <c r="V15" s="301"/>
      <c r="W15" s="247"/>
      <c r="X15" s="105"/>
    </row>
    <row r="16" spans="1:24" ht="47.25" customHeight="1">
      <c r="A16" s="302" t="s">
        <v>306</v>
      </c>
      <c r="B16" s="303">
        <v>100</v>
      </c>
      <c r="C16" s="303">
        <v>300</v>
      </c>
      <c r="D16" s="303">
        <v>9</v>
      </c>
      <c r="E16" s="63">
        <v>270</v>
      </c>
      <c r="F16" s="63">
        <f t="shared" si="0"/>
        <v>135</v>
      </c>
      <c r="G16" s="304">
        <f t="shared" si="1"/>
        <v>4</v>
      </c>
      <c r="H16" s="63">
        <f t="shared" si="8"/>
        <v>85</v>
      </c>
      <c r="I16" s="63">
        <f t="shared" si="9"/>
        <v>280</v>
      </c>
      <c r="J16" s="63">
        <v>10</v>
      </c>
      <c r="K16" s="305">
        <f t="shared" si="3"/>
        <v>10.491774806064372</v>
      </c>
      <c r="L16" s="305">
        <f t="shared" si="4"/>
        <v>18.406253787508255</v>
      </c>
      <c r="M16" s="303">
        <v>32</v>
      </c>
      <c r="N16" s="306">
        <f t="shared" si="5"/>
        <v>36</v>
      </c>
      <c r="O16" s="307"/>
      <c r="P16" s="302" t="s">
        <v>306</v>
      </c>
      <c r="Q16" s="308">
        <f t="shared" si="6"/>
        <v>19.369430411195761</v>
      </c>
      <c r="R16" s="308">
        <f t="shared" si="6"/>
        <v>22.597668813061723</v>
      </c>
      <c r="S16" s="308">
        <f t="shared" si="6"/>
        <v>25.825907214927689</v>
      </c>
      <c r="T16" s="308">
        <f t="shared" si="6"/>
        <v>29.054145616793647</v>
      </c>
      <c r="U16" s="308">
        <f t="shared" si="6"/>
        <v>32.282384018659606</v>
      </c>
      <c r="V16" s="301"/>
      <c r="W16" s="247"/>
      <c r="X16" s="105"/>
    </row>
    <row r="17" spans="1:22">
      <c r="J17" s="23" t="s">
        <v>307</v>
      </c>
      <c r="K17" s="14">
        <v>0</v>
      </c>
      <c r="R17" s="2"/>
      <c r="S17" s="2"/>
      <c r="T17" s="2"/>
      <c r="V17" s="301"/>
    </row>
    <row r="18" spans="1:22">
      <c r="A18" s="21" t="s">
        <v>37</v>
      </c>
      <c r="B18" s="552" t="str">
        <f>B26</f>
        <v>GL24h</v>
      </c>
      <c r="J18" s="23" t="s">
        <v>308</v>
      </c>
      <c r="K18" s="309">
        <v>0.6</v>
      </c>
      <c r="R18" s="2"/>
      <c r="S18" s="2"/>
      <c r="T18" s="2"/>
    </row>
    <row r="19" spans="1:22" ht="18">
      <c r="A19" s="23" t="s">
        <v>39</v>
      </c>
      <c r="B19" s="188">
        <f>VLOOKUP(B18,'RICON_RICON-S-EK_GIGANT_WALCO '!V7:W16,2,FALSE)</f>
        <v>385</v>
      </c>
      <c r="C19" t="s">
        <v>40</v>
      </c>
      <c r="R19" s="2"/>
      <c r="S19" s="2"/>
      <c r="T19" s="2"/>
    </row>
    <row r="20" spans="1:22">
      <c r="R20" s="2"/>
      <c r="S20" s="2"/>
      <c r="T20" s="2"/>
    </row>
    <row r="22" spans="1:22" ht="26.25">
      <c r="A22" s="1" t="s">
        <v>57</v>
      </c>
      <c r="B22" s="1"/>
    </row>
    <row r="24" spans="1:22" ht="18.75">
      <c r="A24" s="56" t="s">
        <v>275</v>
      </c>
      <c r="B24" s="56"/>
      <c r="E24" s="232"/>
      <c r="R24" s="2"/>
      <c r="S24" s="2"/>
      <c r="T24" s="2"/>
    </row>
    <row r="25" spans="1:22" ht="18.75">
      <c r="A25" s="56"/>
      <c r="B25" s="56"/>
      <c r="E25" s="232"/>
      <c r="R25" s="2"/>
      <c r="S25" s="2"/>
      <c r="T25" s="2"/>
    </row>
    <row r="26" spans="1:22">
      <c r="A26" s="21" t="s">
        <v>37</v>
      </c>
      <c r="B26" t="str">
        <f>'Load bearing values_RICON-S_EN'!E65</f>
        <v>GL24h</v>
      </c>
      <c r="D26" s="232"/>
      <c r="R26" s="2"/>
      <c r="S26" s="2"/>
      <c r="T26" s="2"/>
    </row>
    <row r="27" spans="1:22">
      <c r="A27" s="23" t="s">
        <v>309</v>
      </c>
      <c r="B27" s="24">
        <f>VLOOKUP(B26,'RICON_RICON-S-EK_GIGANT_WALCO '!V7:W17,2,FALSE)</f>
        <v>385</v>
      </c>
      <c r="C27" t="s">
        <v>40</v>
      </c>
      <c r="R27" s="2"/>
      <c r="S27" s="2"/>
      <c r="T27" s="2"/>
    </row>
    <row r="28" spans="1:22" ht="18">
      <c r="A28" s="23" t="s">
        <v>62</v>
      </c>
      <c r="B28" s="24">
        <v>35000</v>
      </c>
      <c r="C28" s="24">
        <v>20000</v>
      </c>
      <c r="D28" t="s">
        <v>63</v>
      </c>
      <c r="R28" s="2"/>
      <c r="S28" s="2"/>
      <c r="T28" s="2"/>
    </row>
    <row r="29" spans="1:22">
      <c r="A29" s="23" t="s">
        <v>64</v>
      </c>
      <c r="B29" s="24">
        <v>10</v>
      </c>
      <c r="C29" s="24">
        <v>8</v>
      </c>
      <c r="D29" t="s">
        <v>65</v>
      </c>
      <c r="R29" s="2"/>
      <c r="S29" s="2"/>
      <c r="T29" s="2"/>
    </row>
    <row r="30" spans="1:22" ht="18">
      <c r="A30" s="23" t="s">
        <v>66</v>
      </c>
      <c r="B30" s="76">
        <f>0.033*$B$29^-0.3*$B$27</f>
        <v>6.3675838032344938</v>
      </c>
      <c r="C30" s="76">
        <f>0.033*$C$29^-0.3*$B$27</f>
        <v>6.808440920761802</v>
      </c>
      <c r="D30" t="s">
        <v>67</v>
      </c>
      <c r="R30" s="2"/>
      <c r="S30" s="2"/>
      <c r="T30" s="2"/>
    </row>
    <row r="31" spans="1:22" ht="18">
      <c r="A31" s="23" t="s">
        <v>68</v>
      </c>
      <c r="B31" s="76">
        <f>0.082*$B$29^-0.3*$B$27</f>
        <v>15.822480965612984</v>
      </c>
      <c r="C31" s="76">
        <f>0.082*$C$29^-0.3*$B$27</f>
        <v>16.917944106135387</v>
      </c>
      <c r="D31" t="s">
        <v>67</v>
      </c>
      <c r="R31" s="2"/>
      <c r="S31" s="2"/>
      <c r="T31" s="2"/>
    </row>
    <row r="32" spans="1:22">
      <c r="R32" s="2"/>
      <c r="S32" s="2"/>
      <c r="T32" s="2"/>
    </row>
    <row r="33" spans="1:39">
      <c r="A33" s="3"/>
      <c r="B33" s="3"/>
      <c r="E33" s="232"/>
      <c r="R33" s="2"/>
      <c r="S33" s="2"/>
      <c r="T33" s="2"/>
    </row>
    <row r="34" spans="1:39">
      <c r="A34" s="3"/>
      <c r="B34" s="3"/>
      <c r="R34" s="2"/>
      <c r="S34" s="2"/>
      <c r="T34" s="2"/>
    </row>
    <row r="35" spans="1:39" ht="18">
      <c r="A35" s="4" t="s">
        <v>2</v>
      </c>
      <c r="B35" s="5" t="s">
        <v>291</v>
      </c>
      <c r="C35" s="5" t="s">
        <v>43</v>
      </c>
      <c r="D35" s="5" t="s">
        <v>9</v>
      </c>
      <c r="E35" s="5" t="s">
        <v>44</v>
      </c>
      <c r="F35" s="5" t="s">
        <v>277</v>
      </c>
      <c r="G35" s="180" t="s">
        <v>278</v>
      </c>
      <c r="H35" s="5" t="s">
        <v>61</v>
      </c>
      <c r="J35" s="105"/>
      <c r="L35" s="105"/>
      <c r="R35" s="2"/>
      <c r="S35" s="2"/>
      <c r="T35" s="2"/>
    </row>
    <row r="36" spans="1:39">
      <c r="A36" s="8"/>
      <c r="B36" s="9" t="s">
        <v>293</v>
      </c>
      <c r="C36" s="9" t="s">
        <v>19</v>
      </c>
      <c r="D36" s="9" t="s">
        <v>18</v>
      </c>
      <c r="E36" s="9" t="s">
        <v>18</v>
      </c>
      <c r="F36" s="9" t="s">
        <v>17</v>
      </c>
      <c r="G36" s="182" t="s">
        <v>17</v>
      </c>
      <c r="H36" s="62" t="s">
        <v>17</v>
      </c>
      <c r="J36" s="105"/>
      <c r="L36" s="105"/>
      <c r="R36" s="2"/>
      <c r="S36" s="2"/>
      <c r="T36" s="2"/>
    </row>
    <row r="37" spans="1:39" ht="18">
      <c r="A37" s="233" t="s">
        <v>279</v>
      </c>
      <c r="B37" s="235">
        <v>160</v>
      </c>
      <c r="C37" s="234">
        <v>7</v>
      </c>
      <c r="D37" s="234">
        <v>8</v>
      </c>
      <c r="E37" s="310">
        <f>B37-15</f>
        <v>145</v>
      </c>
      <c r="F37" s="310">
        <f t="shared" ref="F37:F51" si="10">($F$53*0.52*SQRT(D37)*E37^0.9*$B$27^0.8)/1000</f>
        <v>9.1054072130615449</v>
      </c>
      <c r="G37" s="310">
        <f t="shared" ref="G37:G42" si="11">MIN($C$29*$C$30*E37/1000,(2.3*SQRT($C$28*$C$29*$C$30))/1000+(F37/4),$C$29*$C$30*E37/1000*(SQRT(2+4*$C$28/($C$29*$C$30*E37^2))-1)+F37/4)</f>
        <v>4.6769068214503031</v>
      </c>
      <c r="H37" s="236">
        <f t="shared" ref="H37" si="12">C37^0.9*G37</f>
        <v>26.949266771153084</v>
      </c>
      <c r="I37" s="238" t="s">
        <v>310</v>
      </c>
      <c r="J37" s="624"/>
      <c r="L37" s="624"/>
      <c r="R37" s="2"/>
      <c r="S37" s="2"/>
      <c r="T37" s="2"/>
    </row>
    <row r="38" spans="1:39" ht="18">
      <c r="A38" s="233" t="s">
        <v>814</v>
      </c>
      <c r="B38" s="235">
        <v>160</v>
      </c>
      <c r="C38" s="234">
        <v>10</v>
      </c>
      <c r="D38" s="234">
        <v>8</v>
      </c>
      <c r="E38" s="310">
        <f t="shared" ref="E38:E42" si="13">B38-15</f>
        <v>145</v>
      </c>
      <c r="F38" s="310">
        <f t="shared" si="10"/>
        <v>9.1054072130615449</v>
      </c>
      <c r="G38" s="310">
        <f t="shared" si="11"/>
        <v>4.6769068214503031</v>
      </c>
      <c r="H38" s="236">
        <f t="shared" ref="H38:H51" si="14">C38^0.9*G38</f>
        <v>37.149991394525706</v>
      </c>
      <c r="I38" s="238" t="s">
        <v>310</v>
      </c>
      <c r="J38" s="190"/>
      <c r="L38" s="311"/>
      <c r="R38" s="2"/>
      <c r="S38" s="2"/>
      <c r="T38" s="2"/>
    </row>
    <row r="39" spans="1:39" ht="18.75" thickBot="1">
      <c r="A39" s="237" t="s">
        <v>280</v>
      </c>
      <c r="B39" s="228">
        <v>240</v>
      </c>
      <c r="C39" s="229">
        <v>10</v>
      </c>
      <c r="D39" s="229">
        <v>8</v>
      </c>
      <c r="E39" s="312">
        <f t="shared" si="13"/>
        <v>225</v>
      </c>
      <c r="F39" s="312">
        <f t="shared" si="10"/>
        <v>13.521735531614226</v>
      </c>
      <c r="G39" s="312">
        <f t="shared" si="11"/>
        <v>5.7809889010884739</v>
      </c>
      <c r="H39" s="230">
        <f t="shared" si="14"/>
        <v>45.920027087622728</v>
      </c>
      <c r="I39" s="238" t="s">
        <v>310</v>
      </c>
      <c r="J39" s="190"/>
      <c r="L39" s="311"/>
      <c r="R39" s="2"/>
      <c r="S39" s="2"/>
      <c r="T39" s="2"/>
    </row>
    <row r="40" spans="1:39" ht="18.75" thickTop="1">
      <c r="A40" s="239" t="s">
        <v>281</v>
      </c>
      <c r="B40" s="241">
        <v>160</v>
      </c>
      <c r="C40" s="240">
        <v>8</v>
      </c>
      <c r="D40" s="240">
        <v>8</v>
      </c>
      <c r="E40" s="313">
        <f t="shared" ref="E40" si="15">B40-15</f>
        <v>145</v>
      </c>
      <c r="F40" s="313">
        <f t="shared" si="10"/>
        <v>9.1054072130615449</v>
      </c>
      <c r="G40" s="313">
        <f t="shared" si="11"/>
        <v>4.6769068214503031</v>
      </c>
      <c r="H40" s="242">
        <f t="shared" ref="H40" si="16">C40^0.9*G40</f>
        <v>30.390630186062658</v>
      </c>
      <c r="I40" s="238" t="s">
        <v>310</v>
      </c>
      <c r="J40" s="190"/>
      <c r="L40" s="311"/>
      <c r="R40" s="2"/>
      <c r="S40" s="2"/>
      <c r="T40" s="2"/>
    </row>
    <row r="41" spans="1:39" ht="18">
      <c r="A41" s="239" t="s">
        <v>815</v>
      </c>
      <c r="B41" s="241">
        <v>160</v>
      </c>
      <c r="C41" s="240">
        <v>16</v>
      </c>
      <c r="D41" s="240">
        <v>8</v>
      </c>
      <c r="E41" s="313">
        <f t="shared" si="13"/>
        <v>145</v>
      </c>
      <c r="F41" s="313">
        <f t="shared" si="10"/>
        <v>9.1054072130615449</v>
      </c>
      <c r="G41" s="313">
        <f t="shared" si="11"/>
        <v>4.6769068214503031</v>
      </c>
      <c r="H41" s="242">
        <f t="shared" si="14"/>
        <v>56.710921194381697</v>
      </c>
      <c r="I41" s="238" t="s">
        <v>310</v>
      </c>
      <c r="J41" s="314"/>
      <c r="L41" s="315"/>
      <c r="R41" s="2"/>
      <c r="S41" s="2"/>
      <c r="T41" s="2"/>
    </row>
    <row r="42" spans="1:39" ht="18.75" thickBot="1">
      <c r="A42" s="237" t="s">
        <v>282</v>
      </c>
      <c r="B42" s="228">
        <v>240</v>
      </c>
      <c r="C42" s="229">
        <v>16</v>
      </c>
      <c r="D42" s="229">
        <v>8</v>
      </c>
      <c r="E42" s="312">
        <f t="shared" si="13"/>
        <v>225</v>
      </c>
      <c r="F42" s="312">
        <f t="shared" si="10"/>
        <v>13.521735531614226</v>
      </c>
      <c r="G42" s="312">
        <f t="shared" si="11"/>
        <v>5.7809889010884739</v>
      </c>
      <c r="H42" s="230">
        <f t="shared" si="14"/>
        <v>70.098725185540317</v>
      </c>
      <c r="I42" s="238" t="s">
        <v>310</v>
      </c>
      <c r="J42" s="314"/>
      <c r="L42" s="315"/>
      <c r="R42" s="2"/>
      <c r="S42" s="2"/>
      <c r="T42" s="2"/>
    </row>
    <row r="43" spans="1:39" ht="18.75" thickTop="1">
      <c r="A43" s="239" t="s">
        <v>283</v>
      </c>
      <c r="B43" s="241">
        <v>200</v>
      </c>
      <c r="C43" s="240">
        <v>8</v>
      </c>
      <c r="D43" s="240">
        <v>10</v>
      </c>
      <c r="E43" s="313">
        <f t="shared" ref="E43:E49" si="17">B43-20</f>
        <v>180</v>
      </c>
      <c r="F43" s="313">
        <f t="shared" si="10"/>
        <v>12.367115938864831</v>
      </c>
      <c r="G43" s="313">
        <f t="shared" ref="G43" si="18">MIN($B$29*$B$30*E43/1000,(2.3*SQRT($B$28*$B$29*$B$30))/1000+(F43/4),$B$29*$B$30*E43/1000*(SQRT(2+4*$B$28/($B$29*$B$30*E43^2))-1)+F43/4)</f>
        <v>6.5253749731354436</v>
      </c>
      <c r="H43" s="242">
        <f t="shared" ref="H43" si="19">C43^0.9*G43</f>
        <v>42.402011672418155</v>
      </c>
      <c r="I43" s="238" t="s">
        <v>310</v>
      </c>
      <c r="J43" s="314"/>
      <c r="L43" s="315"/>
      <c r="R43" s="2"/>
      <c r="S43" s="2"/>
      <c r="T43" s="2"/>
    </row>
    <row r="44" spans="1:39" ht="18">
      <c r="A44" s="239" t="s">
        <v>816</v>
      </c>
      <c r="B44" s="241">
        <v>200</v>
      </c>
      <c r="C44" s="240">
        <v>16</v>
      </c>
      <c r="D44" s="240">
        <v>10</v>
      </c>
      <c r="E44" s="313">
        <f t="shared" si="17"/>
        <v>180</v>
      </c>
      <c r="F44" s="313">
        <f t="shared" si="10"/>
        <v>12.367115938864831</v>
      </c>
      <c r="G44" s="313">
        <f t="shared" ref="G44:G51" si="20">MIN($B$29*$B$30*E44/1000,(2.3*SQRT($B$28*$B$29*$B$30))/1000+(F44/4),$B$29*$B$30*E44/1000*(SQRT(2+4*$B$28/($B$29*$B$30*E44^2))-1)+F44/4)</f>
        <v>6.5253749731354436</v>
      </c>
      <c r="H44" s="242">
        <f t="shared" si="14"/>
        <v>79.124951595789881</v>
      </c>
      <c r="I44" s="238" t="s">
        <v>310</v>
      </c>
      <c r="J44" s="314"/>
      <c r="L44" s="315"/>
      <c r="R44" s="2"/>
      <c r="S44" s="2"/>
      <c r="T44" s="2"/>
    </row>
    <row r="45" spans="1:39" ht="18.75" thickBot="1">
      <c r="A45" s="237" t="s">
        <v>284</v>
      </c>
      <c r="B45" s="228">
        <v>300</v>
      </c>
      <c r="C45" s="229">
        <v>16</v>
      </c>
      <c r="D45" s="229">
        <v>10</v>
      </c>
      <c r="E45" s="312">
        <f t="shared" si="17"/>
        <v>280</v>
      </c>
      <c r="F45" s="312">
        <f t="shared" si="10"/>
        <v>18.406253787508255</v>
      </c>
      <c r="G45" s="312">
        <f t="shared" si="20"/>
        <v>8.0351594352962987</v>
      </c>
      <c r="H45" s="230">
        <f t="shared" si="14"/>
        <v>97.432194165047477</v>
      </c>
      <c r="I45" s="238" t="s">
        <v>310</v>
      </c>
      <c r="J45" s="314"/>
      <c r="L45" s="315"/>
      <c r="R45" s="2"/>
      <c r="S45" s="2"/>
      <c r="T45" s="2"/>
    </row>
    <row r="46" spans="1:39" ht="18.75" thickTop="1">
      <c r="A46" s="239" t="s">
        <v>285</v>
      </c>
      <c r="B46" s="241">
        <v>200</v>
      </c>
      <c r="C46" s="240">
        <v>8</v>
      </c>
      <c r="D46" s="240">
        <v>10</v>
      </c>
      <c r="E46" s="313">
        <f t="shared" si="17"/>
        <v>180</v>
      </c>
      <c r="F46" s="313">
        <f t="shared" si="10"/>
        <v>12.367115938864831</v>
      </c>
      <c r="G46" s="313">
        <f t="shared" ref="G46" si="21">MIN($B$29*$B$30*E46/1000,(2.3*SQRT($B$28*$B$29*$B$30))/1000+(F46/4),$B$29*$B$30*E46/1000*(SQRT(2+4*$B$28/($B$29*$B$30*E46^2))-1)+F46/4)</f>
        <v>6.5253749731354436</v>
      </c>
      <c r="H46" s="242">
        <f t="shared" ref="H46" si="22">C46^0.9*G46</f>
        <v>42.402011672418155</v>
      </c>
      <c r="I46" s="238" t="s">
        <v>310</v>
      </c>
      <c r="J46" s="314"/>
      <c r="L46" s="315"/>
      <c r="R46" s="2"/>
      <c r="S46" s="2"/>
      <c r="T46" s="2"/>
    </row>
    <row r="47" spans="1:39" ht="18">
      <c r="A47" s="239" t="s">
        <v>817</v>
      </c>
      <c r="B47" s="241">
        <v>200</v>
      </c>
      <c r="C47" s="240">
        <v>25</v>
      </c>
      <c r="D47" s="240">
        <v>10</v>
      </c>
      <c r="E47" s="313">
        <f t="shared" si="17"/>
        <v>180</v>
      </c>
      <c r="F47" s="313">
        <f t="shared" si="10"/>
        <v>12.367115938864831</v>
      </c>
      <c r="G47" s="313">
        <f t="shared" si="20"/>
        <v>6.5253749731354436</v>
      </c>
      <c r="H47" s="242">
        <f t="shared" si="14"/>
        <v>118.23647695999895</v>
      </c>
      <c r="I47" s="238" t="s">
        <v>310</v>
      </c>
      <c r="J47" s="314"/>
      <c r="L47" s="315"/>
      <c r="R47" s="2"/>
      <c r="S47" s="2"/>
      <c r="T47" s="2"/>
    </row>
    <row r="48" spans="1:39" ht="17.25" customHeight="1" thickBot="1">
      <c r="A48" s="237" t="s">
        <v>286</v>
      </c>
      <c r="B48" s="228">
        <v>300</v>
      </c>
      <c r="C48" s="229">
        <v>25</v>
      </c>
      <c r="D48" s="229">
        <v>10</v>
      </c>
      <c r="E48" s="312">
        <f t="shared" si="17"/>
        <v>280</v>
      </c>
      <c r="F48" s="312">
        <f t="shared" si="10"/>
        <v>18.406253787508255</v>
      </c>
      <c r="G48" s="312">
        <f t="shared" si="20"/>
        <v>8.0351594352962987</v>
      </c>
      <c r="H48" s="230">
        <f t="shared" si="14"/>
        <v>145.59300382776783</v>
      </c>
      <c r="I48" s="238" t="s">
        <v>310</v>
      </c>
      <c r="J48" s="314"/>
      <c r="L48" s="315"/>
      <c r="R48" s="2"/>
      <c r="S48" s="2"/>
      <c r="T48" s="2"/>
      <c r="W48" s="244"/>
      <c r="X48" s="245"/>
      <c r="Y48" s="245"/>
      <c r="Z48" s="245"/>
      <c r="AA48" s="246"/>
      <c r="AB48" s="246"/>
      <c r="AC48" s="246"/>
      <c r="AD48" s="246"/>
      <c r="AE48" s="247"/>
      <c r="AF48" s="244"/>
      <c r="AG48" s="245"/>
      <c r="AH48" s="245"/>
      <c r="AI48" s="245"/>
      <c r="AJ48" s="246"/>
      <c r="AK48" s="246"/>
      <c r="AL48" s="246"/>
      <c r="AM48" s="246"/>
    </row>
    <row r="49" spans="1:39" ht="17.25" customHeight="1" thickTop="1">
      <c r="A49" s="239" t="s">
        <v>311</v>
      </c>
      <c r="B49" s="235">
        <v>200</v>
      </c>
      <c r="C49" s="234">
        <v>28</v>
      </c>
      <c r="D49" s="234">
        <v>10</v>
      </c>
      <c r="E49" s="310">
        <f t="shared" si="17"/>
        <v>180</v>
      </c>
      <c r="F49" s="310">
        <f t="shared" si="10"/>
        <v>12.367115938864831</v>
      </c>
      <c r="G49" s="310">
        <f t="shared" ref="G49" si="23">MIN($B$29*$B$30*E49/1000,(2.3*SQRT($B$28*$B$29*$B$30))/1000+(F49/4),$B$29*$B$30*E49/1000*(SQRT(2+4*$B$28/($B$29*$B$30*E49^2))-1)+F49/4)</f>
        <v>6.5253749731354436</v>
      </c>
      <c r="H49" s="236">
        <f t="shared" ref="H49" si="24">C49^0.9*G49</f>
        <v>130.93257261945729</v>
      </c>
      <c r="I49" s="238" t="s">
        <v>310</v>
      </c>
      <c r="J49" s="314"/>
      <c r="L49" s="315"/>
      <c r="R49" s="2"/>
      <c r="S49" s="2"/>
      <c r="T49" s="2"/>
      <c r="W49" s="244"/>
      <c r="X49" s="245"/>
      <c r="Y49" s="245"/>
      <c r="Z49" s="245"/>
      <c r="AA49" s="246"/>
      <c r="AB49" s="246"/>
      <c r="AC49" s="246"/>
      <c r="AD49" s="246"/>
      <c r="AE49" s="247"/>
      <c r="AF49" s="244"/>
      <c r="AG49" s="245"/>
      <c r="AH49" s="245"/>
      <c r="AI49" s="245"/>
      <c r="AJ49" s="246"/>
      <c r="AK49" s="246"/>
      <c r="AL49" s="246"/>
      <c r="AM49" s="246"/>
    </row>
    <row r="50" spans="1:39" ht="15" customHeight="1">
      <c r="A50" s="239" t="s">
        <v>311</v>
      </c>
      <c r="B50" s="235">
        <v>200</v>
      </c>
      <c r="C50" s="234">
        <v>28</v>
      </c>
      <c r="D50" s="234">
        <v>10</v>
      </c>
      <c r="E50" s="310">
        <f t="shared" ref="E50:E51" si="25">B50-20</f>
        <v>180</v>
      </c>
      <c r="F50" s="310">
        <f t="shared" si="10"/>
        <v>12.367115938864831</v>
      </c>
      <c r="G50" s="310">
        <f t="shared" si="20"/>
        <v>6.5253749731354436</v>
      </c>
      <c r="H50" s="236">
        <f t="shared" si="14"/>
        <v>130.93257261945729</v>
      </c>
      <c r="I50" s="238" t="s">
        <v>310</v>
      </c>
      <c r="J50" s="314"/>
      <c r="L50" s="315"/>
      <c r="R50" s="2"/>
      <c r="S50" s="2"/>
      <c r="T50" s="2"/>
      <c r="W50" s="248"/>
      <c r="X50" s="249"/>
      <c r="Y50" s="250"/>
      <c r="Z50" s="251"/>
      <c r="AA50" s="246"/>
      <c r="AB50" s="246"/>
      <c r="AC50" s="246"/>
      <c r="AD50" s="246"/>
      <c r="AE50" s="247"/>
      <c r="AF50" s="248"/>
      <c r="AG50" s="249"/>
      <c r="AH50" s="250"/>
      <c r="AI50" s="251"/>
      <c r="AJ50" s="246"/>
      <c r="AK50" s="246"/>
      <c r="AL50" s="246"/>
      <c r="AM50" s="246"/>
    </row>
    <row r="51" spans="1:39" ht="18">
      <c r="A51" s="316" t="s">
        <v>312</v>
      </c>
      <c r="B51" s="303">
        <v>300</v>
      </c>
      <c r="C51" s="63">
        <v>28</v>
      </c>
      <c r="D51" s="63">
        <v>10</v>
      </c>
      <c r="E51" s="317">
        <f t="shared" si="25"/>
        <v>280</v>
      </c>
      <c r="F51" s="317">
        <f t="shared" si="10"/>
        <v>18.406253787508255</v>
      </c>
      <c r="G51" s="317">
        <f t="shared" si="20"/>
        <v>8.0351594352962987</v>
      </c>
      <c r="H51" s="318">
        <f t="shared" si="14"/>
        <v>161.2266115896989</v>
      </c>
      <c r="I51" s="238" t="s">
        <v>310</v>
      </c>
      <c r="J51" s="319"/>
      <c r="L51" s="320"/>
      <c r="R51" s="2"/>
      <c r="S51" s="2"/>
      <c r="T51" s="2"/>
      <c r="W51" s="248"/>
      <c r="X51" s="249"/>
      <c r="Y51" s="250"/>
      <c r="Z51" s="251"/>
      <c r="AA51" s="252"/>
      <c r="AB51" s="252"/>
      <c r="AC51" s="252"/>
      <c r="AD51" s="252"/>
      <c r="AE51" s="247"/>
      <c r="AF51" s="248"/>
      <c r="AG51" s="249"/>
      <c r="AH51" s="250"/>
      <c r="AI51" s="251"/>
      <c r="AJ51" s="252"/>
      <c r="AK51" s="252"/>
      <c r="AL51" s="252"/>
      <c r="AM51" s="252"/>
    </row>
    <row r="52" spans="1:39">
      <c r="A52" s="247"/>
      <c r="B52" s="74"/>
      <c r="C52" s="72"/>
      <c r="E52" s="23" t="s">
        <v>307</v>
      </c>
      <c r="F52" s="14">
        <v>0</v>
      </c>
      <c r="G52" s="320"/>
      <c r="H52" s="320"/>
      <c r="I52" s="238"/>
      <c r="J52" s="319"/>
      <c r="K52" s="320"/>
      <c r="L52" s="320"/>
      <c r="R52" s="2"/>
      <c r="S52" s="2"/>
      <c r="T52" s="2"/>
      <c r="W52" s="248"/>
      <c r="X52" s="249"/>
      <c r="Y52" s="250"/>
      <c r="Z52" s="251"/>
      <c r="AA52" s="252"/>
      <c r="AB52" s="252"/>
      <c r="AC52" s="252"/>
      <c r="AD52" s="252"/>
      <c r="AE52" s="247"/>
      <c r="AF52" s="248"/>
      <c r="AG52" s="249"/>
      <c r="AH52" s="250"/>
      <c r="AI52" s="251"/>
      <c r="AJ52" s="252"/>
      <c r="AK52" s="252"/>
      <c r="AL52" s="252"/>
      <c r="AM52" s="252"/>
    </row>
    <row r="53" spans="1:39">
      <c r="A53" s="247"/>
      <c r="B53" s="74"/>
      <c r="C53" s="72"/>
      <c r="E53" s="23" t="s">
        <v>308</v>
      </c>
      <c r="F53" s="309">
        <v>0.6</v>
      </c>
      <c r="G53" s="320"/>
      <c r="H53" s="320"/>
      <c r="I53" s="238"/>
      <c r="J53" s="319"/>
      <c r="K53" s="320"/>
      <c r="L53" s="320"/>
      <c r="R53" s="2"/>
      <c r="S53" s="2"/>
      <c r="T53" s="2"/>
      <c r="W53" s="248"/>
      <c r="X53" s="249"/>
      <c r="Y53" s="250"/>
      <c r="Z53" s="251"/>
      <c r="AA53" s="252"/>
      <c r="AB53" s="252"/>
      <c r="AC53" s="252"/>
      <c r="AD53" s="252"/>
      <c r="AE53" s="247"/>
      <c r="AF53" s="248"/>
      <c r="AG53" s="249"/>
      <c r="AH53" s="250"/>
      <c r="AI53" s="251"/>
      <c r="AJ53" s="252"/>
      <c r="AK53" s="252"/>
      <c r="AL53" s="252"/>
      <c r="AM53" s="252"/>
    </row>
    <row r="54" spans="1:39">
      <c r="A54" s="247"/>
      <c r="B54" s="74"/>
      <c r="C54" s="72"/>
      <c r="D54" s="72"/>
      <c r="E54" s="319"/>
      <c r="F54" s="320"/>
      <c r="G54" s="320"/>
      <c r="H54" s="320"/>
      <c r="I54" s="238"/>
      <c r="J54" s="319"/>
      <c r="K54" s="320"/>
      <c r="L54" s="320"/>
      <c r="R54" s="2"/>
      <c r="S54" s="2"/>
      <c r="T54" s="2"/>
      <c r="W54" s="248"/>
      <c r="X54" s="249"/>
      <c r="Y54" s="250"/>
      <c r="Z54" s="251"/>
      <c r="AA54" s="252"/>
      <c r="AB54" s="252"/>
      <c r="AC54" s="252"/>
      <c r="AD54" s="252"/>
      <c r="AE54" s="247"/>
      <c r="AF54" s="248"/>
      <c r="AG54" s="249"/>
      <c r="AH54" s="250"/>
      <c r="AI54" s="251"/>
      <c r="AJ54" s="252"/>
      <c r="AK54" s="252"/>
      <c r="AL54" s="252"/>
      <c r="AM54" s="252"/>
    </row>
    <row r="55" spans="1:39" ht="18" customHeight="1">
      <c r="A55" s="4" t="s">
        <v>2</v>
      </c>
      <c r="B55" s="5" t="s">
        <v>291</v>
      </c>
      <c r="C55" s="5" t="s">
        <v>43</v>
      </c>
      <c r="D55" s="5" t="s">
        <v>9</v>
      </c>
      <c r="E55" s="5" t="s">
        <v>44</v>
      </c>
      <c r="F55" s="5" t="s">
        <v>287</v>
      </c>
      <c r="G55" s="180" t="s">
        <v>288</v>
      </c>
      <c r="H55" s="5" t="s">
        <v>71</v>
      </c>
      <c r="J55" s="105"/>
      <c r="L55" s="105"/>
      <c r="R55" s="2"/>
      <c r="S55" s="2"/>
      <c r="T55" s="2"/>
      <c r="W55" s="253"/>
      <c r="X55" s="245"/>
      <c r="Y55" s="254"/>
      <c r="Z55" s="255"/>
      <c r="AA55" s="20"/>
      <c r="AB55" s="20"/>
      <c r="AC55" s="20"/>
      <c r="AD55" s="20"/>
      <c r="AE55" s="247"/>
      <c r="AF55" s="253"/>
      <c r="AG55" s="245"/>
      <c r="AH55" s="254"/>
      <c r="AI55" s="255"/>
      <c r="AJ55" s="256"/>
      <c r="AK55" s="256"/>
      <c r="AL55" s="256"/>
      <c r="AM55" s="256"/>
    </row>
    <row r="56" spans="1:39">
      <c r="A56" s="8"/>
      <c r="B56" s="9" t="s">
        <v>292</v>
      </c>
      <c r="C56" s="9" t="s">
        <v>19</v>
      </c>
      <c r="D56" s="9" t="s">
        <v>18</v>
      </c>
      <c r="E56" s="9" t="s">
        <v>18</v>
      </c>
      <c r="F56" s="9" t="s">
        <v>17</v>
      </c>
      <c r="G56" s="182" t="s">
        <v>17</v>
      </c>
      <c r="H56" s="62" t="s">
        <v>17</v>
      </c>
      <c r="J56" s="105"/>
      <c r="L56" s="105"/>
      <c r="R56" s="2"/>
      <c r="S56" s="2"/>
      <c r="T56" s="2"/>
      <c r="W56" s="253"/>
      <c r="X56" s="245"/>
      <c r="Y56" s="254"/>
      <c r="Z56" s="255"/>
      <c r="AA56" s="20"/>
      <c r="AB56" s="20"/>
      <c r="AC56" s="20"/>
      <c r="AD56" s="20"/>
      <c r="AE56" s="247"/>
      <c r="AF56" s="253"/>
      <c r="AG56" s="245"/>
      <c r="AH56" s="254"/>
      <c r="AI56" s="255"/>
      <c r="AJ56" s="256"/>
      <c r="AK56" s="256"/>
      <c r="AL56" s="256"/>
      <c r="AM56" s="256"/>
    </row>
    <row r="57" spans="1:39" ht="18">
      <c r="A57" s="233" t="s">
        <v>279</v>
      </c>
      <c r="B57" s="235">
        <v>80</v>
      </c>
      <c r="C57" s="234">
        <v>7</v>
      </c>
      <c r="D57" s="234">
        <v>8</v>
      </c>
      <c r="E57" s="236">
        <f t="shared" ref="E57" si="26">B57-10</f>
        <v>70</v>
      </c>
      <c r="F57" s="236">
        <f t="shared" ref="F57" si="27">(0.52*SQRT(D57)*E57^0.9*$B$27^0.8)/1000</f>
        <v>7.8796178754106014</v>
      </c>
      <c r="G57" s="310">
        <f t="shared" ref="G57:G62" si="28">MIN($C$29*$C$31*E57/1000,(2.3*SQRT($C$28*$C$29*$C$31))/1000+(F57/4),$C$29*$C$31*E57/1000*(SQRT(2+4*$C$28/($C$29*$C$31*E57^2))-1)+F57/4)</f>
        <v>5.7539958910348616</v>
      </c>
      <c r="H57" s="236">
        <f t="shared" ref="H57" si="29">C57^0.9*G57</f>
        <v>33.155668091657937</v>
      </c>
      <c r="I57" s="238" t="s">
        <v>313</v>
      </c>
      <c r="J57" s="624"/>
      <c r="L57" s="624"/>
      <c r="R57" s="2"/>
      <c r="S57" s="2"/>
      <c r="T57" s="2"/>
      <c r="W57" s="253"/>
      <c r="X57" s="245"/>
      <c r="Y57" s="254"/>
      <c r="Z57" s="255"/>
      <c r="AA57" s="20"/>
      <c r="AB57" s="20"/>
      <c r="AC57" s="20"/>
      <c r="AD57" s="20"/>
      <c r="AE57" s="247"/>
      <c r="AF57" s="253"/>
      <c r="AG57" s="245"/>
      <c r="AH57" s="254"/>
      <c r="AI57" s="255"/>
      <c r="AJ57" s="256"/>
      <c r="AK57" s="256"/>
      <c r="AL57" s="256"/>
      <c r="AM57" s="256"/>
    </row>
    <row r="58" spans="1:39" ht="18">
      <c r="A58" s="233" t="s">
        <v>814</v>
      </c>
      <c r="B58" s="235">
        <v>80</v>
      </c>
      <c r="C58" s="234">
        <v>10</v>
      </c>
      <c r="D58" s="234">
        <v>8</v>
      </c>
      <c r="E58" s="236">
        <f t="shared" ref="E58:E62" si="30">B58-10</f>
        <v>70</v>
      </c>
      <c r="F58" s="236">
        <f t="shared" ref="F58:F71" si="31">(0.52*SQRT(D58)*E58^0.9*$B$27^0.8)/1000</f>
        <v>7.8796178754106014</v>
      </c>
      <c r="G58" s="310">
        <f t="shared" si="28"/>
        <v>5.7539958910348616</v>
      </c>
      <c r="H58" s="236">
        <f t="shared" ref="H58:H71" si="32">C58^0.9*G58</f>
        <v>45.70561398736492</v>
      </c>
      <c r="I58" s="238" t="s">
        <v>313</v>
      </c>
      <c r="J58" s="190"/>
      <c r="L58" s="311"/>
      <c r="R58" s="2"/>
      <c r="S58" s="2"/>
      <c r="T58" s="2"/>
      <c r="W58" s="253"/>
      <c r="X58" s="245"/>
      <c r="Y58" s="254"/>
      <c r="Z58" s="255"/>
      <c r="AA58" s="20"/>
      <c r="AB58" s="20"/>
      <c r="AC58" s="20"/>
      <c r="AD58" s="20"/>
      <c r="AE58" s="247"/>
      <c r="AF58" s="253"/>
      <c r="AG58" s="245"/>
      <c r="AH58" s="254"/>
      <c r="AI58" s="255"/>
      <c r="AJ58" s="256"/>
      <c r="AK58" s="256"/>
      <c r="AL58" s="256"/>
      <c r="AM58" s="256"/>
    </row>
    <row r="59" spans="1:39" ht="18.75" thickBot="1">
      <c r="A59" s="237" t="s">
        <v>280</v>
      </c>
      <c r="B59" s="228">
        <v>80</v>
      </c>
      <c r="C59" s="229">
        <v>10</v>
      </c>
      <c r="D59" s="229">
        <v>8</v>
      </c>
      <c r="E59" s="230">
        <f t="shared" si="30"/>
        <v>70</v>
      </c>
      <c r="F59" s="230">
        <f t="shared" si="31"/>
        <v>7.8796178754106014</v>
      </c>
      <c r="G59" s="312">
        <f t="shared" si="28"/>
        <v>5.7539958910348616</v>
      </c>
      <c r="H59" s="230">
        <f t="shared" si="32"/>
        <v>45.70561398736492</v>
      </c>
      <c r="I59" s="238" t="s">
        <v>313</v>
      </c>
      <c r="J59" s="190"/>
      <c r="L59" s="311"/>
      <c r="R59" s="2"/>
      <c r="S59" s="2"/>
      <c r="T59" s="2"/>
      <c r="W59" s="253"/>
      <c r="X59" s="245"/>
      <c r="Y59" s="254"/>
      <c r="Z59" s="255"/>
      <c r="AA59" s="20"/>
      <c r="AB59" s="20"/>
      <c r="AC59" s="20"/>
      <c r="AD59" s="20"/>
      <c r="AE59" s="247"/>
      <c r="AF59" s="253"/>
      <c r="AG59" s="245"/>
      <c r="AH59" s="254"/>
      <c r="AI59" s="255"/>
      <c r="AJ59" s="256"/>
      <c r="AK59" s="256"/>
      <c r="AL59" s="256"/>
      <c r="AM59" s="256"/>
    </row>
    <row r="60" spans="1:39" ht="18.75" thickTop="1">
      <c r="A60" s="257" t="s">
        <v>281</v>
      </c>
      <c r="B60" s="259">
        <v>80</v>
      </c>
      <c r="C60" s="258">
        <v>8</v>
      </c>
      <c r="D60" s="258">
        <v>8</v>
      </c>
      <c r="E60" s="260">
        <f t="shared" ref="E60" si="33">B60-10</f>
        <v>70</v>
      </c>
      <c r="F60" s="260">
        <f t="shared" ref="F60" si="34">(0.52*SQRT(D60)*E60^0.9*$B$27^0.8)/1000</f>
        <v>7.8796178754106014</v>
      </c>
      <c r="G60" s="321">
        <f t="shared" si="28"/>
        <v>5.7539958910348616</v>
      </c>
      <c r="H60" s="260">
        <f t="shared" ref="H60" si="35">C60^0.9*G60</f>
        <v>37.389575608935985</v>
      </c>
      <c r="I60" s="238" t="s">
        <v>313</v>
      </c>
      <c r="J60" s="190"/>
      <c r="L60" s="311"/>
      <c r="R60" s="2"/>
      <c r="S60" s="2"/>
      <c r="T60" s="2"/>
      <c r="W60" s="253"/>
      <c r="X60" s="245"/>
      <c r="Y60" s="254"/>
      <c r="Z60" s="255"/>
      <c r="AA60" s="20"/>
      <c r="AB60" s="20"/>
      <c r="AC60" s="20"/>
      <c r="AD60" s="20"/>
      <c r="AE60" s="247"/>
      <c r="AF60" s="253"/>
      <c r="AG60" s="245"/>
      <c r="AH60" s="254"/>
      <c r="AI60" s="255"/>
      <c r="AJ60" s="256"/>
      <c r="AK60" s="256"/>
      <c r="AL60" s="256"/>
      <c r="AM60" s="256"/>
    </row>
    <row r="61" spans="1:39" ht="18">
      <c r="A61" s="233" t="s">
        <v>815</v>
      </c>
      <c r="B61" s="235">
        <v>80</v>
      </c>
      <c r="C61" s="234">
        <v>16</v>
      </c>
      <c r="D61" s="234">
        <v>8</v>
      </c>
      <c r="E61" s="236">
        <f t="shared" si="30"/>
        <v>70</v>
      </c>
      <c r="F61" s="236">
        <f t="shared" si="31"/>
        <v>7.8796178754106014</v>
      </c>
      <c r="G61" s="310">
        <f t="shared" si="28"/>
        <v>5.7539958910348616</v>
      </c>
      <c r="H61" s="236">
        <f t="shared" si="32"/>
        <v>69.771415165394387</v>
      </c>
      <c r="I61" s="238" t="s">
        <v>313</v>
      </c>
      <c r="J61" s="314"/>
      <c r="L61" s="315"/>
      <c r="R61" s="2"/>
      <c r="S61" s="2"/>
      <c r="T61" s="2"/>
      <c r="W61" s="253"/>
      <c r="X61" s="245"/>
      <c r="Y61" s="254"/>
      <c r="Z61" s="255"/>
      <c r="AA61" s="20"/>
      <c r="AB61" s="20"/>
      <c r="AC61" s="20"/>
      <c r="AD61" s="20"/>
      <c r="AE61" s="247"/>
      <c r="AF61" s="253"/>
      <c r="AG61" s="245"/>
      <c r="AH61" s="254"/>
      <c r="AI61" s="255"/>
      <c r="AJ61" s="256"/>
      <c r="AK61" s="256"/>
      <c r="AL61" s="256"/>
      <c r="AM61" s="256"/>
    </row>
    <row r="62" spans="1:39" ht="18.75" thickBot="1">
      <c r="A62" s="237" t="s">
        <v>282</v>
      </c>
      <c r="B62" s="228">
        <v>80</v>
      </c>
      <c r="C62" s="229">
        <v>16</v>
      </c>
      <c r="D62" s="229">
        <v>8</v>
      </c>
      <c r="E62" s="230">
        <f t="shared" si="30"/>
        <v>70</v>
      </c>
      <c r="F62" s="230">
        <f t="shared" si="31"/>
        <v>7.8796178754106014</v>
      </c>
      <c r="G62" s="312">
        <f t="shared" si="28"/>
        <v>5.7539958910348616</v>
      </c>
      <c r="H62" s="230">
        <f t="shared" si="32"/>
        <v>69.771415165394387</v>
      </c>
      <c r="I62" s="238" t="s">
        <v>313</v>
      </c>
      <c r="J62" s="314"/>
      <c r="L62" s="315"/>
      <c r="R62" s="2"/>
      <c r="S62" s="2"/>
      <c r="T62" s="2"/>
      <c r="W62" s="253"/>
      <c r="X62" s="245"/>
      <c r="Y62" s="254"/>
      <c r="Z62" s="255"/>
      <c r="AA62" s="20"/>
      <c r="AB62" s="20"/>
      <c r="AC62" s="20"/>
      <c r="AD62" s="20"/>
      <c r="AE62" s="247"/>
      <c r="AF62" s="253"/>
      <c r="AG62" s="245"/>
      <c r="AH62" s="254"/>
      <c r="AI62" s="255"/>
      <c r="AJ62" s="256"/>
      <c r="AK62" s="256"/>
      <c r="AL62" s="256"/>
      <c r="AM62" s="256"/>
    </row>
    <row r="63" spans="1:39" ht="18.75" thickTop="1">
      <c r="A63" s="239" t="s">
        <v>283</v>
      </c>
      <c r="B63" s="241">
        <v>100</v>
      </c>
      <c r="C63" s="240">
        <v>8</v>
      </c>
      <c r="D63" s="240">
        <v>10</v>
      </c>
      <c r="E63" s="242">
        <f>B63-15</f>
        <v>85</v>
      </c>
      <c r="F63" s="242">
        <f t="shared" ref="F63" si="36">(0.52*SQRT(D63)*E63^0.9*$B$27^0.8)/1000</f>
        <v>10.491774806064372</v>
      </c>
      <c r="G63" s="313">
        <f t="shared" ref="G63" si="37">MIN($B$29*$B$31*E63/1000,(2.3*SQRT($B$28*$B$29*$B$31))/1000+(F63/4),$B$29*$B$31*E63/1000*(SQRT(2+4*$B$28/($B$29*$B$31*E63^2))-1)+F63/4)</f>
        <v>8.0354591525640107</v>
      </c>
      <c r="H63" s="242">
        <f t="shared" ref="H63" si="38">C63^0.9*G63</f>
        <v>52.214567619942095</v>
      </c>
      <c r="I63" s="238" t="s">
        <v>313</v>
      </c>
      <c r="J63" s="314"/>
      <c r="L63" s="315"/>
      <c r="R63" s="2"/>
      <c r="S63" s="2"/>
      <c r="T63" s="2"/>
      <c r="W63" s="253"/>
      <c r="X63" s="245"/>
      <c r="Y63" s="254"/>
      <c r="Z63" s="255"/>
      <c r="AA63" s="20"/>
      <c r="AB63" s="20"/>
      <c r="AC63" s="20"/>
      <c r="AD63" s="20"/>
      <c r="AE63" s="247"/>
      <c r="AF63" s="253"/>
      <c r="AG63" s="245"/>
      <c r="AH63" s="254"/>
      <c r="AI63" s="255"/>
      <c r="AJ63" s="256"/>
      <c r="AK63" s="256"/>
      <c r="AL63" s="256"/>
      <c r="AM63" s="256"/>
    </row>
    <row r="64" spans="1:39" ht="15.75" customHeight="1">
      <c r="A64" s="239" t="s">
        <v>816</v>
      </c>
      <c r="B64" s="241">
        <v>100</v>
      </c>
      <c r="C64" s="240">
        <v>16</v>
      </c>
      <c r="D64" s="240">
        <v>10</v>
      </c>
      <c r="E64" s="242">
        <f t="shared" ref="E64:E71" si="39">B64-15</f>
        <v>85</v>
      </c>
      <c r="F64" s="242">
        <f t="shared" si="31"/>
        <v>10.491774806064372</v>
      </c>
      <c r="G64" s="313">
        <f t="shared" ref="G64:G71" si="40">MIN($B$29*$B$31*E64/1000,(2.3*SQRT($B$28*$B$29*$B$31))/1000+(F64/4),$B$29*$B$31*E64/1000*(SQRT(2+4*$B$28/($B$29*$B$31*E64^2))-1)+F64/4)</f>
        <v>8.0354591525640107</v>
      </c>
      <c r="H64" s="242">
        <f t="shared" si="32"/>
        <v>97.435828456471</v>
      </c>
      <c r="I64" s="238" t="s">
        <v>313</v>
      </c>
      <c r="J64" s="314"/>
      <c r="L64" s="315"/>
      <c r="R64" s="2"/>
      <c r="S64" s="2"/>
      <c r="T64" s="2"/>
      <c r="W64" s="253"/>
      <c r="X64" s="245"/>
      <c r="Y64" s="254"/>
      <c r="Z64" s="255"/>
      <c r="AA64" s="20"/>
      <c r="AB64" s="20"/>
      <c r="AC64" s="20"/>
      <c r="AD64" s="20"/>
      <c r="AE64" s="247"/>
      <c r="AF64" s="253"/>
      <c r="AG64" s="245"/>
      <c r="AH64" s="254"/>
      <c r="AI64" s="255"/>
      <c r="AJ64" s="261"/>
      <c r="AK64" s="261"/>
      <c r="AL64" s="261"/>
      <c r="AM64" s="261"/>
    </row>
    <row r="65" spans="1:39" ht="18.75" thickBot="1">
      <c r="A65" s="237" t="s">
        <v>284</v>
      </c>
      <c r="B65" s="228">
        <v>100</v>
      </c>
      <c r="C65" s="229">
        <v>16</v>
      </c>
      <c r="D65" s="229">
        <v>10</v>
      </c>
      <c r="E65" s="230">
        <f t="shared" si="39"/>
        <v>85</v>
      </c>
      <c r="F65" s="230">
        <f t="shared" si="31"/>
        <v>10.491774806064372</v>
      </c>
      <c r="G65" s="312">
        <f t="shared" si="40"/>
        <v>8.0354591525640107</v>
      </c>
      <c r="H65" s="230">
        <f t="shared" si="32"/>
        <v>97.435828456471</v>
      </c>
      <c r="I65" s="238" t="s">
        <v>313</v>
      </c>
      <c r="J65" s="314"/>
      <c r="L65" s="315"/>
      <c r="R65" s="2"/>
      <c r="S65" s="2"/>
      <c r="T65" s="2"/>
      <c r="W65" s="253"/>
      <c r="X65" s="245"/>
      <c r="Y65" s="254"/>
      <c r="Z65" s="255"/>
      <c r="AA65" s="20"/>
      <c r="AB65" s="20"/>
      <c r="AC65" s="20"/>
      <c r="AD65" s="20"/>
      <c r="AE65" s="247"/>
      <c r="AF65" s="253"/>
      <c r="AG65" s="245"/>
      <c r="AH65" s="254"/>
      <c r="AI65" s="255"/>
      <c r="AJ65" s="261"/>
      <c r="AK65" s="261"/>
      <c r="AL65" s="261"/>
      <c r="AM65" s="261"/>
    </row>
    <row r="66" spans="1:39" ht="18.75" thickTop="1">
      <c r="A66" s="239" t="s">
        <v>285</v>
      </c>
      <c r="B66" s="241">
        <v>100</v>
      </c>
      <c r="C66" s="240">
        <v>8</v>
      </c>
      <c r="D66" s="240">
        <v>10</v>
      </c>
      <c r="E66" s="242">
        <f t="shared" si="39"/>
        <v>85</v>
      </c>
      <c r="F66" s="242">
        <f t="shared" ref="F66" si="41">(0.52*SQRT(D66)*E66^0.9*$B$27^0.8)/1000</f>
        <v>10.491774806064372</v>
      </c>
      <c r="G66" s="313">
        <f t="shared" ref="G66" si="42">MIN($B$29*$B$31*E66/1000,(2.3*SQRT($B$28*$B$29*$B$31))/1000+(F66/4),$B$29*$B$31*E66/1000*(SQRT(2+4*$B$28/($B$29*$B$31*E66^2))-1)+F66/4)</f>
        <v>8.0354591525640107</v>
      </c>
      <c r="H66" s="242">
        <f t="shared" ref="H66" si="43">C66^0.9*G66</f>
        <v>52.214567619942095</v>
      </c>
      <c r="I66" s="238" t="s">
        <v>313</v>
      </c>
      <c r="J66" s="314"/>
      <c r="L66" s="315"/>
      <c r="R66" s="2"/>
      <c r="S66" s="2"/>
      <c r="T66" s="2"/>
      <c r="W66" s="253"/>
      <c r="X66" s="245"/>
      <c r="Y66" s="254"/>
      <c r="Z66" s="255"/>
      <c r="AA66" s="20"/>
      <c r="AB66" s="20"/>
      <c r="AC66" s="20"/>
      <c r="AD66" s="20"/>
      <c r="AE66" s="247"/>
      <c r="AF66" s="253"/>
      <c r="AG66" s="245"/>
      <c r="AH66" s="254"/>
      <c r="AI66" s="255"/>
      <c r="AJ66" s="261"/>
      <c r="AK66" s="261"/>
      <c r="AL66" s="261"/>
      <c r="AM66" s="261"/>
    </row>
    <row r="67" spans="1:39" ht="18">
      <c r="A67" s="239" t="s">
        <v>817</v>
      </c>
      <c r="B67" s="241">
        <v>100</v>
      </c>
      <c r="C67" s="240">
        <v>25</v>
      </c>
      <c r="D67" s="240">
        <v>10</v>
      </c>
      <c r="E67" s="242">
        <f t="shared" si="39"/>
        <v>85</v>
      </c>
      <c r="F67" s="242">
        <f t="shared" si="31"/>
        <v>10.491774806064372</v>
      </c>
      <c r="G67" s="313">
        <f t="shared" si="40"/>
        <v>8.0354591525640107</v>
      </c>
      <c r="H67" s="242">
        <f t="shared" si="32"/>
        <v>145.59843455228011</v>
      </c>
      <c r="I67" s="238" t="s">
        <v>313</v>
      </c>
      <c r="J67" s="314"/>
      <c r="L67" s="315"/>
      <c r="R67" s="2"/>
      <c r="S67" s="2"/>
      <c r="T67" s="2"/>
      <c r="W67" s="253"/>
      <c r="X67" s="245"/>
      <c r="Y67" s="254"/>
      <c r="Z67" s="255"/>
      <c r="AA67" s="20"/>
      <c r="AB67" s="20"/>
      <c r="AC67" s="20"/>
      <c r="AD67" s="20"/>
      <c r="AE67" s="247"/>
      <c r="AF67" s="253"/>
      <c r="AG67" s="245"/>
      <c r="AH67" s="254"/>
      <c r="AI67" s="255"/>
      <c r="AJ67" s="261"/>
      <c r="AK67" s="261"/>
      <c r="AL67" s="261"/>
      <c r="AM67" s="261"/>
    </row>
    <row r="68" spans="1:39" ht="18.75" thickBot="1">
      <c r="A68" s="237" t="s">
        <v>286</v>
      </c>
      <c r="B68" s="228">
        <v>100</v>
      </c>
      <c r="C68" s="229">
        <v>25</v>
      </c>
      <c r="D68" s="229">
        <v>10</v>
      </c>
      <c r="E68" s="230">
        <f t="shared" si="39"/>
        <v>85</v>
      </c>
      <c r="F68" s="230">
        <f t="shared" si="31"/>
        <v>10.491774806064372</v>
      </c>
      <c r="G68" s="312">
        <f t="shared" si="40"/>
        <v>8.0354591525640107</v>
      </c>
      <c r="H68" s="230">
        <f t="shared" si="32"/>
        <v>145.59843455228011</v>
      </c>
      <c r="I68" s="238" t="s">
        <v>313</v>
      </c>
      <c r="J68" s="314"/>
      <c r="L68" s="315"/>
      <c r="R68" s="2"/>
      <c r="S68" s="2"/>
      <c r="T68" s="2"/>
      <c r="W68" s="253"/>
      <c r="X68" s="245"/>
      <c r="Y68" s="254"/>
      <c r="Z68" s="255"/>
      <c r="AA68" s="20"/>
      <c r="AB68" s="20"/>
      <c r="AC68" s="20"/>
      <c r="AD68" s="20"/>
      <c r="AE68" s="247"/>
      <c r="AF68" s="253"/>
      <c r="AG68" s="245"/>
      <c r="AH68" s="254"/>
      <c r="AI68" s="255"/>
      <c r="AJ68" s="261"/>
      <c r="AK68" s="261"/>
      <c r="AL68" s="261"/>
      <c r="AM68" s="261"/>
    </row>
    <row r="69" spans="1:39" ht="18.75" thickTop="1">
      <c r="A69" s="239" t="s">
        <v>311</v>
      </c>
      <c r="B69" s="235">
        <v>100</v>
      </c>
      <c r="C69" s="234">
        <v>28</v>
      </c>
      <c r="D69" s="234">
        <v>10</v>
      </c>
      <c r="E69" s="236">
        <f t="shared" si="39"/>
        <v>85</v>
      </c>
      <c r="F69" s="236">
        <f t="shared" ref="F69" si="44">(0.52*SQRT(D69)*E69^0.9*$B$27^0.8)/1000</f>
        <v>10.491774806064372</v>
      </c>
      <c r="G69" s="310">
        <f t="shared" ref="G69" si="45">MIN($B$29*$B$31*E69/1000,(2.3*SQRT($B$28*$B$29*$B$31))/1000+(F69/4),$B$29*$B$31*E69/1000*(SQRT(2+4*$B$28/($B$29*$B$31*E69^2))-1)+F69/4)</f>
        <v>8.0354591525640107</v>
      </c>
      <c r="H69" s="236">
        <f t="shared" ref="H69" si="46">C69^0.9*G69</f>
        <v>161.23262545910589</v>
      </c>
      <c r="I69" s="238" t="s">
        <v>313</v>
      </c>
      <c r="J69" s="314"/>
      <c r="L69" s="315"/>
      <c r="R69" s="2"/>
      <c r="S69" s="2"/>
      <c r="T69" s="2"/>
      <c r="W69" s="253"/>
      <c r="X69" s="245"/>
      <c r="Y69" s="254"/>
      <c r="Z69" s="255"/>
      <c r="AA69" s="20"/>
      <c r="AB69" s="20"/>
      <c r="AC69" s="20"/>
      <c r="AD69" s="20"/>
      <c r="AE69" s="247"/>
      <c r="AF69" s="253"/>
      <c r="AG69" s="245"/>
      <c r="AH69" s="254"/>
      <c r="AI69" s="255"/>
      <c r="AJ69" s="261"/>
      <c r="AK69" s="261"/>
      <c r="AL69" s="261"/>
      <c r="AM69" s="261"/>
    </row>
    <row r="70" spans="1:39" ht="18">
      <c r="A70" s="239" t="s">
        <v>818</v>
      </c>
      <c r="B70" s="235">
        <v>100</v>
      </c>
      <c r="C70" s="234">
        <v>28</v>
      </c>
      <c r="D70" s="234">
        <v>10</v>
      </c>
      <c r="E70" s="236">
        <f t="shared" si="39"/>
        <v>85</v>
      </c>
      <c r="F70" s="236">
        <f t="shared" si="31"/>
        <v>10.491774806064372</v>
      </c>
      <c r="G70" s="310">
        <f t="shared" si="40"/>
        <v>8.0354591525640107</v>
      </c>
      <c r="H70" s="236">
        <f t="shared" si="32"/>
        <v>161.23262545910589</v>
      </c>
      <c r="I70" s="238" t="s">
        <v>313</v>
      </c>
      <c r="J70" s="314"/>
      <c r="L70" s="315"/>
      <c r="R70" s="2"/>
      <c r="S70" s="2"/>
      <c r="T70" s="2"/>
      <c r="W70" s="253"/>
      <c r="X70" s="245"/>
      <c r="Y70" s="254"/>
      <c r="Z70" s="255"/>
      <c r="AA70" s="20"/>
      <c r="AB70" s="20"/>
      <c r="AC70" s="20"/>
      <c r="AD70" s="20"/>
      <c r="AE70" s="247"/>
      <c r="AF70" s="253"/>
      <c r="AG70" s="245"/>
      <c r="AH70" s="254"/>
      <c r="AI70" s="255"/>
      <c r="AJ70" s="261"/>
      <c r="AK70" s="261"/>
      <c r="AL70" s="261"/>
      <c r="AM70" s="261"/>
    </row>
    <row r="71" spans="1:39" ht="23.25">
      <c r="A71" s="316" t="s">
        <v>312</v>
      </c>
      <c r="B71" s="303">
        <v>100</v>
      </c>
      <c r="C71" s="63">
        <v>28</v>
      </c>
      <c r="D71" s="63">
        <v>10</v>
      </c>
      <c r="E71" s="318">
        <f t="shared" si="39"/>
        <v>85</v>
      </c>
      <c r="F71" s="318">
        <f t="shared" si="31"/>
        <v>10.491774806064372</v>
      </c>
      <c r="G71" s="317">
        <f t="shared" si="40"/>
        <v>8.0354591525640107</v>
      </c>
      <c r="H71" s="318">
        <f t="shared" si="32"/>
        <v>161.23262545910589</v>
      </c>
      <c r="I71" s="322" t="s">
        <v>313</v>
      </c>
      <c r="J71" s="319"/>
      <c r="L71" s="320"/>
      <c r="P71" s="1"/>
      <c r="R71" s="2"/>
      <c r="S71" s="2"/>
      <c r="T71" s="2"/>
      <c r="W71" s="253"/>
      <c r="X71" s="245"/>
      <c r="Y71" s="254"/>
      <c r="Z71" s="255"/>
      <c r="AA71" s="20"/>
      <c r="AB71" s="20"/>
      <c r="AC71" s="20"/>
      <c r="AD71" s="20"/>
      <c r="AE71" s="247"/>
      <c r="AF71" s="253"/>
      <c r="AG71" s="245"/>
      <c r="AH71" s="254"/>
      <c r="AI71" s="255"/>
      <c r="AJ71" s="261"/>
      <c r="AK71" s="261"/>
      <c r="AL71" s="261"/>
      <c r="AM71" s="262"/>
    </row>
    <row r="72" spans="1:39" ht="15.75" customHeight="1">
      <c r="A72" s="3"/>
      <c r="B72" s="3"/>
      <c r="C72" s="77"/>
      <c r="N72" s="238"/>
      <c r="O72" s="238"/>
      <c r="Q72" s="693"/>
      <c r="R72" s="693"/>
      <c r="S72" s="693"/>
      <c r="T72" s="693"/>
      <c r="W72" s="253"/>
      <c r="X72" s="245"/>
      <c r="Y72" s="254"/>
      <c r="Z72" s="255"/>
      <c r="AA72" s="20"/>
      <c r="AB72" s="20"/>
      <c r="AC72" s="20"/>
      <c r="AD72" s="20"/>
      <c r="AE72" s="247"/>
      <c r="AF72" s="253"/>
      <c r="AG72" s="245"/>
      <c r="AH72" s="254"/>
      <c r="AI72" s="255"/>
      <c r="AJ72" s="256"/>
      <c r="AK72" s="256"/>
      <c r="AL72" s="256"/>
      <c r="AM72" s="256"/>
    </row>
    <row r="73" spans="1:39" ht="15.75" customHeight="1">
      <c r="A73" s="3"/>
      <c r="E73" t="s">
        <v>72</v>
      </c>
      <c r="Q73" s="622"/>
      <c r="R73" s="622"/>
      <c r="S73" s="622"/>
      <c r="T73" s="622"/>
      <c r="W73" s="253"/>
      <c r="X73" s="245"/>
      <c r="Y73" s="254"/>
      <c r="Z73" s="255"/>
      <c r="AA73" s="20"/>
      <c r="AB73" s="20"/>
      <c r="AC73" s="20"/>
      <c r="AD73" s="20"/>
      <c r="AE73" s="247"/>
      <c r="AF73" s="253"/>
      <c r="AG73" s="245"/>
      <c r="AH73" s="254"/>
      <c r="AI73" s="255"/>
      <c r="AJ73" s="256"/>
      <c r="AK73" s="256"/>
      <c r="AL73" s="256"/>
      <c r="AM73" s="256"/>
    </row>
    <row r="74" spans="1:39" ht="18">
      <c r="A74" s="4" t="s">
        <v>2</v>
      </c>
      <c r="B74" s="78" t="s">
        <v>61</v>
      </c>
      <c r="C74" s="78" t="s">
        <v>73</v>
      </c>
      <c r="D74" s="5" t="s">
        <v>74</v>
      </c>
      <c r="E74" s="78" t="s">
        <v>75</v>
      </c>
      <c r="F74" s="79" t="s">
        <v>85</v>
      </c>
      <c r="H74" s="277"/>
      <c r="P74" s="4" t="s">
        <v>2</v>
      </c>
      <c r="Q74" s="682" t="s">
        <v>314</v>
      </c>
      <c r="R74" s="683"/>
      <c r="S74" s="683"/>
      <c r="T74" s="683"/>
      <c r="U74" s="683"/>
      <c r="V74" s="684"/>
      <c r="W74" s="253"/>
      <c r="X74" s="245"/>
      <c r="Y74" s="254"/>
      <c r="Z74" s="255"/>
      <c r="AA74" s="20"/>
      <c r="AB74" s="20"/>
      <c r="AC74" s="20"/>
      <c r="AD74" s="20"/>
      <c r="AE74" s="247"/>
      <c r="AF74" s="253"/>
      <c r="AG74" s="245"/>
      <c r="AH74" s="254"/>
      <c r="AI74" s="255"/>
      <c r="AJ74" s="256"/>
      <c r="AK74" s="256"/>
      <c r="AL74" s="256"/>
      <c r="AM74" s="256"/>
    </row>
    <row r="75" spans="1:39">
      <c r="A75" s="8"/>
      <c r="B75" s="81" t="s">
        <v>17</v>
      </c>
      <c r="C75" s="82" t="s">
        <v>17</v>
      </c>
      <c r="D75" s="9" t="s">
        <v>78</v>
      </c>
      <c r="E75" s="82" t="s">
        <v>17</v>
      </c>
      <c r="F75" s="83" t="s">
        <v>17</v>
      </c>
      <c r="H75" s="278"/>
      <c r="P75" s="8"/>
      <c r="Q75" s="11">
        <v>0.6</v>
      </c>
      <c r="R75" s="11">
        <v>0.7</v>
      </c>
      <c r="S75" s="11">
        <v>0.8</v>
      </c>
      <c r="T75" s="11">
        <v>0.9</v>
      </c>
      <c r="U75" s="11">
        <v>1</v>
      </c>
      <c r="V75" s="11">
        <v>1.1000000000000001</v>
      </c>
      <c r="W75" s="253"/>
      <c r="X75" s="245"/>
      <c r="Y75" s="254"/>
      <c r="Z75" s="255"/>
      <c r="AA75" s="20"/>
      <c r="AB75" s="20"/>
      <c r="AC75" s="20"/>
      <c r="AD75" s="20"/>
      <c r="AE75" s="247"/>
      <c r="AF75" s="253"/>
      <c r="AG75" s="245"/>
      <c r="AH75" s="254"/>
      <c r="AI75" s="255"/>
      <c r="AJ75" s="256"/>
      <c r="AK75" s="256"/>
      <c r="AL75" s="256"/>
      <c r="AM75" s="263"/>
    </row>
    <row r="76" spans="1:39" ht="30">
      <c r="A76" s="281" t="s">
        <v>819</v>
      </c>
      <c r="B76" s="282">
        <f t="shared" ref="B76:B88" si="47">H37</f>
        <v>26.949266771153084</v>
      </c>
      <c r="C76" s="323">
        <v>60</v>
      </c>
      <c r="D76" s="282">
        <v>10.7</v>
      </c>
      <c r="E76" s="324">
        <f t="shared" ref="E76:E88" si="48">1/SQRT((1/H57)^2+(1/(D76*F57))^2)</f>
        <v>30.855559246041057</v>
      </c>
      <c r="F76" s="324">
        <f>MIN(B76,E76)</f>
        <v>26.949266771153084</v>
      </c>
      <c r="H76" s="278"/>
      <c r="P76" s="281" t="s">
        <v>819</v>
      </c>
      <c r="Q76" s="647">
        <f t="shared" ref="Q76:V90" si="49">MIN(Q$75*$B76/1.3,$C76/1,Q$75*$E76/1.3)</f>
        <v>12.438123125147577</v>
      </c>
      <c r="R76" s="647">
        <f t="shared" si="49"/>
        <v>14.511143646005506</v>
      </c>
      <c r="S76" s="647">
        <f t="shared" si="49"/>
        <v>16.584164166863435</v>
      </c>
      <c r="T76" s="647">
        <f t="shared" si="49"/>
        <v>18.657184687721365</v>
      </c>
      <c r="U76" s="647">
        <f t="shared" si="49"/>
        <v>20.730205208579296</v>
      </c>
      <c r="V76" s="647">
        <f t="shared" si="49"/>
        <v>22.803225729437226</v>
      </c>
      <c r="W76" s="253"/>
      <c r="X76" s="245"/>
      <c r="Y76" s="254"/>
      <c r="Z76" s="255"/>
      <c r="AA76" s="20"/>
      <c r="AB76" s="20"/>
      <c r="AC76" s="20"/>
      <c r="AD76" s="20"/>
      <c r="AE76" s="247"/>
      <c r="AF76" s="253"/>
      <c r="AG76" s="245"/>
      <c r="AH76" s="254"/>
      <c r="AI76" s="255"/>
      <c r="AJ76" s="256"/>
      <c r="AK76" s="256"/>
      <c r="AL76" s="256"/>
      <c r="AM76" s="263"/>
    </row>
    <row r="77" spans="1:39" ht="30">
      <c r="A77" s="281" t="s">
        <v>824</v>
      </c>
      <c r="B77" s="282">
        <f t="shared" si="47"/>
        <v>37.149991394525706</v>
      </c>
      <c r="C77" s="323">
        <v>60</v>
      </c>
      <c r="D77" s="282">
        <v>10.7</v>
      </c>
      <c r="E77" s="324">
        <f t="shared" si="48"/>
        <v>40.18125965399701</v>
      </c>
      <c r="F77" s="324">
        <f>MIN(B77,E77)</f>
        <v>37.149991394525706</v>
      </c>
      <c r="H77" s="279"/>
      <c r="P77" s="281" t="s">
        <v>824</v>
      </c>
      <c r="Q77" s="647">
        <f t="shared" si="49"/>
        <v>17.146149874396478</v>
      </c>
      <c r="R77" s="647">
        <f t="shared" si="49"/>
        <v>20.003841520129225</v>
      </c>
      <c r="S77" s="647">
        <f t="shared" si="49"/>
        <v>22.861533165861974</v>
      </c>
      <c r="T77" s="647">
        <f t="shared" si="49"/>
        <v>25.719224811594717</v>
      </c>
      <c r="U77" s="647">
        <f t="shared" si="49"/>
        <v>28.576916457327464</v>
      </c>
      <c r="V77" s="647">
        <f t="shared" si="49"/>
        <v>31.434608103060214</v>
      </c>
      <c r="W77" s="253"/>
      <c r="X77" s="245"/>
      <c r="Y77" s="254"/>
      <c r="Z77" s="255"/>
      <c r="AA77" s="20"/>
      <c r="AB77" s="20"/>
      <c r="AC77" s="20"/>
      <c r="AD77" s="20"/>
      <c r="AE77" s="247"/>
      <c r="AF77" s="253"/>
      <c r="AG77" s="245"/>
      <c r="AH77" s="254"/>
      <c r="AI77" s="255"/>
      <c r="AJ77" s="256"/>
      <c r="AK77" s="256"/>
      <c r="AL77" s="256"/>
      <c r="AM77" s="263"/>
    </row>
    <row r="78" spans="1:39" ht="30.75" thickBot="1">
      <c r="A78" s="288" t="s">
        <v>295</v>
      </c>
      <c r="B78" s="289">
        <f t="shared" si="47"/>
        <v>45.920027087622728</v>
      </c>
      <c r="C78" s="327">
        <v>60</v>
      </c>
      <c r="D78" s="289">
        <v>10.7</v>
      </c>
      <c r="E78" s="328">
        <f t="shared" si="48"/>
        <v>40.18125965399701</v>
      </c>
      <c r="F78" s="328">
        <f t="shared" ref="F78:F90" si="50">MIN(B78,E78)</f>
        <v>40.18125965399701</v>
      </c>
      <c r="H78" s="279"/>
      <c r="P78" s="288" t="s">
        <v>295</v>
      </c>
      <c r="Q78" s="648">
        <f t="shared" si="49"/>
        <v>18.545196763383235</v>
      </c>
      <c r="R78" s="648">
        <f t="shared" si="49"/>
        <v>21.636062890613772</v>
      </c>
      <c r="S78" s="648">
        <f t="shared" si="49"/>
        <v>24.726929017844313</v>
      </c>
      <c r="T78" s="648">
        <f t="shared" si="49"/>
        <v>27.817795145074854</v>
      </c>
      <c r="U78" s="648">
        <f t="shared" si="49"/>
        <v>30.908661272305391</v>
      </c>
      <c r="V78" s="648">
        <f t="shared" si="49"/>
        <v>33.999527399535936</v>
      </c>
      <c r="W78" s="253"/>
      <c r="X78" s="245"/>
      <c r="Y78" s="254"/>
      <c r="Z78" s="255"/>
      <c r="AA78" s="20"/>
      <c r="AB78" s="20"/>
      <c r="AC78" s="20"/>
      <c r="AD78" s="20"/>
      <c r="AE78" s="247"/>
      <c r="AF78" s="253"/>
      <c r="AG78" s="245"/>
      <c r="AH78" s="254"/>
      <c r="AI78" s="255"/>
      <c r="AJ78" s="256"/>
      <c r="AK78" s="256"/>
      <c r="AL78" s="256"/>
      <c r="AM78" s="263"/>
    </row>
    <row r="79" spans="1:39" ht="30.75" thickTop="1">
      <c r="A79" s="295" t="s">
        <v>820</v>
      </c>
      <c r="B79" s="331">
        <f t="shared" si="47"/>
        <v>30.390630186062658</v>
      </c>
      <c r="C79" s="332">
        <v>60</v>
      </c>
      <c r="D79" s="331">
        <v>27.8</v>
      </c>
      <c r="E79" s="333">
        <f t="shared" si="48"/>
        <v>36.856539602592946</v>
      </c>
      <c r="F79" s="333">
        <f t="shared" ref="F79" si="51">MIN(B79,E79)</f>
        <v>30.390630186062658</v>
      </c>
      <c r="H79" s="279"/>
      <c r="P79" s="295" t="s">
        <v>820</v>
      </c>
      <c r="Q79" s="649">
        <f t="shared" si="49"/>
        <v>14.026444701259686</v>
      </c>
      <c r="R79" s="649">
        <f t="shared" si="49"/>
        <v>16.36418548480297</v>
      </c>
      <c r="S79" s="649">
        <f t="shared" si="49"/>
        <v>18.701926268346252</v>
      </c>
      <c r="T79" s="649">
        <f t="shared" si="49"/>
        <v>21.039667051889534</v>
      </c>
      <c r="U79" s="649">
        <f t="shared" si="49"/>
        <v>23.377407835432813</v>
      </c>
      <c r="V79" s="649">
        <f t="shared" si="49"/>
        <v>25.715148618976098</v>
      </c>
      <c r="W79" s="253"/>
      <c r="X79" s="245"/>
      <c r="Y79" s="254"/>
      <c r="Z79" s="255"/>
      <c r="AA79" s="20"/>
      <c r="AB79" s="20"/>
      <c r="AC79" s="20"/>
      <c r="AD79" s="20"/>
      <c r="AE79" s="247"/>
      <c r="AF79" s="253"/>
      <c r="AG79" s="245"/>
      <c r="AH79" s="254"/>
      <c r="AI79" s="255"/>
      <c r="AJ79" s="256"/>
      <c r="AK79" s="256"/>
      <c r="AL79" s="256"/>
      <c r="AM79" s="263"/>
    </row>
    <row r="80" spans="1:39" ht="30">
      <c r="A80" s="295" t="s">
        <v>825</v>
      </c>
      <c r="B80" s="282">
        <f t="shared" si="47"/>
        <v>56.710921194381697</v>
      </c>
      <c r="C80" s="323">
        <v>60</v>
      </c>
      <c r="D80" s="282">
        <v>27.8</v>
      </c>
      <c r="E80" s="324">
        <f t="shared" si="48"/>
        <v>66.480609906200655</v>
      </c>
      <c r="F80" s="324">
        <f t="shared" si="50"/>
        <v>56.710921194381697</v>
      </c>
      <c r="H80" s="279"/>
      <c r="N80" s="103"/>
      <c r="O80" s="103"/>
      <c r="P80" s="295" t="s">
        <v>825</v>
      </c>
      <c r="Q80" s="649">
        <f t="shared" si="49"/>
        <v>26.174271320483861</v>
      </c>
      <c r="R80" s="649">
        <f t="shared" si="49"/>
        <v>30.536649873897833</v>
      </c>
      <c r="S80" s="649">
        <f t="shared" si="49"/>
        <v>34.899028427311819</v>
      </c>
      <c r="T80" s="649">
        <f t="shared" si="49"/>
        <v>39.261406980725788</v>
      </c>
      <c r="U80" s="649">
        <f t="shared" si="49"/>
        <v>43.623785534139763</v>
      </c>
      <c r="V80" s="649">
        <f t="shared" si="49"/>
        <v>47.986164087553746</v>
      </c>
      <c r="W80" s="253"/>
      <c r="X80" s="245"/>
      <c r="Y80" s="254"/>
      <c r="Z80" s="255"/>
      <c r="AA80" s="20"/>
      <c r="AB80" s="20"/>
      <c r="AC80" s="20"/>
      <c r="AD80" s="20"/>
      <c r="AE80" s="247"/>
      <c r="AF80" s="253"/>
      <c r="AG80" s="245"/>
      <c r="AH80" s="254"/>
      <c r="AI80" s="255"/>
      <c r="AJ80" s="256"/>
      <c r="AK80" s="256"/>
      <c r="AL80" s="256"/>
      <c r="AM80" s="263"/>
    </row>
    <row r="81" spans="1:39" ht="30.75" thickBot="1">
      <c r="A81" s="288" t="s">
        <v>297</v>
      </c>
      <c r="B81" s="289">
        <f t="shared" si="47"/>
        <v>70.098725185540317</v>
      </c>
      <c r="C81" s="327">
        <v>60</v>
      </c>
      <c r="D81" s="289">
        <v>27.8</v>
      </c>
      <c r="E81" s="328">
        <f t="shared" si="48"/>
        <v>66.480609906200655</v>
      </c>
      <c r="F81" s="328">
        <f t="shared" si="50"/>
        <v>66.480609906200655</v>
      </c>
      <c r="H81" s="279"/>
      <c r="N81" s="103"/>
      <c r="O81" s="103"/>
      <c r="P81" s="288" t="s">
        <v>297</v>
      </c>
      <c r="Q81" s="648">
        <f t="shared" si="49"/>
        <v>30.683358418246456</v>
      </c>
      <c r="R81" s="648">
        <f t="shared" si="49"/>
        <v>35.797251487954192</v>
      </c>
      <c r="S81" s="648">
        <f t="shared" si="49"/>
        <v>40.911144557661942</v>
      </c>
      <c r="T81" s="648">
        <f t="shared" si="49"/>
        <v>46.025037627369684</v>
      </c>
      <c r="U81" s="648">
        <f t="shared" si="49"/>
        <v>51.138930697077427</v>
      </c>
      <c r="V81" s="648">
        <f t="shared" si="49"/>
        <v>56.25282376678517</v>
      </c>
      <c r="W81" s="253"/>
      <c r="X81" s="245"/>
      <c r="Y81" s="254"/>
      <c r="Z81" s="255"/>
      <c r="AA81" s="20"/>
      <c r="AB81" s="20"/>
      <c r="AC81" s="20"/>
      <c r="AD81" s="20"/>
      <c r="AE81" s="247"/>
      <c r="AF81" s="253"/>
      <c r="AG81" s="245"/>
      <c r="AH81" s="254"/>
      <c r="AI81" s="255"/>
      <c r="AJ81" s="261"/>
      <c r="AK81" s="261"/>
      <c r="AL81" s="261"/>
      <c r="AM81" s="261"/>
    </row>
    <row r="82" spans="1:39" ht="30.75" thickTop="1">
      <c r="A82" s="295" t="s">
        <v>821</v>
      </c>
      <c r="B82" s="331">
        <f t="shared" si="47"/>
        <v>42.402011672418155</v>
      </c>
      <c r="C82" s="332">
        <v>99</v>
      </c>
      <c r="D82" s="331">
        <v>27.8</v>
      </c>
      <c r="E82" s="333">
        <f t="shared" si="48"/>
        <v>51.397478851467305</v>
      </c>
      <c r="F82" s="333">
        <f t="shared" ref="F82" si="52">MIN(B82,E82)</f>
        <v>42.402011672418155</v>
      </c>
      <c r="H82" s="279"/>
      <c r="N82" s="103"/>
      <c r="O82" s="103"/>
      <c r="P82" s="295" t="s">
        <v>821</v>
      </c>
      <c r="Q82" s="649">
        <f t="shared" si="49"/>
        <v>19.570159233423762</v>
      </c>
      <c r="R82" s="649">
        <f t="shared" si="49"/>
        <v>22.831852438994389</v>
      </c>
      <c r="S82" s="649">
        <f t="shared" si="49"/>
        <v>26.093545644565019</v>
      </c>
      <c r="T82" s="649">
        <f t="shared" si="49"/>
        <v>29.355238850135645</v>
      </c>
      <c r="U82" s="649">
        <f t="shared" si="49"/>
        <v>32.616932055706272</v>
      </c>
      <c r="V82" s="649">
        <f t="shared" si="49"/>
        <v>35.878625261276902</v>
      </c>
      <c r="W82" s="253"/>
      <c r="X82" s="245"/>
      <c r="Y82" s="254"/>
      <c r="Z82" s="255"/>
      <c r="AA82" s="20"/>
      <c r="AB82" s="20"/>
      <c r="AC82" s="20"/>
      <c r="AD82" s="20"/>
      <c r="AE82" s="247"/>
      <c r="AF82" s="253"/>
      <c r="AG82" s="245"/>
      <c r="AH82" s="254"/>
      <c r="AI82" s="255"/>
      <c r="AJ82" s="261"/>
      <c r="AK82" s="261"/>
      <c r="AL82" s="261"/>
      <c r="AM82" s="261"/>
    </row>
    <row r="83" spans="1:39" ht="30">
      <c r="A83" s="295" t="s">
        <v>826</v>
      </c>
      <c r="B83" s="282">
        <f t="shared" si="47"/>
        <v>79.124951595789881</v>
      </c>
      <c r="C83" s="323">
        <v>99</v>
      </c>
      <c r="D83" s="282">
        <v>27.8</v>
      </c>
      <c r="E83" s="324">
        <f t="shared" si="48"/>
        <v>92.415567140008505</v>
      </c>
      <c r="F83" s="324">
        <f t="shared" si="50"/>
        <v>79.124951595789881</v>
      </c>
      <c r="H83" s="279"/>
      <c r="N83" s="103"/>
      <c r="O83" s="103"/>
      <c r="P83" s="295" t="s">
        <v>826</v>
      </c>
      <c r="Q83" s="649">
        <f t="shared" si="49"/>
        <v>36.519208428826097</v>
      </c>
      <c r="R83" s="649">
        <f t="shared" si="49"/>
        <v>42.605743166963784</v>
      </c>
      <c r="S83" s="649">
        <f t="shared" si="49"/>
        <v>48.692277905101463</v>
      </c>
      <c r="T83" s="649">
        <f t="shared" si="49"/>
        <v>54.778812643239149</v>
      </c>
      <c r="U83" s="649">
        <f t="shared" si="49"/>
        <v>60.865347381376829</v>
      </c>
      <c r="V83" s="649">
        <f t="shared" si="49"/>
        <v>66.951882119514522</v>
      </c>
      <c r="W83" s="253"/>
      <c r="X83" s="245"/>
      <c r="Y83" s="254"/>
      <c r="Z83" s="255"/>
      <c r="AA83" s="20"/>
      <c r="AB83" s="20"/>
      <c r="AC83" s="20"/>
      <c r="AD83" s="20"/>
      <c r="AE83" s="247"/>
      <c r="AF83" s="253"/>
      <c r="AG83" s="245"/>
      <c r="AH83" s="254"/>
      <c r="AI83" s="255"/>
      <c r="AJ83" s="261"/>
      <c r="AK83" s="261"/>
      <c r="AL83" s="261"/>
      <c r="AM83" s="261"/>
    </row>
    <row r="84" spans="1:39" ht="30.75" thickBot="1">
      <c r="A84" s="288" t="s">
        <v>301</v>
      </c>
      <c r="B84" s="289">
        <f t="shared" si="47"/>
        <v>97.432194165047477</v>
      </c>
      <c r="C84" s="327">
        <v>99</v>
      </c>
      <c r="D84" s="289">
        <v>27.8</v>
      </c>
      <c r="E84" s="328">
        <f t="shared" si="48"/>
        <v>92.415567140008505</v>
      </c>
      <c r="F84" s="328">
        <f t="shared" si="50"/>
        <v>92.415567140008505</v>
      </c>
      <c r="H84" s="279"/>
      <c r="N84" s="103"/>
      <c r="O84" s="103"/>
      <c r="P84" s="288" t="s">
        <v>301</v>
      </c>
      <c r="Q84" s="648">
        <f t="shared" si="49"/>
        <v>42.653338680003927</v>
      </c>
      <c r="R84" s="648">
        <f t="shared" si="49"/>
        <v>49.762228460004579</v>
      </c>
      <c r="S84" s="648">
        <f t="shared" si="49"/>
        <v>56.871118240005231</v>
      </c>
      <c r="T84" s="648">
        <f t="shared" si="49"/>
        <v>63.980008020005883</v>
      </c>
      <c r="U84" s="648">
        <f t="shared" si="49"/>
        <v>71.088897800006535</v>
      </c>
      <c r="V84" s="648">
        <f t="shared" si="49"/>
        <v>78.197787580007201</v>
      </c>
      <c r="W84" s="253"/>
      <c r="X84" s="245"/>
      <c r="Y84" s="254"/>
      <c r="Z84" s="255"/>
      <c r="AA84" s="20"/>
      <c r="AB84" s="20"/>
      <c r="AC84" s="20"/>
      <c r="AD84" s="20"/>
      <c r="AE84" s="247"/>
      <c r="AF84" s="253"/>
      <c r="AG84" s="245"/>
      <c r="AH84" s="254"/>
      <c r="AI84" s="255"/>
      <c r="AJ84" s="261"/>
      <c r="AK84" s="261"/>
      <c r="AL84" s="261"/>
      <c r="AM84" s="261"/>
    </row>
    <row r="85" spans="1:39" ht="30.75" thickTop="1">
      <c r="A85" s="295" t="s">
        <v>822</v>
      </c>
      <c r="B85" s="296">
        <f t="shared" si="47"/>
        <v>42.402011672418155</v>
      </c>
      <c r="C85" s="340">
        <v>99</v>
      </c>
      <c r="D85" s="296">
        <v>68.400000000000006</v>
      </c>
      <c r="E85" s="341">
        <f t="shared" si="48"/>
        <v>52.076905395084687</v>
      </c>
      <c r="F85" s="341">
        <f t="shared" ref="F85" si="53">MIN(B85,E85)</f>
        <v>42.402011672418155</v>
      </c>
      <c r="H85" s="279"/>
      <c r="N85" s="103"/>
      <c r="O85" s="103"/>
      <c r="P85" s="295" t="s">
        <v>822</v>
      </c>
      <c r="Q85" s="649">
        <f t="shared" si="49"/>
        <v>19.570159233423762</v>
      </c>
      <c r="R85" s="649">
        <f t="shared" si="49"/>
        <v>22.831852438994389</v>
      </c>
      <c r="S85" s="649">
        <f t="shared" si="49"/>
        <v>26.093545644565019</v>
      </c>
      <c r="T85" s="649">
        <f t="shared" si="49"/>
        <v>29.355238850135645</v>
      </c>
      <c r="U85" s="649">
        <f t="shared" si="49"/>
        <v>32.616932055706272</v>
      </c>
      <c r="V85" s="649">
        <f t="shared" si="49"/>
        <v>35.878625261276902</v>
      </c>
      <c r="W85" s="253"/>
      <c r="X85" s="245"/>
      <c r="Y85" s="254"/>
      <c r="Z85" s="255"/>
      <c r="AA85" s="20"/>
      <c r="AB85" s="20"/>
      <c r="AC85" s="20"/>
      <c r="AD85" s="20"/>
      <c r="AE85" s="247"/>
      <c r="AF85" s="253"/>
      <c r="AG85" s="245"/>
      <c r="AH85" s="254"/>
      <c r="AI85" s="255"/>
      <c r="AJ85" s="261"/>
      <c r="AK85" s="261"/>
      <c r="AL85" s="261"/>
      <c r="AM85" s="261"/>
    </row>
    <row r="86" spans="1:39" ht="30">
      <c r="A86" s="295" t="s">
        <v>827</v>
      </c>
      <c r="B86" s="296">
        <f t="shared" si="47"/>
        <v>118.23647695999895</v>
      </c>
      <c r="C86" s="340">
        <v>99</v>
      </c>
      <c r="D86" s="296">
        <v>68.400000000000006</v>
      </c>
      <c r="E86" s="341">
        <f t="shared" si="48"/>
        <v>142.69127424794846</v>
      </c>
      <c r="F86" s="341">
        <f t="shared" si="50"/>
        <v>118.23647695999895</v>
      </c>
      <c r="H86" s="279"/>
      <c r="N86" s="103"/>
      <c r="O86" s="103"/>
      <c r="P86" s="295" t="s">
        <v>827</v>
      </c>
      <c r="Q86" s="649">
        <f t="shared" si="49"/>
        <v>54.570681673845669</v>
      </c>
      <c r="R86" s="649">
        <f t="shared" si="49"/>
        <v>63.665795286153283</v>
      </c>
      <c r="S86" s="649">
        <f t="shared" si="49"/>
        <v>72.760908898460897</v>
      </c>
      <c r="T86" s="649">
        <f t="shared" si="49"/>
        <v>81.856022510768497</v>
      </c>
      <c r="U86" s="649">
        <f t="shared" si="49"/>
        <v>90.951136123076111</v>
      </c>
      <c r="V86" s="649">
        <f t="shared" si="49"/>
        <v>99</v>
      </c>
      <c r="W86" s="253"/>
      <c r="X86" s="245"/>
      <c r="Y86" s="254"/>
      <c r="Z86" s="255"/>
      <c r="AA86" s="20"/>
      <c r="AB86" s="20"/>
      <c r="AC86" s="20"/>
      <c r="AD86" s="20"/>
      <c r="AE86" s="247"/>
      <c r="AF86" s="253"/>
      <c r="AG86" s="245"/>
      <c r="AH86" s="254"/>
      <c r="AI86" s="255"/>
      <c r="AJ86" s="261"/>
      <c r="AK86" s="261"/>
      <c r="AL86" s="261"/>
      <c r="AM86" s="261"/>
    </row>
    <row r="87" spans="1:39" ht="30.75" thickBot="1">
      <c r="A87" s="288" t="s">
        <v>304</v>
      </c>
      <c r="B87" s="289">
        <f t="shared" si="47"/>
        <v>145.59300382776783</v>
      </c>
      <c r="C87" s="327">
        <v>99</v>
      </c>
      <c r="D87" s="289">
        <v>68.400000000000006</v>
      </c>
      <c r="E87" s="328">
        <f t="shared" si="48"/>
        <v>142.69127424794846</v>
      </c>
      <c r="F87" s="328">
        <f t="shared" si="50"/>
        <v>142.69127424794846</v>
      </c>
      <c r="H87" s="279"/>
      <c r="N87" s="103"/>
      <c r="O87" s="103"/>
      <c r="P87" s="288" t="s">
        <v>304</v>
      </c>
      <c r="Q87" s="648">
        <f t="shared" si="49"/>
        <v>65.857511191360828</v>
      </c>
      <c r="R87" s="648">
        <f t="shared" si="49"/>
        <v>76.833763056587628</v>
      </c>
      <c r="S87" s="648">
        <f t="shared" si="49"/>
        <v>87.810014921814428</v>
      </c>
      <c r="T87" s="648">
        <f t="shared" si="49"/>
        <v>98.786266787041242</v>
      </c>
      <c r="U87" s="648">
        <f t="shared" si="49"/>
        <v>99</v>
      </c>
      <c r="V87" s="648">
        <f t="shared" si="49"/>
        <v>99</v>
      </c>
      <c r="W87" s="253"/>
      <c r="X87" s="245"/>
      <c r="Y87" s="254"/>
      <c r="Z87" s="255"/>
      <c r="AA87" s="20"/>
      <c r="AB87" s="20"/>
      <c r="AC87" s="20"/>
      <c r="AD87" s="20"/>
      <c r="AE87" s="247"/>
      <c r="AF87" s="253"/>
      <c r="AG87" s="245"/>
      <c r="AH87" s="254"/>
      <c r="AI87" s="255"/>
      <c r="AJ87" s="261"/>
      <c r="AK87" s="261"/>
      <c r="AL87" s="261"/>
      <c r="AM87" s="261"/>
    </row>
    <row r="88" spans="1:39" ht="45.75" thickTop="1">
      <c r="A88" s="281" t="s">
        <v>823</v>
      </c>
      <c r="B88" s="282">
        <f t="shared" si="47"/>
        <v>130.93257261945729</v>
      </c>
      <c r="C88" s="323">
        <v>180</v>
      </c>
      <c r="D88" s="282">
        <v>58</v>
      </c>
      <c r="E88" s="324">
        <f t="shared" si="48"/>
        <v>155.85472248368981</v>
      </c>
      <c r="F88" s="324">
        <f t="shared" ref="F88" si="54">MIN(B88,E88)</f>
        <v>130.93257261945729</v>
      </c>
      <c r="H88" s="279"/>
      <c r="N88" s="103"/>
      <c r="O88" s="103"/>
      <c r="P88" s="281" t="s">
        <v>823</v>
      </c>
      <c r="Q88" s="647">
        <f t="shared" si="49"/>
        <v>60.430418132057206</v>
      </c>
      <c r="R88" s="647">
        <f t="shared" si="49"/>
        <v>70.502154487400063</v>
      </c>
      <c r="S88" s="647">
        <f t="shared" si="49"/>
        <v>80.573890842742955</v>
      </c>
      <c r="T88" s="647">
        <f t="shared" si="49"/>
        <v>90.645627198085819</v>
      </c>
      <c r="U88" s="647">
        <f t="shared" si="49"/>
        <v>100.71736355342868</v>
      </c>
      <c r="V88" s="647">
        <f t="shared" si="49"/>
        <v>110.78909990877156</v>
      </c>
      <c r="W88" s="253"/>
      <c r="X88" s="245"/>
      <c r="Y88" s="254"/>
      <c r="Z88" s="255"/>
      <c r="AA88" s="20"/>
      <c r="AB88" s="20"/>
      <c r="AC88" s="20"/>
      <c r="AD88" s="20"/>
      <c r="AE88" s="247"/>
      <c r="AF88" s="253"/>
      <c r="AG88" s="245"/>
      <c r="AH88" s="254"/>
      <c r="AI88" s="255"/>
      <c r="AJ88" s="261"/>
      <c r="AK88" s="261"/>
      <c r="AL88" s="261"/>
      <c r="AM88" s="261"/>
    </row>
    <row r="89" spans="1:39" ht="44.45" customHeight="1">
      <c r="A89" s="281" t="s">
        <v>828</v>
      </c>
      <c r="B89" s="282">
        <f>H50+B91</f>
        <v>170.93257261945729</v>
      </c>
      <c r="C89" s="323">
        <v>180</v>
      </c>
      <c r="D89" s="282">
        <v>58</v>
      </c>
      <c r="E89" s="324">
        <f>1/SQRT((1/H70)^2+(1/(D89*F70))^2)+B91</f>
        <v>195.85472248368981</v>
      </c>
      <c r="F89" s="324">
        <f t="shared" si="50"/>
        <v>170.93257261945729</v>
      </c>
      <c r="P89" s="281" t="s">
        <v>828</v>
      </c>
      <c r="Q89" s="647">
        <f t="shared" si="49"/>
        <v>78.891956593595665</v>
      </c>
      <c r="R89" s="647">
        <f t="shared" si="49"/>
        <v>92.04061602586161</v>
      </c>
      <c r="S89" s="647">
        <f t="shared" si="49"/>
        <v>105.18927545812757</v>
      </c>
      <c r="T89" s="647">
        <f t="shared" si="49"/>
        <v>118.33793489039351</v>
      </c>
      <c r="U89" s="647">
        <f t="shared" si="49"/>
        <v>131.48659432265944</v>
      </c>
      <c r="V89" s="647">
        <f t="shared" si="49"/>
        <v>144.6352537549254</v>
      </c>
      <c r="W89" s="253"/>
      <c r="X89" s="245"/>
      <c r="Y89" s="254"/>
      <c r="Z89" s="255"/>
      <c r="AA89" s="20"/>
      <c r="AB89" s="20"/>
      <c r="AC89" s="20"/>
      <c r="AD89" s="20"/>
      <c r="AE89" s="247"/>
      <c r="AF89" s="253"/>
      <c r="AG89" s="245"/>
      <c r="AH89" s="254"/>
      <c r="AI89" s="255"/>
      <c r="AJ89" s="261"/>
      <c r="AK89" s="261"/>
      <c r="AL89" s="261"/>
      <c r="AM89" s="262"/>
    </row>
    <row r="90" spans="1:39" ht="45">
      <c r="A90" s="302" t="s">
        <v>306</v>
      </c>
      <c r="B90" s="303">
        <f>H51+B91</f>
        <v>201.2266115896989</v>
      </c>
      <c r="C90" s="323">
        <v>180</v>
      </c>
      <c r="D90" s="303">
        <v>58</v>
      </c>
      <c r="E90" s="318">
        <f>1/SQRT((1/H71)^2+(1/(D90*F71))^2)+B91</f>
        <v>195.85472248368981</v>
      </c>
      <c r="F90" s="318">
        <f t="shared" si="50"/>
        <v>195.85472248368981</v>
      </c>
      <c r="P90" s="302" t="s">
        <v>306</v>
      </c>
      <c r="Q90" s="650">
        <f t="shared" si="49"/>
        <v>90.394487300164513</v>
      </c>
      <c r="R90" s="650">
        <f t="shared" si="49"/>
        <v>105.46023518352528</v>
      </c>
      <c r="S90" s="650">
        <f t="shared" si="49"/>
        <v>120.52598306688604</v>
      </c>
      <c r="T90" s="650">
        <f t="shared" si="49"/>
        <v>135.59173095024678</v>
      </c>
      <c r="U90" s="650">
        <f t="shared" si="49"/>
        <v>150.65747883360754</v>
      </c>
      <c r="V90" s="650">
        <f t="shared" si="49"/>
        <v>165.7232267169683</v>
      </c>
      <c r="W90" s="253"/>
      <c r="X90" s="245"/>
      <c r="Y90" s="254"/>
      <c r="Z90" s="255"/>
      <c r="AA90" s="20"/>
      <c r="AB90" s="20"/>
      <c r="AC90" s="20"/>
      <c r="AD90" s="20"/>
      <c r="AE90" s="247"/>
      <c r="AF90" s="253"/>
      <c r="AG90" s="245"/>
      <c r="AH90" s="254"/>
      <c r="AI90" s="255"/>
      <c r="AJ90" s="261"/>
      <c r="AK90" s="261"/>
      <c r="AL90" s="261"/>
      <c r="AM90" s="262"/>
    </row>
    <row r="91" spans="1:39">
      <c r="A91" s="23" t="s">
        <v>316</v>
      </c>
      <c r="B91" s="34">
        <v>40</v>
      </c>
    </row>
    <row r="93" spans="1:39" ht="26.25">
      <c r="A93" s="264" t="s">
        <v>289</v>
      </c>
      <c r="B93" s="264"/>
    </row>
    <row r="95" spans="1:39" ht="18.75">
      <c r="A95" s="56" t="s">
        <v>84</v>
      </c>
      <c r="B95" s="56"/>
      <c r="E95" s="232"/>
      <c r="R95" s="2"/>
      <c r="S95" s="2"/>
      <c r="T95" s="2"/>
    </row>
    <row r="96" spans="1:39">
      <c r="A96" s="21" t="s">
        <v>37</v>
      </c>
      <c r="B96" t="str">
        <f>B26</f>
        <v>GL24h</v>
      </c>
      <c r="D96" s="232"/>
      <c r="R96" s="2"/>
      <c r="S96" s="2"/>
      <c r="T96" s="2"/>
    </row>
    <row r="97" spans="1:20">
      <c r="A97" s="23" t="s">
        <v>276</v>
      </c>
      <c r="B97" s="24">
        <f>VLOOKUP(B96,'RICON_RICON-S-EK_GIGANT_WALCO '!V7:W16,2,FALSE)</f>
        <v>385</v>
      </c>
      <c r="C97" t="s">
        <v>40</v>
      </c>
      <c r="R97" s="2"/>
      <c r="S97" s="2"/>
      <c r="T97" s="2"/>
    </row>
    <row r="98" spans="1:20" ht="18">
      <c r="A98" s="23" t="s">
        <v>62</v>
      </c>
      <c r="B98" s="53">
        <v>35000</v>
      </c>
      <c r="C98" s="53">
        <v>20000</v>
      </c>
      <c r="D98" t="s">
        <v>63</v>
      </c>
      <c r="R98" s="2"/>
      <c r="S98" s="2"/>
      <c r="T98" s="2"/>
    </row>
    <row r="99" spans="1:20">
      <c r="A99" s="23" t="s">
        <v>64</v>
      </c>
      <c r="B99" s="53">
        <v>10</v>
      </c>
      <c r="C99" s="53">
        <v>8</v>
      </c>
      <c r="D99" t="s">
        <v>65</v>
      </c>
      <c r="R99" s="2"/>
      <c r="S99" s="2"/>
      <c r="T99" s="2"/>
    </row>
    <row r="100" spans="1:20" ht="18">
      <c r="A100" s="23" t="s">
        <v>66</v>
      </c>
      <c r="B100" s="265">
        <f>0.033*$B$97*B99^-0.3</f>
        <v>6.3675838032344938</v>
      </c>
      <c r="C100" s="265">
        <f>0.033*$B$97*C99^-0.3</f>
        <v>6.808440920761802</v>
      </c>
      <c r="D100" t="s">
        <v>67</v>
      </c>
      <c r="R100" s="2"/>
      <c r="S100" s="2"/>
      <c r="T100" s="2"/>
    </row>
    <row r="101" spans="1:20" ht="18">
      <c r="A101" s="23" t="s">
        <v>68</v>
      </c>
      <c r="B101" s="76">
        <f>0.082*B99^-0.3*$B$97</f>
        <v>15.822480965612984</v>
      </c>
      <c r="C101" s="76">
        <f>0.082*C99^-0.3*$B$97</f>
        <v>16.917944106135387</v>
      </c>
      <c r="D101" t="s">
        <v>67</v>
      </c>
      <c r="R101" s="2"/>
      <c r="S101" s="2"/>
      <c r="T101" s="2"/>
    </row>
    <row r="102" spans="1:20">
      <c r="R102" s="2"/>
      <c r="S102" s="2"/>
      <c r="T102" s="2"/>
    </row>
    <row r="103" spans="1:20">
      <c r="A103" s="3"/>
      <c r="B103" s="3"/>
      <c r="E103" s="232"/>
      <c r="R103" s="2"/>
      <c r="S103" s="2"/>
      <c r="T103" s="2"/>
    </row>
    <row r="104" spans="1:20">
      <c r="A104" s="3"/>
      <c r="B104" s="3"/>
      <c r="R104" s="2"/>
      <c r="S104" s="2"/>
      <c r="T104" s="2"/>
    </row>
    <row r="105" spans="1:20" ht="18">
      <c r="A105" s="4" t="s">
        <v>2</v>
      </c>
      <c r="B105" s="5" t="s">
        <v>291</v>
      </c>
      <c r="C105" s="5" t="s">
        <v>43</v>
      </c>
      <c r="D105" s="5" t="s">
        <v>9</v>
      </c>
      <c r="E105" s="5" t="s">
        <v>44</v>
      </c>
      <c r="F105" s="5" t="s">
        <v>59</v>
      </c>
      <c r="G105" s="180" t="s">
        <v>60</v>
      </c>
      <c r="H105" s="5" t="s">
        <v>230</v>
      </c>
      <c r="I105" s="105"/>
      <c r="K105" s="105"/>
      <c r="L105" s="105"/>
      <c r="R105" s="2"/>
      <c r="S105" s="2"/>
      <c r="T105" s="2"/>
    </row>
    <row r="106" spans="1:20">
      <c r="A106" s="8"/>
      <c r="B106" s="9" t="s">
        <v>293</v>
      </c>
      <c r="C106" s="9" t="s">
        <v>19</v>
      </c>
      <c r="D106" s="9" t="s">
        <v>18</v>
      </c>
      <c r="E106" s="9" t="s">
        <v>18</v>
      </c>
      <c r="F106" s="9" t="s">
        <v>17</v>
      </c>
      <c r="G106" s="182" t="s">
        <v>17</v>
      </c>
      <c r="H106" s="62" t="s">
        <v>17</v>
      </c>
      <c r="I106" s="105"/>
      <c r="K106" s="105"/>
      <c r="L106" s="105"/>
      <c r="R106" s="2"/>
      <c r="S106" s="2"/>
      <c r="T106" s="2"/>
    </row>
    <row r="107" spans="1:20">
      <c r="A107" s="233" t="s">
        <v>279</v>
      </c>
      <c r="B107" s="235">
        <v>160</v>
      </c>
      <c r="C107" s="234">
        <v>10</v>
      </c>
      <c r="D107" s="234">
        <v>8</v>
      </c>
      <c r="E107" s="310">
        <f>B107-15</f>
        <v>145</v>
      </c>
      <c r="F107" s="310">
        <f>($F$118*0.52*SQRT(D107)*E107^0.9*$B$97^0.8)/1000</f>
        <v>4.5527036065307724</v>
      </c>
      <c r="G107" s="310">
        <f>MIN(2.3*SQRT($C$98*$C$100*$C$99)/1000+(F107/4),$C$99*$C$100*E107/1000,$C$99*$C$100*E107/1000*(SQRT(2+4*$C$98/($C$99*$C$100*E107^2))-1)+F107/4)</f>
        <v>3.5387309198176098</v>
      </c>
      <c r="H107" s="236">
        <f t="shared" ref="H107:H116" si="55">G107</f>
        <v>3.5387309198176098</v>
      </c>
      <c r="I107" s="343"/>
      <c r="K107" s="311"/>
      <c r="L107" s="311"/>
      <c r="R107" s="2"/>
      <c r="S107" s="2"/>
      <c r="T107" s="2"/>
    </row>
    <row r="108" spans="1:20" ht="15.75" thickBot="1">
      <c r="A108" s="237" t="s">
        <v>280</v>
      </c>
      <c r="B108" s="228">
        <v>240</v>
      </c>
      <c r="C108" s="266">
        <v>10</v>
      </c>
      <c r="D108" s="266">
        <v>8</v>
      </c>
      <c r="E108" s="344">
        <f t="shared" ref="E108:E110" si="56">B108-15</f>
        <v>225</v>
      </c>
      <c r="F108" s="344">
        <f t="shared" ref="F108:F116" si="57">($F$118*0.52*SQRT(D108)*E108^0.9*$B$97^0.8)/1000</f>
        <v>6.760867765807113</v>
      </c>
      <c r="G108" s="344">
        <f>MIN(2.3*SQRT($C$98*$C$100*$C$99)/1000+(F108/4),$C$99*$C$100*E108/1000,$C$99*$C$100*E108/1000*(SQRT(2+4*$C$98/($C$99*$C$100*E108^2))-1)+F108/4)</f>
        <v>4.0907719596366956</v>
      </c>
      <c r="H108" s="268">
        <f t="shared" si="55"/>
        <v>4.0907719596366956</v>
      </c>
      <c r="I108" s="343"/>
      <c r="K108" s="311"/>
      <c r="L108" s="311"/>
      <c r="R108" s="2"/>
      <c r="S108" s="2"/>
      <c r="T108" s="2"/>
    </row>
    <row r="109" spans="1:20" ht="15.75" thickTop="1">
      <c r="A109" s="257" t="s">
        <v>281</v>
      </c>
      <c r="B109" s="241">
        <v>160</v>
      </c>
      <c r="C109" s="258">
        <v>16</v>
      </c>
      <c r="D109" s="258">
        <v>8</v>
      </c>
      <c r="E109" s="321">
        <f t="shared" si="56"/>
        <v>145</v>
      </c>
      <c r="F109" s="321">
        <f t="shared" si="57"/>
        <v>4.5527036065307724</v>
      </c>
      <c r="G109" s="321">
        <f>MIN(2.3*SQRT($C$98*$C$100*$C$99)/1000+(F109/4),$C$99*$C$100*E109/1000,$C$99*$C$100*E109/1000*(SQRT(2+4*$C$98/($C$99*$C$100*E109^2))-1)+F109/4)</f>
        <v>3.5387309198176098</v>
      </c>
      <c r="H109" s="260">
        <f t="shared" si="55"/>
        <v>3.5387309198176098</v>
      </c>
      <c r="I109" s="122"/>
      <c r="K109" s="315"/>
      <c r="L109" s="315"/>
      <c r="R109" s="2"/>
      <c r="S109" s="2"/>
      <c r="T109" s="2"/>
    </row>
    <row r="110" spans="1:20" ht="15.75" thickBot="1">
      <c r="A110" s="237" t="s">
        <v>282</v>
      </c>
      <c r="B110" s="228">
        <v>240</v>
      </c>
      <c r="C110" s="229">
        <v>16</v>
      </c>
      <c r="D110" s="229">
        <v>8</v>
      </c>
      <c r="E110" s="312">
        <f t="shared" si="56"/>
        <v>225</v>
      </c>
      <c r="F110" s="312">
        <f t="shared" si="57"/>
        <v>6.760867765807113</v>
      </c>
      <c r="G110" s="312">
        <f>MIN(2.3*SQRT($C$98*$C$100*$C$99)/1000+(F110/4),$C$99*$C$100*E110/1000,$C$99*$C$100*E110/1000*(SQRT(2+4*$C$98/($C$99*$C$100*E110^2))-1)+F110/4)</f>
        <v>4.0907719596366956</v>
      </c>
      <c r="H110" s="230">
        <f t="shared" si="55"/>
        <v>4.0907719596366956</v>
      </c>
      <c r="I110" s="122"/>
      <c r="K110" s="315"/>
      <c r="L110" s="315"/>
      <c r="R110" s="2"/>
      <c r="S110" s="2"/>
      <c r="T110" s="2"/>
    </row>
    <row r="111" spans="1:20" ht="15.75" thickTop="1">
      <c r="A111" s="257" t="s">
        <v>283</v>
      </c>
      <c r="B111" s="241">
        <v>200</v>
      </c>
      <c r="C111" s="240">
        <v>16</v>
      </c>
      <c r="D111" s="240">
        <v>10</v>
      </c>
      <c r="E111" s="313">
        <f>B111-20</f>
        <v>180</v>
      </c>
      <c r="F111" s="313">
        <f t="shared" si="57"/>
        <v>6.1835579694324156</v>
      </c>
      <c r="G111" s="313">
        <f t="shared" ref="G111:G116" si="58">MIN(2.3*SQRT($B$98*$B$100*$B$99)/1000+(F111/4),$B$99*$B$100*E111/1000,$B$99*$B$100*E111/1000*(SQRT(2+4*$B$98/($B$99*$B$100*E111^2))-1)+F111/4)</f>
        <v>4.9794854807773392</v>
      </c>
      <c r="H111" s="242">
        <f t="shared" si="55"/>
        <v>4.9794854807773392</v>
      </c>
      <c r="I111" s="122"/>
      <c r="K111" s="315"/>
      <c r="L111" s="315"/>
      <c r="R111" s="2"/>
      <c r="S111" s="2"/>
      <c r="T111" s="2"/>
    </row>
    <row r="112" spans="1:20" ht="15.75" thickBot="1">
      <c r="A112" s="237" t="s">
        <v>284</v>
      </c>
      <c r="B112" s="228">
        <v>300</v>
      </c>
      <c r="C112" s="229">
        <v>16</v>
      </c>
      <c r="D112" s="229">
        <v>10</v>
      </c>
      <c r="E112" s="312">
        <f t="shared" ref="E112:E116" si="59">B112-20</f>
        <v>280</v>
      </c>
      <c r="F112" s="312">
        <f t="shared" si="57"/>
        <v>9.2031268937541277</v>
      </c>
      <c r="G112" s="312">
        <f t="shared" si="58"/>
        <v>5.7343777118577677</v>
      </c>
      <c r="H112" s="230">
        <f t="shared" si="55"/>
        <v>5.7343777118577677</v>
      </c>
      <c r="I112" s="122"/>
      <c r="K112" s="315"/>
      <c r="L112" s="315"/>
      <c r="R112" s="2"/>
      <c r="S112" s="2"/>
      <c r="T112" s="2"/>
    </row>
    <row r="113" spans="1:20" ht="15.75" thickTop="1">
      <c r="A113" s="239" t="s">
        <v>285</v>
      </c>
      <c r="B113" s="241">
        <v>200</v>
      </c>
      <c r="C113" s="240">
        <v>25</v>
      </c>
      <c r="D113" s="240">
        <v>10</v>
      </c>
      <c r="E113" s="313">
        <f t="shared" si="59"/>
        <v>180</v>
      </c>
      <c r="F113" s="313">
        <f t="shared" si="57"/>
        <v>6.1835579694324156</v>
      </c>
      <c r="G113" s="313">
        <f t="shared" si="58"/>
        <v>4.9794854807773392</v>
      </c>
      <c r="H113" s="242">
        <f t="shared" si="55"/>
        <v>4.9794854807773392</v>
      </c>
      <c r="I113" s="122"/>
      <c r="K113" s="315"/>
      <c r="L113" s="315"/>
      <c r="R113" s="2"/>
      <c r="S113" s="2"/>
      <c r="T113" s="2"/>
    </row>
    <row r="114" spans="1:20" ht="15.75" thickBot="1">
      <c r="A114" s="237" t="s">
        <v>286</v>
      </c>
      <c r="B114" s="228">
        <v>300</v>
      </c>
      <c r="C114" s="229">
        <v>25</v>
      </c>
      <c r="D114" s="229">
        <v>10</v>
      </c>
      <c r="E114" s="312">
        <f t="shared" si="59"/>
        <v>280</v>
      </c>
      <c r="F114" s="312">
        <f t="shared" si="57"/>
        <v>9.2031268937541277</v>
      </c>
      <c r="G114" s="312">
        <f t="shared" si="58"/>
        <v>5.7343777118577677</v>
      </c>
      <c r="H114" s="230">
        <f t="shared" si="55"/>
        <v>5.7343777118577677</v>
      </c>
      <c r="I114" s="122"/>
      <c r="K114" s="315"/>
      <c r="L114" s="315"/>
      <c r="R114" s="2"/>
      <c r="S114" s="2"/>
      <c r="T114" s="2"/>
    </row>
    <row r="115" spans="1:20" ht="15.75" thickTop="1">
      <c r="A115" s="345" t="s">
        <v>311</v>
      </c>
      <c r="B115" s="235">
        <v>200</v>
      </c>
      <c r="C115" s="234">
        <v>28</v>
      </c>
      <c r="D115" s="234">
        <v>10</v>
      </c>
      <c r="E115" s="310">
        <f t="shared" si="59"/>
        <v>180</v>
      </c>
      <c r="F115" s="310">
        <f t="shared" si="57"/>
        <v>6.1835579694324156</v>
      </c>
      <c r="G115" s="310">
        <f t="shared" si="58"/>
        <v>4.9794854807773392</v>
      </c>
      <c r="H115" s="236">
        <f t="shared" si="55"/>
        <v>4.9794854807773392</v>
      </c>
      <c r="I115" s="122"/>
      <c r="K115" s="315"/>
      <c r="L115" s="315"/>
      <c r="R115" s="2"/>
      <c r="S115" s="2"/>
      <c r="T115" s="2"/>
    </row>
    <row r="116" spans="1:20">
      <c r="A116" s="316" t="s">
        <v>312</v>
      </c>
      <c r="B116" s="303">
        <v>300</v>
      </c>
      <c r="C116" s="63">
        <v>28</v>
      </c>
      <c r="D116" s="63">
        <v>10</v>
      </c>
      <c r="E116" s="317">
        <f t="shared" si="59"/>
        <v>280</v>
      </c>
      <c r="F116" s="317">
        <f t="shared" si="57"/>
        <v>9.2031268937541277</v>
      </c>
      <c r="G116" s="317">
        <f t="shared" si="58"/>
        <v>5.7343777118577677</v>
      </c>
      <c r="H116" s="318">
        <f t="shared" si="55"/>
        <v>5.7343777118577677</v>
      </c>
      <c r="I116" s="72"/>
      <c r="K116" s="320"/>
      <c r="L116" s="320"/>
      <c r="R116" s="2"/>
      <c r="S116" s="2"/>
      <c r="T116" s="2"/>
    </row>
    <row r="117" spans="1:20">
      <c r="E117" s="23" t="s">
        <v>307</v>
      </c>
      <c r="F117" s="14">
        <v>0</v>
      </c>
      <c r="J117" s="320"/>
      <c r="R117" s="2"/>
      <c r="S117" s="2"/>
      <c r="T117" s="2"/>
    </row>
    <row r="118" spans="1:20">
      <c r="E118" s="23" t="s">
        <v>308</v>
      </c>
      <c r="F118" s="309">
        <f>IF(F117&gt;45,1,0.3+(0.7*F117)/45)</f>
        <v>0.3</v>
      </c>
      <c r="J118" s="320"/>
      <c r="R118" s="2"/>
      <c r="S118" s="2"/>
      <c r="T118" s="2"/>
    </row>
    <row r="119" spans="1:20">
      <c r="A119" s="3"/>
      <c r="B119" s="3"/>
      <c r="J119" s="320"/>
      <c r="R119" s="2"/>
      <c r="S119" s="2"/>
      <c r="T119" s="2"/>
    </row>
    <row r="120" spans="1:20" ht="18">
      <c r="A120" s="4" t="s">
        <v>2</v>
      </c>
      <c r="B120" s="4" t="s">
        <v>317</v>
      </c>
      <c r="C120" s="5" t="s">
        <v>169</v>
      </c>
      <c r="D120" s="5" t="s">
        <v>154</v>
      </c>
      <c r="E120" s="5" t="s">
        <v>159</v>
      </c>
      <c r="F120" s="5" t="s">
        <v>179</v>
      </c>
      <c r="G120" s="5" t="s">
        <v>157</v>
      </c>
      <c r="H120" s="180" t="s">
        <v>180</v>
      </c>
      <c r="I120" s="181"/>
      <c r="K120" s="165"/>
      <c r="L120" s="165"/>
      <c r="M120" s="165"/>
      <c r="R120" s="2"/>
      <c r="S120" s="2"/>
      <c r="T120" s="2"/>
    </row>
    <row r="121" spans="1:20">
      <c r="A121" s="8"/>
      <c r="B121" s="8"/>
      <c r="C121" s="62" t="s">
        <v>17</v>
      </c>
      <c r="D121" s="9" t="s">
        <v>19</v>
      </c>
      <c r="E121" s="9" t="s">
        <v>78</v>
      </c>
      <c r="F121" s="9" t="s">
        <v>78</v>
      </c>
      <c r="G121" s="9" t="s">
        <v>18</v>
      </c>
      <c r="H121" s="182" t="s">
        <v>17</v>
      </c>
      <c r="I121" s="181"/>
      <c r="K121" s="165"/>
      <c r="L121" s="165"/>
      <c r="M121" s="165"/>
      <c r="R121" s="2"/>
      <c r="S121" s="2"/>
      <c r="T121" s="2"/>
    </row>
    <row r="122" spans="1:20">
      <c r="A122" s="233" t="s">
        <v>279</v>
      </c>
      <c r="B122" s="233" t="s">
        <v>318</v>
      </c>
      <c r="C122" s="235">
        <f t="shared" ref="C122:C131" si="60">H107</f>
        <v>3.5387309198176098</v>
      </c>
      <c r="D122" s="234">
        <v>10</v>
      </c>
      <c r="E122" s="235">
        <v>313</v>
      </c>
      <c r="F122" s="236">
        <v>683</v>
      </c>
      <c r="G122" s="269">
        <v>0</v>
      </c>
      <c r="H122" s="270">
        <f>C122/(SQRT((1/D122+G122/E122)^2+(G122/F122)^2))</f>
        <v>35.387309198176098</v>
      </c>
      <c r="I122" s="185"/>
      <c r="K122" s="232"/>
      <c r="L122" s="232"/>
      <c r="M122" s="232"/>
      <c r="R122" s="2"/>
      <c r="S122" s="2"/>
      <c r="T122" s="2"/>
    </row>
    <row r="123" spans="1:20" ht="15.75" thickBot="1">
      <c r="A123" s="237" t="s">
        <v>280</v>
      </c>
      <c r="B123" s="237" t="s">
        <v>319</v>
      </c>
      <c r="C123" s="267">
        <f t="shared" si="60"/>
        <v>4.0907719596366956</v>
      </c>
      <c r="D123" s="266">
        <v>10</v>
      </c>
      <c r="E123" s="267">
        <v>313</v>
      </c>
      <c r="F123" s="268">
        <v>683</v>
      </c>
      <c r="G123" s="268">
        <f t="shared" ref="G123:G131" si="61">G122</f>
        <v>0</v>
      </c>
      <c r="H123" s="271">
        <f t="shared" ref="H123:H131" si="62">C123/(SQRT((1/D123+G123/E123)^2+(G123/F123)^2))</f>
        <v>40.907719596366952</v>
      </c>
      <c r="I123" s="185"/>
      <c r="K123" s="232"/>
      <c r="L123" s="232"/>
      <c r="M123" s="232"/>
      <c r="R123" s="2"/>
      <c r="S123" s="2"/>
      <c r="T123" s="2"/>
    </row>
    <row r="124" spans="1:20" ht="15.75" thickTop="1">
      <c r="A124" s="257" t="s">
        <v>281</v>
      </c>
      <c r="B124" s="233" t="s">
        <v>320</v>
      </c>
      <c r="C124" s="259">
        <f t="shared" si="60"/>
        <v>3.5387309198176098</v>
      </c>
      <c r="D124" s="258">
        <v>16</v>
      </c>
      <c r="E124" s="259">
        <v>590</v>
      </c>
      <c r="F124" s="260">
        <v>2061</v>
      </c>
      <c r="G124" s="260">
        <f t="shared" si="61"/>
        <v>0</v>
      </c>
      <c r="H124" s="258">
        <f t="shared" si="62"/>
        <v>56.619694717081757</v>
      </c>
      <c r="I124" s="185"/>
      <c r="K124" s="232"/>
      <c r="L124" s="232"/>
      <c r="M124" s="232"/>
      <c r="R124" s="2"/>
      <c r="S124" s="2"/>
      <c r="T124" s="2"/>
    </row>
    <row r="125" spans="1:20" ht="15.75" thickBot="1">
      <c r="A125" s="237" t="s">
        <v>282</v>
      </c>
      <c r="B125" s="237" t="s">
        <v>321</v>
      </c>
      <c r="C125" s="228">
        <f t="shared" si="60"/>
        <v>4.0907719596366956</v>
      </c>
      <c r="D125" s="229">
        <v>16</v>
      </c>
      <c r="E125" s="228">
        <v>590</v>
      </c>
      <c r="F125" s="230">
        <v>2061</v>
      </c>
      <c r="G125" s="230">
        <f t="shared" si="61"/>
        <v>0</v>
      </c>
      <c r="H125" s="229">
        <f t="shared" si="62"/>
        <v>65.45235135418713</v>
      </c>
      <c r="I125" s="185"/>
      <c r="K125" s="232"/>
      <c r="L125" s="232"/>
      <c r="M125" s="232"/>
      <c r="R125" s="2"/>
      <c r="S125" s="2"/>
      <c r="T125" s="2"/>
    </row>
    <row r="126" spans="1:20" ht="15.75" thickTop="1">
      <c r="A126" s="257" t="s">
        <v>283</v>
      </c>
      <c r="B126" s="233" t="s">
        <v>322</v>
      </c>
      <c r="C126" s="241">
        <f t="shared" si="60"/>
        <v>4.9794854807773392</v>
      </c>
      <c r="D126" s="240">
        <v>16</v>
      </c>
      <c r="E126" s="241">
        <v>665</v>
      </c>
      <c r="F126" s="242">
        <v>1678</v>
      </c>
      <c r="G126" s="242">
        <f t="shared" si="61"/>
        <v>0</v>
      </c>
      <c r="H126" s="240">
        <f t="shared" si="62"/>
        <v>79.671767692437427</v>
      </c>
      <c r="I126" s="185"/>
      <c r="K126" s="232"/>
      <c r="L126" s="232"/>
      <c r="M126" s="232"/>
      <c r="R126" s="2"/>
      <c r="S126" s="2"/>
      <c r="T126" s="2"/>
    </row>
    <row r="127" spans="1:20" ht="15.75" thickBot="1">
      <c r="A127" s="237" t="s">
        <v>284</v>
      </c>
      <c r="B127" s="237" t="s">
        <v>323</v>
      </c>
      <c r="C127" s="228">
        <f t="shared" si="60"/>
        <v>5.7343777118577677</v>
      </c>
      <c r="D127" s="229">
        <v>16</v>
      </c>
      <c r="E127" s="228">
        <v>665</v>
      </c>
      <c r="F127" s="230">
        <v>1678</v>
      </c>
      <c r="G127" s="230">
        <f t="shared" si="61"/>
        <v>0</v>
      </c>
      <c r="H127" s="229">
        <f t="shared" si="62"/>
        <v>91.750043389724283</v>
      </c>
      <c r="I127" s="185"/>
      <c r="K127" s="232"/>
      <c r="L127" s="232"/>
      <c r="M127" s="232"/>
      <c r="R127" s="2"/>
      <c r="S127" s="2"/>
      <c r="T127" s="2"/>
    </row>
    <row r="128" spans="1:20" ht="15.75" thickTop="1">
      <c r="A128" s="239" t="s">
        <v>285</v>
      </c>
      <c r="B128" s="233" t="s">
        <v>324</v>
      </c>
      <c r="C128" s="241">
        <f t="shared" si="60"/>
        <v>4.9794854807773392</v>
      </c>
      <c r="D128" s="240">
        <v>25</v>
      </c>
      <c r="E128" s="241">
        <v>1284</v>
      </c>
      <c r="F128" s="242">
        <v>5189</v>
      </c>
      <c r="G128" s="242">
        <f t="shared" si="61"/>
        <v>0</v>
      </c>
      <c r="H128" s="240">
        <f t="shared" si="62"/>
        <v>124.48713701943348</v>
      </c>
      <c r="I128" s="185"/>
      <c r="K128" s="232"/>
      <c r="L128" s="232"/>
      <c r="M128" s="232"/>
      <c r="R128" s="2"/>
      <c r="S128" s="2"/>
      <c r="T128" s="2"/>
    </row>
    <row r="129" spans="1:20" ht="15.75" thickBot="1">
      <c r="A129" s="237" t="s">
        <v>286</v>
      </c>
      <c r="B129" s="237" t="s">
        <v>325</v>
      </c>
      <c r="C129" s="228">
        <f t="shared" si="60"/>
        <v>5.7343777118577677</v>
      </c>
      <c r="D129" s="229">
        <v>25</v>
      </c>
      <c r="E129" s="228">
        <v>1284</v>
      </c>
      <c r="F129" s="230">
        <v>5189</v>
      </c>
      <c r="G129" s="230">
        <f t="shared" si="61"/>
        <v>0</v>
      </c>
      <c r="H129" s="229">
        <f t="shared" si="62"/>
        <v>143.3594427964442</v>
      </c>
      <c r="I129" s="185"/>
      <c r="K129" s="232"/>
      <c r="L129" s="232"/>
      <c r="M129" s="232"/>
      <c r="R129" s="2"/>
      <c r="S129" s="2"/>
      <c r="T129" s="2"/>
    </row>
    <row r="130" spans="1:20" ht="15.75" thickTop="1">
      <c r="A130" s="345" t="s">
        <v>311</v>
      </c>
      <c r="B130" s="346" t="s">
        <v>326</v>
      </c>
      <c r="C130" s="235">
        <f t="shared" si="60"/>
        <v>4.9794854807773392</v>
      </c>
      <c r="D130" s="234">
        <v>28</v>
      </c>
      <c r="E130" s="235">
        <v>1581</v>
      </c>
      <c r="F130" s="236">
        <v>5189</v>
      </c>
      <c r="G130" s="236">
        <f t="shared" si="61"/>
        <v>0</v>
      </c>
      <c r="H130" s="234">
        <f t="shared" si="62"/>
        <v>139.42559346176552</v>
      </c>
      <c r="I130" s="118"/>
      <c r="K130" s="232"/>
      <c r="L130" s="232"/>
      <c r="M130" s="232"/>
      <c r="R130" s="2"/>
      <c r="S130" s="2"/>
      <c r="T130" s="2"/>
    </row>
    <row r="131" spans="1:20" ht="30">
      <c r="A131" s="316" t="s">
        <v>312</v>
      </c>
      <c r="B131" s="347" t="s">
        <v>327</v>
      </c>
      <c r="C131" s="303">
        <f t="shared" si="60"/>
        <v>5.7343777118577677</v>
      </c>
      <c r="D131" s="63">
        <v>28</v>
      </c>
      <c r="E131" s="303">
        <v>1581</v>
      </c>
      <c r="F131" s="318">
        <v>5189</v>
      </c>
      <c r="G131" s="318">
        <f t="shared" si="61"/>
        <v>0</v>
      </c>
      <c r="H131" s="63">
        <f t="shared" si="62"/>
        <v>160.5625759320175</v>
      </c>
      <c r="I131" s="118"/>
      <c r="K131" s="232"/>
      <c r="L131" s="232"/>
      <c r="M131" s="232"/>
      <c r="R131" s="2"/>
      <c r="S131" s="2"/>
      <c r="T131" s="2"/>
    </row>
    <row r="132" spans="1:20">
      <c r="A132" s="3"/>
      <c r="B132" s="3"/>
      <c r="C132" s="118"/>
      <c r="D132" s="118"/>
      <c r="E132" s="172"/>
      <c r="F132" s="232"/>
      <c r="G132" s="232"/>
      <c r="H132" s="118"/>
      <c r="I132" s="118"/>
      <c r="K132" s="232"/>
      <c r="L132" s="232"/>
      <c r="M132" s="232"/>
      <c r="R132" s="2"/>
      <c r="S132" s="2"/>
      <c r="T132" s="2"/>
    </row>
    <row r="133" spans="1:20">
      <c r="R133" s="2"/>
      <c r="S133" s="2"/>
      <c r="T133" s="2"/>
    </row>
    <row r="134" spans="1:20" ht="18">
      <c r="A134" s="4" t="s">
        <v>2</v>
      </c>
      <c r="B134" s="5" t="s">
        <v>291</v>
      </c>
      <c r="C134" s="5" t="s">
        <v>43</v>
      </c>
      <c r="D134" s="5" t="s">
        <v>9</v>
      </c>
      <c r="E134" s="5" t="s">
        <v>44</v>
      </c>
      <c r="F134" s="5" t="s">
        <v>69</v>
      </c>
      <c r="G134" s="180" t="s">
        <v>70</v>
      </c>
      <c r="H134" s="5" t="s">
        <v>231</v>
      </c>
      <c r="I134" s="105"/>
      <c r="K134" s="105"/>
      <c r="L134" s="105"/>
      <c r="R134" s="2"/>
      <c r="S134" s="2"/>
      <c r="T134" s="2"/>
    </row>
    <row r="135" spans="1:20">
      <c r="A135" s="8"/>
      <c r="B135" s="9" t="s">
        <v>292</v>
      </c>
      <c r="C135" s="9" t="s">
        <v>19</v>
      </c>
      <c r="D135" s="9" t="s">
        <v>18</v>
      </c>
      <c r="E135" s="9" t="s">
        <v>18</v>
      </c>
      <c r="F135" s="9" t="s">
        <v>17</v>
      </c>
      <c r="G135" s="182" t="s">
        <v>17</v>
      </c>
      <c r="H135" s="62" t="s">
        <v>17</v>
      </c>
      <c r="I135" s="105"/>
      <c r="K135" s="105"/>
      <c r="L135" s="105"/>
      <c r="R135" s="2"/>
      <c r="S135" s="2"/>
      <c r="T135" s="2"/>
    </row>
    <row r="136" spans="1:20">
      <c r="A136" s="233" t="s">
        <v>279</v>
      </c>
      <c r="B136" s="235">
        <v>80</v>
      </c>
      <c r="C136" s="234">
        <v>10</v>
      </c>
      <c r="D136" s="234">
        <v>8</v>
      </c>
      <c r="E136" s="236">
        <f t="shared" ref="E136:E139" si="63">B136-10</f>
        <v>70</v>
      </c>
      <c r="F136" s="236">
        <f t="shared" ref="F136:F145" si="64">(0.52*SQRT(D136)*E136^0.9*$B$97^0.8)/1000</f>
        <v>7.8796178754106014</v>
      </c>
      <c r="G136" s="310">
        <f>MIN(2.3*SQRT($C$98*$C$101*$C$99)/1000+(F136/4),$C$99*$C$101*E136/1000,$C$99*$C$101*E136/1000*(SQRT(2+4*$C$98/($C$99*$C$101*E136^2))-1)+F136/4)</f>
        <v>5.7539958910348616</v>
      </c>
      <c r="H136" s="236">
        <f t="shared" ref="H136:H145" si="65">G136</f>
        <v>5.7539958910348616</v>
      </c>
      <c r="I136" s="343"/>
      <c r="K136" s="311"/>
      <c r="L136" s="311"/>
      <c r="R136" s="2"/>
      <c r="S136" s="2"/>
      <c r="T136" s="2"/>
    </row>
    <row r="137" spans="1:20" ht="15.75" thickBot="1">
      <c r="A137" s="237" t="s">
        <v>280</v>
      </c>
      <c r="B137" s="228">
        <v>80</v>
      </c>
      <c r="C137" s="266">
        <v>10</v>
      </c>
      <c r="D137" s="266">
        <v>8</v>
      </c>
      <c r="E137" s="268">
        <f t="shared" si="63"/>
        <v>70</v>
      </c>
      <c r="F137" s="268">
        <f t="shared" si="64"/>
        <v>7.8796178754106014</v>
      </c>
      <c r="G137" s="344">
        <f>MIN(2.3*SQRT($C$98*$C$101*$C$99)/1000+(F137/4),$C$99*$C$101*E137/1000,$C$99*$C$101*E137/1000*(SQRT(2+4*$C$98/($C$99*$C$101*E137^2))-1)+F137/4)</f>
        <v>5.7539958910348616</v>
      </c>
      <c r="H137" s="268">
        <f t="shared" si="65"/>
        <v>5.7539958910348616</v>
      </c>
      <c r="I137" s="343"/>
      <c r="K137" s="311"/>
      <c r="L137" s="311"/>
      <c r="R137" s="2"/>
      <c r="S137" s="2"/>
      <c r="T137" s="2"/>
    </row>
    <row r="138" spans="1:20" ht="15.75" thickTop="1">
      <c r="A138" s="257" t="s">
        <v>281</v>
      </c>
      <c r="B138" s="241">
        <v>80</v>
      </c>
      <c r="C138" s="258">
        <v>16</v>
      </c>
      <c r="D138" s="258">
        <v>8</v>
      </c>
      <c r="E138" s="260">
        <f t="shared" si="63"/>
        <v>70</v>
      </c>
      <c r="F138" s="260">
        <f t="shared" si="64"/>
        <v>7.8796178754106014</v>
      </c>
      <c r="G138" s="321">
        <f>MIN(2.3*SQRT($C$98*$C$101*$C$99)/1000+(F138/4),$C$99*$C$101*E138/1000,$C$99*$C$101*E138/1000*(SQRT(2+4*$C$98/($C$99*$C$101*E138^2))-1)+F138/4)</f>
        <v>5.7539958910348616</v>
      </c>
      <c r="H138" s="260">
        <f t="shared" si="65"/>
        <v>5.7539958910348616</v>
      </c>
      <c r="I138" s="122"/>
      <c r="K138" s="315"/>
      <c r="L138" s="315"/>
      <c r="R138" s="2"/>
      <c r="S138" s="2"/>
      <c r="T138" s="2"/>
    </row>
    <row r="139" spans="1:20" ht="15.75" thickBot="1">
      <c r="A139" s="237" t="s">
        <v>282</v>
      </c>
      <c r="B139" s="228">
        <v>80</v>
      </c>
      <c r="C139" s="229">
        <v>16</v>
      </c>
      <c r="D139" s="229">
        <v>8</v>
      </c>
      <c r="E139" s="230">
        <f t="shared" si="63"/>
        <v>70</v>
      </c>
      <c r="F139" s="230">
        <f t="shared" si="64"/>
        <v>7.8796178754106014</v>
      </c>
      <c r="G139" s="312">
        <f>MIN(2.3*SQRT($C$98*$C$101*$C$99)/1000+(F139/4),$C$99*$C$101*E139/1000,$C$99*$C$101*E139/1000*(SQRT(2+4*$C$98/($C$99*$C$101*E139^2))-1)+F139/4)</f>
        <v>5.7539958910348616</v>
      </c>
      <c r="H139" s="230">
        <f t="shared" si="65"/>
        <v>5.7539958910348616</v>
      </c>
      <c r="I139" s="122"/>
      <c r="K139" s="315"/>
      <c r="L139" s="315"/>
      <c r="R139" s="2"/>
      <c r="S139" s="2"/>
      <c r="T139" s="2"/>
    </row>
    <row r="140" spans="1:20" ht="15.75" thickTop="1">
      <c r="A140" s="257" t="s">
        <v>283</v>
      </c>
      <c r="B140" s="241">
        <v>100</v>
      </c>
      <c r="C140" s="240">
        <v>16</v>
      </c>
      <c r="D140" s="240">
        <v>10</v>
      </c>
      <c r="E140" s="242">
        <f>B140-15</f>
        <v>85</v>
      </c>
      <c r="F140" s="242">
        <f t="shared" si="64"/>
        <v>10.491774806064372</v>
      </c>
      <c r="G140" s="313">
        <f t="shared" ref="G140:G145" si="66">MIN(2.3*SQRT($B$98*$B$101*$B$99)/1000+(F140/4),$B$99*$B$101*E140/1000,$B$99*$B$101*E140/1000*(SQRT(2+4*$B$98/($B$99*$B$101*E140^2))-1)+F140/4)</f>
        <v>8.0354591525640107</v>
      </c>
      <c r="H140" s="242">
        <f t="shared" si="65"/>
        <v>8.0354591525640107</v>
      </c>
      <c r="I140" s="122"/>
      <c r="K140" s="315"/>
      <c r="L140" s="315"/>
      <c r="R140" s="2"/>
      <c r="S140" s="2"/>
      <c r="T140" s="2"/>
    </row>
    <row r="141" spans="1:20" ht="15.75" thickBot="1">
      <c r="A141" s="237" t="s">
        <v>284</v>
      </c>
      <c r="B141" s="228">
        <v>100</v>
      </c>
      <c r="C141" s="229">
        <v>16</v>
      </c>
      <c r="D141" s="229">
        <v>10</v>
      </c>
      <c r="E141" s="230">
        <f t="shared" ref="E141:E145" si="67">B141-15</f>
        <v>85</v>
      </c>
      <c r="F141" s="230">
        <f t="shared" si="64"/>
        <v>10.491774806064372</v>
      </c>
      <c r="G141" s="312">
        <f t="shared" si="66"/>
        <v>8.0354591525640107</v>
      </c>
      <c r="H141" s="230">
        <f t="shared" si="65"/>
        <v>8.0354591525640107</v>
      </c>
      <c r="I141" s="122"/>
      <c r="K141" s="315"/>
      <c r="L141" s="315"/>
      <c r="R141" s="2"/>
      <c r="S141" s="2"/>
      <c r="T141" s="2"/>
    </row>
    <row r="142" spans="1:20" ht="15.75" thickTop="1">
      <c r="A142" s="239" t="s">
        <v>285</v>
      </c>
      <c r="B142" s="241">
        <v>100</v>
      </c>
      <c r="C142" s="240">
        <v>25</v>
      </c>
      <c r="D142" s="240">
        <v>10</v>
      </c>
      <c r="E142" s="242">
        <f t="shared" si="67"/>
        <v>85</v>
      </c>
      <c r="F142" s="242">
        <f t="shared" si="64"/>
        <v>10.491774806064372</v>
      </c>
      <c r="G142" s="313">
        <f t="shared" si="66"/>
        <v>8.0354591525640107</v>
      </c>
      <c r="H142" s="242">
        <f t="shared" si="65"/>
        <v>8.0354591525640107</v>
      </c>
      <c r="I142" s="122"/>
      <c r="K142" s="315"/>
      <c r="L142" s="315"/>
      <c r="R142" s="2"/>
      <c r="S142" s="2"/>
      <c r="T142" s="2"/>
    </row>
    <row r="143" spans="1:20" ht="15.75" thickBot="1">
      <c r="A143" s="237" t="s">
        <v>286</v>
      </c>
      <c r="B143" s="228">
        <v>100</v>
      </c>
      <c r="C143" s="229">
        <v>25</v>
      </c>
      <c r="D143" s="229">
        <v>10</v>
      </c>
      <c r="E143" s="230">
        <f t="shared" si="67"/>
        <v>85</v>
      </c>
      <c r="F143" s="230">
        <f t="shared" si="64"/>
        <v>10.491774806064372</v>
      </c>
      <c r="G143" s="312">
        <f t="shared" si="66"/>
        <v>8.0354591525640107</v>
      </c>
      <c r="H143" s="230">
        <f t="shared" si="65"/>
        <v>8.0354591525640107</v>
      </c>
      <c r="I143" s="122"/>
      <c r="K143" s="315"/>
      <c r="L143" s="315"/>
      <c r="R143" s="2"/>
      <c r="S143" s="2"/>
      <c r="T143" s="2"/>
    </row>
    <row r="144" spans="1:20" ht="15.75" thickTop="1">
      <c r="A144" s="345" t="s">
        <v>311</v>
      </c>
      <c r="B144" s="235">
        <v>100</v>
      </c>
      <c r="C144" s="234">
        <v>28</v>
      </c>
      <c r="D144" s="234">
        <v>10</v>
      </c>
      <c r="E144" s="236">
        <f t="shared" si="67"/>
        <v>85</v>
      </c>
      <c r="F144" s="236">
        <f t="shared" si="64"/>
        <v>10.491774806064372</v>
      </c>
      <c r="G144" s="310">
        <f t="shared" si="66"/>
        <v>8.0354591525640107</v>
      </c>
      <c r="H144" s="236">
        <f t="shared" si="65"/>
        <v>8.0354591525640107</v>
      </c>
      <c r="I144" s="122"/>
      <c r="K144" s="315"/>
      <c r="L144" s="315"/>
      <c r="R144" s="2"/>
      <c r="S144" s="2"/>
      <c r="T144" s="2"/>
    </row>
    <row r="145" spans="1:20">
      <c r="A145" s="316" t="s">
        <v>312</v>
      </c>
      <c r="B145" s="303">
        <v>100</v>
      </c>
      <c r="C145" s="63">
        <v>28</v>
      </c>
      <c r="D145" s="63">
        <v>10</v>
      </c>
      <c r="E145" s="318">
        <f t="shared" si="67"/>
        <v>85</v>
      </c>
      <c r="F145" s="318">
        <f t="shared" si="64"/>
        <v>10.491774806064372</v>
      </c>
      <c r="G145" s="317">
        <f t="shared" si="66"/>
        <v>8.0354591525640107</v>
      </c>
      <c r="H145" s="318">
        <f t="shared" si="65"/>
        <v>8.0354591525640107</v>
      </c>
      <c r="I145" s="72"/>
      <c r="K145" s="320"/>
      <c r="L145" s="320"/>
      <c r="R145" s="2"/>
      <c r="S145" s="2"/>
      <c r="T145" s="2"/>
    </row>
    <row r="146" spans="1:20">
      <c r="M146" s="187"/>
      <c r="R146" s="2"/>
      <c r="S146" s="2"/>
      <c r="T146" s="2"/>
    </row>
    <row r="147" spans="1:20">
      <c r="R147" s="2"/>
      <c r="S147" s="2"/>
      <c r="T147" s="2"/>
    </row>
    <row r="148" spans="1:20" ht="18">
      <c r="A148" s="4" t="s">
        <v>2</v>
      </c>
      <c r="B148" s="4" t="s">
        <v>328</v>
      </c>
      <c r="C148" s="5" t="s">
        <v>185</v>
      </c>
      <c r="D148" s="5" t="s">
        <v>232</v>
      </c>
      <c r="E148" s="5" t="s">
        <v>154</v>
      </c>
      <c r="F148" s="5" t="s">
        <v>159</v>
      </c>
      <c r="G148" s="5" t="s">
        <v>179</v>
      </c>
      <c r="H148" s="5" t="s">
        <v>233</v>
      </c>
      <c r="I148" s="5" t="s">
        <v>161</v>
      </c>
      <c r="J148" s="5" t="s">
        <v>189</v>
      </c>
      <c r="R148" s="2"/>
      <c r="S148" s="2"/>
      <c r="T148" s="2"/>
    </row>
    <row r="149" spans="1:20">
      <c r="A149" s="8"/>
      <c r="B149" s="8"/>
      <c r="C149" s="62" t="s">
        <v>17</v>
      </c>
      <c r="D149" s="62" t="s">
        <v>17</v>
      </c>
      <c r="E149" s="9" t="s">
        <v>19</v>
      </c>
      <c r="F149" s="9" t="s">
        <v>78</v>
      </c>
      <c r="G149" s="9" t="s">
        <v>78</v>
      </c>
      <c r="H149" s="9" t="s">
        <v>78</v>
      </c>
      <c r="I149" s="9" t="s">
        <v>18</v>
      </c>
      <c r="J149" s="9" t="s">
        <v>17</v>
      </c>
      <c r="R149" s="2"/>
      <c r="S149" s="2"/>
      <c r="T149" s="2"/>
    </row>
    <row r="150" spans="1:20">
      <c r="A150" s="233" t="s">
        <v>279</v>
      </c>
      <c r="B150" s="233" t="s">
        <v>329</v>
      </c>
      <c r="C150" s="235">
        <f t="shared" ref="C150:C159" si="68">H136</f>
        <v>5.7539958910348616</v>
      </c>
      <c r="D150" s="235">
        <f>(C136*F136)/(C136)</f>
        <v>7.8796178754106005</v>
      </c>
      <c r="E150" s="234">
        <v>10</v>
      </c>
      <c r="F150" s="348">
        <v>313</v>
      </c>
      <c r="G150" s="236">
        <v>683</v>
      </c>
      <c r="H150" s="349">
        <v>8.25</v>
      </c>
      <c r="I150" s="235">
        <f>G122</f>
        <v>0</v>
      </c>
      <c r="J150" s="235">
        <f t="shared" ref="J150:J159" si="69">C150/(SQRT((1/E150+I150/F150)^2+(I150/G150)^2+(C150/(H150*D150))^2))</f>
        <v>43.086078650436022</v>
      </c>
      <c r="R150" s="2"/>
      <c r="S150" s="2"/>
      <c r="T150" s="2"/>
    </row>
    <row r="151" spans="1:20" ht="15.75" thickBot="1">
      <c r="A151" s="237" t="s">
        <v>280</v>
      </c>
      <c r="B151" s="237" t="s">
        <v>329</v>
      </c>
      <c r="C151" s="267">
        <f t="shared" si="68"/>
        <v>5.7539958910348616</v>
      </c>
      <c r="D151" s="267">
        <f>(C137*F137)/(C137)</f>
        <v>7.8796178754106005</v>
      </c>
      <c r="E151" s="266">
        <v>10</v>
      </c>
      <c r="F151" s="272">
        <v>313</v>
      </c>
      <c r="G151" s="268">
        <v>683</v>
      </c>
      <c r="H151" s="273">
        <v>8.25</v>
      </c>
      <c r="I151" s="267">
        <f t="shared" ref="I151:I159" si="70">I150</f>
        <v>0</v>
      </c>
      <c r="J151" s="267">
        <f t="shared" si="69"/>
        <v>43.086078650436022</v>
      </c>
      <c r="R151" s="2"/>
      <c r="S151" s="2"/>
      <c r="T151" s="2"/>
    </row>
    <row r="152" spans="1:20" ht="15.75" thickTop="1">
      <c r="A152" s="257" t="s">
        <v>281</v>
      </c>
      <c r="B152" s="233" t="s">
        <v>330</v>
      </c>
      <c r="C152" s="259">
        <f t="shared" si="68"/>
        <v>5.7539958910348616</v>
      </c>
      <c r="D152" s="259">
        <f t="shared" ref="D152:D159" si="71">(C138*F138)/(C138)</f>
        <v>7.8796178754106014</v>
      </c>
      <c r="E152" s="258">
        <v>16</v>
      </c>
      <c r="F152" s="350">
        <v>590</v>
      </c>
      <c r="G152" s="260">
        <v>2061</v>
      </c>
      <c r="H152" s="351">
        <v>13</v>
      </c>
      <c r="I152" s="259">
        <f t="shared" si="70"/>
        <v>0</v>
      </c>
      <c r="J152" s="259">
        <f t="shared" si="69"/>
        <v>68.472977152923534</v>
      </c>
      <c r="R152" s="2"/>
      <c r="S152" s="2"/>
      <c r="T152" s="2"/>
    </row>
    <row r="153" spans="1:20" ht="15.75" thickBot="1">
      <c r="A153" s="237" t="s">
        <v>282</v>
      </c>
      <c r="B153" s="237" t="s">
        <v>330</v>
      </c>
      <c r="C153" s="228">
        <f t="shared" si="68"/>
        <v>5.7539958910348616</v>
      </c>
      <c r="D153" s="228">
        <f t="shared" si="71"/>
        <v>7.8796178754106014</v>
      </c>
      <c r="E153" s="229">
        <v>16</v>
      </c>
      <c r="F153" s="274">
        <v>590</v>
      </c>
      <c r="G153" s="230">
        <v>2061</v>
      </c>
      <c r="H153" s="275">
        <v>13</v>
      </c>
      <c r="I153" s="228">
        <f t="shared" si="70"/>
        <v>0</v>
      </c>
      <c r="J153" s="228">
        <f t="shared" si="69"/>
        <v>68.472977152923534</v>
      </c>
      <c r="R153" s="2"/>
      <c r="S153" s="2"/>
      <c r="T153" s="2"/>
    </row>
    <row r="154" spans="1:20" ht="15.75" thickTop="1">
      <c r="A154" s="257" t="s">
        <v>283</v>
      </c>
      <c r="B154" s="233" t="s">
        <v>331</v>
      </c>
      <c r="C154" s="241">
        <f t="shared" si="68"/>
        <v>8.0354591525640107</v>
      </c>
      <c r="D154" s="241">
        <f t="shared" si="71"/>
        <v>10.491774806064372</v>
      </c>
      <c r="E154" s="240">
        <v>16</v>
      </c>
      <c r="F154" s="352">
        <v>665</v>
      </c>
      <c r="G154" s="242">
        <v>1678</v>
      </c>
      <c r="H154" s="353">
        <v>17.3</v>
      </c>
      <c r="I154" s="241">
        <f t="shared" si="70"/>
        <v>0</v>
      </c>
      <c r="J154" s="241">
        <f t="shared" si="69"/>
        <v>104.91426865436597</v>
      </c>
      <c r="R154" s="2"/>
      <c r="S154" s="2"/>
      <c r="T154" s="2"/>
    </row>
    <row r="155" spans="1:20" ht="15.75" thickBot="1">
      <c r="A155" s="237" t="s">
        <v>284</v>
      </c>
      <c r="B155" s="237" t="s">
        <v>331</v>
      </c>
      <c r="C155" s="228">
        <f t="shared" si="68"/>
        <v>8.0354591525640107</v>
      </c>
      <c r="D155" s="228">
        <f t="shared" si="71"/>
        <v>10.491774806064372</v>
      </c>
      <c r="E155" s="229">
        <v>16</v>
      </c>
      <c r="F155" s="274">
        <v>665</v>
      </c>
      <c r="G155" s="230">
        <v>1678</v>
      </c>
      <c r="H155" s="275">
        <v>17.3</v>
      </c>
      <c r="I155" s="228">
        <f t="shared" si="70"/>
        <v>0</v>
      </c>
      <c r="J155" s="228">
        <f t="shared" si="69"/>
        <v>104.91426865436597</v>
      </c>
      <c r="R155" s="2"/>
      <c r="S155" s="2"/>
      <c r="T155" s="2"/>
    </row>
    <row r="156" spans="1:20" ht="15.75" thickTop="1">
      <c r="A156" s="239" t="s">
        <v>285</v>
      </c>
      <c r="B156" s="233" t="s">
        <v>332</v>
      </c>
      <c r="C156" s="241">
        <f t="shared" si="68"/>
        <v>8.0354591525640107</v>
      </c>
      <c r="D156" s="241">
        <f t="shared" si="71"/>
        <v>10.491774806064372</v>
      </c>
      <c r="E156" s="240">
        <v>25</v>
      </c>
      <c r="F156" s="352">
        <v>1284</v>
      </c>
      <c r="G156" s="242">
        <v>5189</v>
      </c>
      <c r="H156" s="353">
        <v>26.8</v>
      </c>
      <c r="I156" s="241">
        <f t="shared" si="70"/>
        <v>0</v>
      </c>
      <c r="J156" s="241">
        <f t="shared" si="69"/>
        <v>163.4559716110634</v>
      </c>
      <c r="R156" s="2"/>
      <c r="S156" s="2"/>
      <c r="T156" s="2"/>
    </row>
    <row r="157" spans="1:20" ht="15.75" thickBot="1">
      <c r="A157" s="237" t="s">
        <v>286</v>
      </c>
      <c r="B157" s="237" t="s">
        <v>332</v>
      </c>
      <c r="C157" s="228">
        <f t="shared" si="68"/>
        <v>8.0354591525640107</v>
      </c>
      <c r="D157" s="228">
        <f t="shared" si="71"/>
        <v>10.491774806064372</v>
      </c>
      <c r="E157" s="229">
        <v>25</v>
      </c>
      <c r="F157" s="274">
        <v>1284</v>
      </c>
      <c r="G157" s="230">
        <v>5189</v>
      </c>
      <c r="H157" s="275">
        <v>26.8</v>
      </c>
      <c r="I157" s="228">
        <f t="shared" si="70"/>
        <v>0</v>
      </c>
      <c r="J157" s="228">
        <f t="shared" si="69"/>
        <v>163.4559716110634</v>
      </c>
      <c r="R157" s="2"/>
      <c r="S157" s="2"/>
      <c r="T157" s="2"/>
    </row>
    <row r="158" spans="1:20" ht="15.75" thickTop="1">
      <c r="A158" s="345" t="s">
        <v>311</v>
      </c>
      <c r="B158" s="346" t="s">
        <v>333</v>
      </c>
      <c r="C158" s="241">
        <f t="shared" si="68"/>
        <v>8.0354591525640107</v>
      </c>
      <c r="D158" s="241">
        <f t="shared" si="71"/>
        <v>10.491774806064372</v>
      </c>
      <c r="E158" s="240">
        <v>28</v>
      </c>
      <c r="F158" s="352">
        <v>1581</v>
      </c>
      <c r="G158" s="242">
        <v>7226</v>
      </c>
      <c r="H158" s="353">
        <v>24</v>
      </c>
      <c r="I158" s="241">
        <f t="shared" si="70"/>
        <v>0</v>
      </c>
      <c r="J158" s="241">
        <f t="shared" si="69"/>
        <v>167.77465457907084</v>
      </c>
      <c r="R158" s="2"/>
      <c r="S158" s="2"/>
      <c r="T158" s="2"/>
    </row>
    <row r="159" spans="1:20" ht="30">
      <c r="A159" s="316" t="s">
        <v>312</v>
      </c>
      <c r="B159" s="347" t="s">
        <v>334</v>
      </c>
      <c r="C159" s="34">
        <f t="shared" si="68"/>
        <v>8.0354591525640107</v>
      </c>
      <c r="D159" s="34">
        <f t="shared" si="71"/>
        <v>10.491774806064372</v>
      </c>
      <c r="E159" s="66">
        <v>28</v>
      </c>
      <c r="F159" s="276">
        <v>1581</v>
      </c>
      <c r="G159" s="243">
        <v>7226</v>
      </c>
      <c r="H159" s="184">
        <v>24</v>
      </c>
      <c r="I159" s="34">
        <f t="shared" si="70"/>
        <v>0</v>
      </c>
      <c r="J159" s="34">
        <f t="shared" si="69"/>
        <v>167.77465457907084</v>
      </c>
      <c r="R159" s="2"/>
      <c r="S159" s="2"/>
      <c r="T159" s="2"/>
    </row>
    <row r="160" spans="1:20">
      <c r="R160" s="2"/>
      <c r="S160" s="2"/>
      <c r="T160" s="2"/>
    </row>
    <row r="161" spans="1:23">
      <c r="A161" s="3"/>
      <c r="B161" s="77"/>
      <c r="E161" t="s">
        <v>72</v>
      </c>
      <c r="G161" s="3"/>
      <c r="Q161" s="739"/>
      <c r="R161" s="739"/>
      <c r="S161" s="739"/>
      <c r="T161" s="739"/>
    </row>
    <row r="162" spans="1:23" ht="18">
      <c r="A162" s="4" t="s">
        <v>2</v>
      </c>
      <c r="B162" s="78" t="s">
        <v>163</v>
      </c>
      <c r="C162" s="78" t="s">
        <v>164</v>
      </c>
      <c r="D162" s="78" t="s">
        <v>234</v>
      </c>
      <c r="E162" s="79" t="s">
        <v>235</v>
      </c>
      <c r="G162" s="277"/>
      <c r="P162" s="4" t="s">
        <v>2</v>
      </c>
      <c r="Q162" s="682" t="s">
        <v>290</v>
      </c>
      <c r="R162" s="683"/>
      <c r="S162" s="683"/>
      <c r="T162" s="683"/>
      <c r="U162" s="684"/>
    </row>
    <row r="163" spans="1:23">
      <c r="A163" s="8"/>
      <c r="B163" s="81" t="s">
        <v>17</v>
      </c>
      <c r="C163" s="82" t="s">
        <v>17</v>
      </c>
      <c r="D163" s="82" t="s">
        <v>17</v>
      </c>
      <c r="E163" s="83" t="s">
        <v>17</v>
      </c>
      <c r="G163" s="278"/>
      <c r="P163" s="8"/>
      <c r="Q163" s="11">
        <v>0.6</v>
      </c>
      <c r="R163" s="11">
        <v>0.7</v>
      </c>
      <c r="S163" s="11">
        <v>0.8</v>
      </c>
      <c r="T163" s="11">
        <v>0.9</v>
      </c>
      <c r="U163" s="11">
        <v>1</v>
      </c>
    </row>
    <row r="164" spans="1:23" ht="30">
      <c r="A164" s="281" t="s">
        <v>294</v>
      </c>
      <c r="B164" s="283">
        <f t="shared" ref="B164:B173" si="72">H122</f>
        <v>35.387309198176098</v>
      </c>
      <c r="C164" s="323">
        <v>34</v>
      </c>
      <c r="D164" s="282">
        <f t="shared" ref="D164:D173" si="73">J150</f>
        <v>43.086078650436022</v>
      </c>
      <c r="E164" s="324">
        <f t="shared" ref="E164:E173" si="74">MIN(B164,D164)</f>
        <v>35.387309198176098</v>
      </c>
      <c r="G164" s="279"/>
      <c r="K164" s="103"/>
      <c r="N164" s="3"/>
      <c r="O164" s="3"/>
      <c r="P164" s="281" t="s">
        <v>294</v>
      </c>
      <c r="Q164" s="325">
        <f t="shared" ref="Q164:U173" si="75">MIN(Q$163*$B164/1.3,$C164/1,Q$163*$D164/1.3)</f>
        <v>16.332604245312044</v>
      </c>
      <c r="R164" s="325">
        <f t="shared" si="75"/>
        <v>19.054704952864054</v>
      </c>
      <c r="S164" s="325">
        <f t="shared" si="75"/>
        <v>21.776805660416059</v>
      </c>
      <c r="T164" s="326">
        <f t="shared" si="75"/>
        <v>24.498906367968068</v>
      </c>
      <c r="U164" s="326">
        <f t="shared" si="75"/>
        <v>27.221007075520074</v>
      </c>
      <c r="V164" s="354"/>
      <c r="W164" s="3"/>
    </row>
    <row r="165" spans="1:23" ht="30.75" thickBot="1">
      <c r="A165" s="288" t="s">
        <v>295</v>
      </c>
      <c r="B165" s="290">
        <f t="shared" si="72"/>
        <v>40.907719596366952</v>
      </c>
      <c r="C165" s="327">
        <v>34</v>
      </c>
      <c r="D165" s="289">
        <f t="shared" si="73"/>
        <v>43.086078650436022</v>
      </c>
      <c r="E165" s="328">
        <f t="shared" si="74"/>
        <v>40.907719596366952</v>
      </c>
      <c r="G165" s="279"/>
      <c r="K165" s="103"/>
      <c r="N165" s="3"/>
      <c r="O165" s="3"/>
      <c r="P165" s="288" t="s">
        <v>295</v>
      </c>
      <c r="Q165" s="329">
        <f t="shared" si="75"/>
        <v>18.880485967553977</v>
      </c>
      <c r="R165" s="329">
        <f t="shared" si="75"/>
        <v>22.027233628812972</v>
      </c>
      <c r="S165" s="329">
        <f t="shared" si="75"/>
        <v>25.173981290071971</v>
      </c>
      <c r="T165" s="330">
        <f t="shared" si="75"/>
        <v>28.320728951330963</v>
      </c>
      <c r="U165" s="330">
        <f t="shared" si="75"/>
        <v>31.467476612589962</v>
      </c>
      <c r="V165" s="354"/>
      <c r="W165" s="3"/>
    </row>
    <row r="166" spans="1:23" ht="30.75" thickTop="1">
      <c r="A166" s="295" t="s">
        <v>296</v>
      </c>
      <c r="B166" s="297">
        <f t="shared" si="72"/>
        <v>56.619694717081757</v>
      </c>
      <c r="C166" s="340">
        <v>34</v>
      </c>
      <c r="D166" s="296">
        <f t="shared" si="73"/>
        <v>68.472977152923534</v>
      </c>
      <c r="E166" s="341">
        <f t="shared" si="74"/>
        <v>56.619694717081757</v>
      </c>
      <c r="G166" s="279"/>
      <c r="K166" s="103"/>
      <c r="N166" s="3"/>
      <c r="O166" s="3"/>
      <c r="P166" s="295" t="s">
        <v>296</v>
      </c>
      <c r="Q166" s="334">
        <f t="shared" si="75"/>
        <v>26.132166792499273</v>
      </c>
      <c r="R166" s="334">
        <f t="shared" si="75"/>
        <v>30.487527924582484</v>
      </c>
      <c r="S166" s="334">
        <f t="shared" si="75"/>
        <v>34</v>
      </c>
      <c r="T166" s="335">
        <f t="shared" si="75"/>
        <v>34</v>
      </c>
      <c r="U166" s="335">
        <f t="shared" si="75"/>
        <v>34</v>
      </c>
      <c r="V166" s="354"/>
      <c r="W166" s="3"/>
    </row>
    <row r="167" spans="1:23" ht="30.75" thickBot="1">
      <c r="A167" s="288" t="s">
        <v>297</v>
      </c>
      <c r="B167" s="290">
        <f t="shared" si="72"/>
        <v>65.45235135418713</v>
      </c>
      <c r="C167" s="327">
        <v>34</v>
      </c>
      <c r="D167" s="289">
        <f t="shared" si="73"/>
        <v>68.472977152923534</v>
      </c>
      <c r="E167" s="328">
        <f t="shared" si="74"/>
        <v>65.45235135418713</v>
      </c>
      <c r="G167" s="279"/>
      <c r="K167" s="103"/>
      <c r="N167" s="3"/>
      <c r="O167" s="3"/>
      <c r="P167" s="288" t="s">
        <v>297</v>
      </c>
      <c r="Q167" s="336">
        <f t="shared" si="75"/>
        <v>30.208777548086367</v>
      </c>
      <c r="R167" s="336">
        <f t="shared" si="75"/>
        <v>34</v>
      </c>
      <c r="S167" s="336">
        <f t="shared" si="75"/>
        <v>34</v>
      </c>
      <c r="T167" s="337">
        <f t="shared" si="75"/>
        <v>34</v>
      </c>
      <c r="U167" s="337">
        <f t="shared" si="75"/>
        <v>34</v>
      </c>
      <c r="V167" s="354"/>
      <c r="W167" s="3"/>
    </row>
    <row r="168" spans="1:23" ht="30.75" thickTop="1">
      <c r="A168" s="295" t="s">
        <v>299</v>
      </c>
      <c r="B168" s="297">
        <f t="shared" si="72"/>
        <v>79.671767692437427</v>
      </c>
      <c r="C168" s="340">
        <v>50</v>
      </c>
      <c r="D168" s="296">
        <f t="shared" si="73"/>
        <v>104.91426865436597</v>
      </c>
      <c r="E168" s="341">
        <f t="shared" si="74"/>
        <v>79.671767692437427</v>
      </c>
      <c r="G168" s="279"/>
      <c r="K168" s="103"/>
      <c r="N168" s="3"/>
      <c r="O168" s="3"/>
      <c r="P168" s="295" t="s">
        <v>299</v>
      </c>
      <c r="Q168" s="338">
        <f t="shared" si="75"/>
        <v>36.771585088817275</v>
      </c>
      <c r="R168" s="338">
        <f t="shared" si="75"/>
        <v>42.900182603620152</v>
      </c>
      <c r="S168" s="338">
        <f t="shared" si="75"/>
        <v>49.028780118423029</v>
      </c>
      <c r="T168" s="339">
        <f t="shared" si="75"/>
        <v>50</v>
      </c>
      <c r="U168" s="339">
        <f t="shared" si="75"/>
        <v>50</v>
      </c>
      <c r="V168" s="354"/>
      <c r="W168" s="3"/>
    </row>
    <row r="169" spans="1:23" ht="30.75" thickBot="1">
      <c r="A169" s="288" t="s">
        <v>301</v>
      </c>
      <c r="B169" s="290">
        <f t="shared" si="72"/>
        <v>91.750043389724283</v>
      </c>
      <c r="C169" s="327">
        <v>50</v>
      </c>
      <c r="D169" s="289">
        <f t="shared" si="73"/>
        <v>104.91426865436597</v>
      </c>
      <c r="E169" s="328">
        <f t="shared" si="74"/>
        <v>91.750043389724283</v>
      </c>
      <c r="G169" s="279"/>
      <c r="K169" s="103"/>
      <c r="N169" s="3"/>
      <c r="O169" s="3"/>
      <c r="P169" s="288" t="s">
        <v>301</v>
      </c>
      <c r="Q169" s="336">
        <f t="shared" si="75"/>
        <v>42.346173872180437</v>
      </c>
      <c r="R169" s="336">
        <f t="shared" si="75"/>
        <v>49.403869517543846</v>
      </c>
      <c r="S169" s="336">
        <f t="shared" si="75"/>
        <v>50</v>
      </c>
      <c r="T169" s="337">
        <f t="shared" si="75"/>
        <v>50</v>
      </c>
      <c r="U169" s="337">
        <f t="shared" si="75"/>
        <v>50</v>
      </c>
      <c r="V169" s="354"/>
      <c r="W169" s="3"/>
    </row>
    <row r="170" spans="1:23" ht="30.75" thickTop="1">
      <c r="A170" s="295" t="s">
        <v>303</v>
      </c>
      <c r="B170" s="297">
        <f t="shared" si="72"/>
        <v>124.48713701943348</v>
      </c>
      <c r="C170" s="340">
        <v>50</v>
      </c>
      <c r="D170" s="296">
        <f t="shared" si="73"/>
        <v>163.4559716110634</v>
      </c>
      <c r="E170" s="341">
        <f t="shared" si="74"/>
        <v>124.48713701943348</v>
      </c>
      <c r="G170" s="279"/>
      <c r="K170" s="103"/>
      <c r="N170" s="3"/>
      <c r="O170" s="3"/>
      <c r="P170" s="295" t="s">
        <v>303</v>
      </c>
      <c r="Q170" s="338">
        <f t="shared" si="75"/>
        <v>50</v>
      </c>
      <c r="R170" s="338">
        <f t="shared" si="75"/>
        <v>50</v>
      </c>
      <c r="S170" s="338">
        <f t="shared" si="75"/>
        <v>50</v>
      </c>
      <c r="T170" s="339">
        <f t="shared" si="75"/>
        <v>50</v>
      </c>
      <c r="U170" s="339">
        <f t="shared" si="75"/>
        <v>50</v>
      </c>
      <c r="V170" s="354"/>
      <c r="W170" s="3"/>
    </row>
    <row r="171" spans="1:23" ht="30.75" thickBot="1">
      <c r="A171" s="288" t="s">
        <v>304</v>
      </c>
      <c r="B171" s="290">
        <f t="shared" si="72"/>
        <v>143.3594427964442</v>
      </c>
      <c r="C171" s="327">
        <v>50</v>
      </c>
      <c r="D171" s="289">
        <f t="shared" si="73"/>
        <v>163.4559716110634</v>
      </c>
      <c r="E171" s="328">
        <f t="shared" si="74"/>
        <v>143.3594427964442</v>
      </c>
      <c r="G171" s="279"/>
      <c r="K171" s="103"/>
      <c r="N171" s="3"/>
      <c r="O171" s="3"/>
      <c r="P171" s="288" t="s">
        <v>304</v>
      </c>
      <c r="Q171" s="336">
        <f t="shared" si="75"/>
        <v>50</v>
      </c>
      <c r="R171" s="336">
        <f t="shared" si="75"/>
        <v>50</v>
      </c>
      <c r="S171" s="336">
        <f t="shared" si="75"/>
        <v>50</v>
      </c>
      <c r="T171" s="337">
        <f t="shared" si="75"/>
        <v>50</v>
      </c>
      <c r="U171" s="337">
        <f t="shared" si="75"/>
        <v>50</v>
      </c>
      <c r="V171" s="354"/>
      <c r="W171" s="3"/>
    </row>
    <row r="172" spans="1:23" ht="30.75" thickTop="1">
      <c r="A172" s="295" t="s">
        <v>305</v>
      </c>
      <c r="B172" s="297">
        <f t="shared" si="72"/>
        <v>139.42559346176552</v>
      </c>
      <c r="C172" s="340">
        <v>50</v>
      </c>
      <c r="D172" s="296">
        <f t="shared" si="73"/>
        <v>167.77465457907084</v>
      </c>
      <c r="E172" s="341">
        <f t="shared" si="74"/>
        <v>139.42559346176552</v>
      </c>
      <c r="P172" s="295" t="s">
        <v>305</v>
      </c>
      <c r="Q172" s="338">
        <f t="shared" si="75"/>
        <v>50</v>
      </c>
      <c r="R172" s="338">
        <f t="shared" si="75"/>
        <v>50</v>
      </c>
      <c r="S172" s="338">
        <f t="shared" si="75"/>
        <v>50</v>
      </c>
      <c r="T172" s="339">
        <f t="shared" si="75"/>
        <v>50</v>
      </c>
      <c r="U172" s="339">
        <f t="shared" si="75"/>
        <v>50</v>
      </c>
      <c r="V172" s="354"/>
      <c r="W172" s="3"/>
    </row>
    <row r="173" spans="1:23" ht="45">
      <c r="A173" s="302" t="s">
        <v>306</v>
      </c>
      <c r="B173" s="63">
        <f t="shared" si="72"/>
        <v>160.5625759320175</v>
      </c>
      <c r="C173" s="323">
        <v>50</v>
      </c>
      <c r="D173" s="303">
        <f t="shared" si="73"/>
        <v>167.77465457907084</v>
      </c>
      <c r="E173" s="318">
        <f t="shared" si="74"/>
        <v>160.5625759320175</v>
      </c>
      <c r="P173" s="302" t="s">
        <v>306</v>
      </c>
      <c r="Q173" s="355">
        <f t="shared" si="75"/>
        <v>50</v>
      </c>
      <c r="R173" s="355">
        <f t="shared" si="75"/>
        <v>50</v>
      </c>
      <c r="S173" s="355">
        <f t="shared" si="75"/>
        <v>50</v>
      </c>
      <c r="T173" s="356">
        <f t="shared" si="75"/>
        <v>50</v>
      </c>
      <c r="U173" s="356">
        <f t="shared" si="75"/>
        <v>50</v>
      </c>
      <c r="V173" s="357"/>
    </row>
  </sheetData>
  <sheetProtection algorithmName="SHA-512" hashValue="8o8UkHxRcDn83EgTjfT0uLKR9sDOt7SM3Y2kQaZQ22AZ8YKup/WeZeRQns+Gj6gttq6XRCrqXhhu48Hvtp4F+w==" saltValue="8NWShKyte6Tq8TSpYIFlEQ==" spinCount="100000" sheet="1" objects="1" scenarios="1" selectLockedCells="1"/>
  <customSheetViews>
    <customSheetView guid="{88029C9E-0AAA-4AEA-8FBA-3530118F01BF}">
      <selection activeCell="D22" sqref="D22"/>
      <pageMargins left="0.7" right="0.7" top="0.78740157499999996" bottom="0.78740157499999996" header="0.3" footer="0.3"/>
    </customSheetView>
  </customSheetViews>
  <mergeCells count="6">
    <mergeCell ref="Q162:U162"/>
    <mergeCell ref="Q4:T4"/>
    <mergeCell ref="Q5:U5"/>
    <mergeCell ref="Q72:T72"/>
    <mergeCell ref="Q161:T161"/>
    <mergeCell ref="Q74:V74"/>
  </mergeCells>
  <pageMargins left="0.70866141732283472" right="0.70866141732283472" top="0.78740157480314965" bottom="0.78740157480314965" header="0.31496062992125984" footer="0.31496062992125984"/>
  <pageSetup paperSize="9" scale="30" fitToHeight="2" orientation="landscape" r:id="rId1"/>
  <rowBreaks count="1" manualBreakCount="1">
    <brk id="92" max="16383" man="1"/>
  </rowBreaks>
  <drawing r:id="rId2"/>
  <legacyDrawing r:id="rId3"/>
  <oleObjects>
    <mc:AlternateContent xmlns:mc="http://schemas.openxmlformats.org/markup-compatibility/2006">
      <mc:Choice Requires="x14">
        <oleObject progId="Equation.3" shapeId="3073" r:id="rId4">
          <objectPr defaultSize="0" autoPict="0" r:id="rId5">
            <anchor moveWithCells="1">
              <from>
                <xdr:col>7</xdr:col>
                <xdr:colOff>704850</xdr:colOff>
                <xdr:row>18</xdr:row>
                <xdr:rowOff>85725</xdr:rowOff>
              </from>
              <to>
                <xdr:col>11</xdr:col>
                <xdr:colOff>542925</xdr:colOff>
                <xdr:row>19</xdr:row>
                <xdr:rowOff>114300</xdr:rowOff>
              </to>
            </anchor>
          </objectPr>
        </oleObject>
      </mc:Choice>
      <mc:Fallback>
        <oleObject progId="Equation.3" shapeId="3073" r:id="rId4"/>
      </mc:Fallback>
    </mc:AlternateContent>
    <mc:AlternateContent xmlns:mc="http://schemas.openxmlformats.org/markup-compatibility/2006">
      <mc:Choice Requires="x14">
        <oleObject progId="Equation.3" shapeId="3074" r:id="rId6">
          <objectPr defaultSize="0" autoPict="0" r:id="rId7">
            <anchor moveWithCells="1">
              <from>
                <xdr:col>4</xdr:col>
                <xdr:colOff>28575</xdr:colOff>
                <xdr:row>30</xdr:row>
                <xdr:rowOff>9525</xdr:rowOff>
              </from>
              <to>
                <xdr:col>5</xdr:col>
                <xdr:colOff>676275</xdr:colOff>
                <xdr:row>30</xdr:row>
                <xdr:rowOff>190500</xdr:rowOff>
              </to>
            </anchor>
          </objectPr>
        </oleObject>
      </mc:Choice>
      <mc:Fallback>
        <oleObject progId="Equation.3" shapeId="3074" r:id="rId6"/>
      </mc:Fallback>
    </mc:AlternateContent>
    <mc:AlternateContent xmlns:mc="http://schemas.openxmlformats.org/markup-compatibility/2006">
      <mc:Choice Requires="x14">
        <oleObject progId="Equation.3" shapeId="3075" r:id="rId8">
          <objectPr defaultSize="0" autoPict="0" r:id="rId9">
            <anchor moveWithCells="1">
              <from>
                <xdr:col>4</xdr:col>
                <xdr:colOff>19050</xdr:colOff>
                <xdr:row>28</xdr:row>
                <xdr:rowOff>95250</xdr:rowOff>
              </from>
              <to>
                <xdr:col>5</xdr:col>
                <xdr:colOff>638175</xdr:colOff>
                <xdr:row>29</xdr:row>
                <xdr:rowOff>161925</xdr:rowOff>
              </to>
            </anchor>
          </objectPr>
        </oleObject>
      </mc:Choice>
      <mc:Fallback>
        <oleObject progId="Equation.3" shapeId="3075" r:id="rId8"/>
      </mc:Fallback>
    </mc:AlternateContent>
    <mc:AlternateContent xmlns:mc="http://schemas.openxmlformats.org/markup-compatibility/2006">
      <mc:Choice Requires="x14">
        <oleObject progId="Equation.3" shapeId="3076" r:id="rId10">
          <objectPr defaultSize="0" autoPict="0" r:id="rId9">
            <anchor moveWithCells="1">
              <from>
                <xdr:col>4</xdr:col>
                <xdr:colOff>28575</xdr:colOff>
                <xdr:row>98</xdr:row>
                <xdr:rowOff>123825</xdr:rowOff>
              </from>
              <to>
                <xdr:col>5</xdr:col>
                <xdr:colOff>647700</xdr:colOff>
                <xdr:row>99</xdr:row>
                <xdr:rowOff>190500</xdr:rowOff>
              </to>
            </anchor>
          </objectPr>
        </oleObject>
      </mc:Choice>
      <mc:Fallback>
        <oleObject progId="Equation.3" shapeId="3076" r:id="rId10"/>
      </mc:Fallback>
    </mc:AlternateContent>
    <mc:AlternateContent xmlns:mc="http://schemas.openxmlformats.org/markup-compatibility/2006">
      <mc:Choice Requires="x14">
        <oleObject progId="Equation.3" shapeId="3077" r:id="rId11">
          <objectPr defaultSize="0" autoPict="0" r:id="rId7">
            <anchor moveWithCells="1">
              <from>
                <xdr:col>4</xdr:col>
                <xdr:colOff>28575</xdr:colOff>
                <xdr:row>100</xdr:row>
                <xdr:rowOff>28575</xdr:rowOff>
              </from>
              <to>
                <xdr:col>5</xdr:col>
                <xdr:colOff>676275</xdr:colOff>
                <xdr:row>101</xdr:row>
                <xdr:rowOff>0</xdr:rowOff>
              </to>
            </anchor>
          </objectPr>
        </oleObject>
      </mc:Choice>
      <mc:Fallback>
        <oleObject progId="Equation.3" shapeId="3077" r:id="rId11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561"/>
  <sheetViews>
    <sheetView workbookViewId="0">
      <selection activeCell="O58" sqref="O58"/>
    </sheetView>
  </sheetViews>
  <sheetFormatPr baseColWidth="10" defaultRowHeight="15"/>
  <cols>
    <col min="1" max="1" width="26.140625" customWidth="1"/>
    <col min="7" max="7" width="13.28515625" customWidth="1"/>
    <col min="8" max="8" width="12.42578125" customWidth="1"/>
    <col min="14" max="14" width="13.85546875" customWidth="1"/>
    <col min="15" max="15" width="24" customWidth="1"/>
    <col min="16" max="16" width="13.42578125" style="2" customWidth="1"/>
    <col min="17" max="17" width="14.140625" style="2" customWidth="1"/>
    <col min="18" max="19" width="11.42578125" style="2" customWidth="1"/>
    <col min="21" max="21" width="12" customWidth="1"/>
    <col min="22" max="22" width="12.5703125" customWidth="1"/>
    <col min="23" max="23" width="18.85546875" customWidth="1"/>
    <col min="25" max="28" width="13" customWidth="1"/>
    <col min="31" max="31" width="12.85546875" bestFit="1" customWidth="1"/>
    <col min="36" max="37" width="17" customWidth="1"/>
    <col min="39" max="42" width="13.5703125" customWidth="1"/>
    <col min="45" max="45" width="12.85546875" bestFit="1" customWidth="1"/>
  </cols>
  <sheetData>
    <row r="1" spans="1:23" ht="26.25">
      <c r="A1" s="1" t="s">
        <v>335</v>
      </c>
    </row>
    <row r="2" spans="1:23">
      <c r="M2" s="3"/>
    </row>
    <row r="3" spans="1:23" ht="18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336</v>
      </c>
      <c r="L3" s="6" t="s">
        <v>13</v>
      </c>
      <c r="M3" s="358"/>
      <c r="O3" s="4" t="s">
        <v>2</v>
      </c>
      <c r="P3" s="682" t="s">
        <v>14</v>
      </c>
      <c r="Q3" s="683"/>
      <c r="R3" s="683"/>
      <c r="S3" s="683"/>
      <c r="T3" s="684"/>
      <c r="V3" s="4" t="s">
        <v>15</v>
      </c>
      <c r="W3" s="4" t="s">
        <v>16</v>
      </c>
    </row>
    <row r="4" spans="1:23">
      <c r="A4" s="8" t="s">
        <v>337</v>
      </c>
      <c r="B4" s="9" t="s">
        <v>17</v>
      </c>
      <c r="C4" s="9" t="s">
        <v>18</v>
      </c>
      <c r="D4" s="9" t="s">
        <v>18</v>
      </c>
      <c r="E4" s="9" t="s">
        <v>19</v>
      </c>
      <c r="F4" s="9" t="s">
        <v>18</v>
      </c>
      <c r="G4" s="9" t="s">
        <v>18</v>
      </c>
      <c r="H4" s="9" t="s">
        <v>18</v>
      </c>
      <c r="I4" s="9" t="s">
        <v>17</v>
      </c>
      <c r="J4" s="9" t="s">
        <v>17</v>
      </c>
      <c r="K4" s="9" t="s">
        <v>17</v>
      </c>
      <c r="L4" s="10" t="s">
        <v>17</v>
      </c>
      <c r="M4" s="358"/>
      <c r="O4" s="8" t="s">
        <v>337</v>
      </c>
      <c r="P4" s="11">
        <v>0.6</v>
      </c>
      <c r="Q4" s="11">
        <v>0.7</v>
      </c>
      <c r="R4" s="11">
        <v>0.8</v>
      </c>
      <c r="S4" s="11">
        <v>0.9</v>
      </c>
      <c r="T4" s="11">
        <v>1</v>
      </c>
      <c r="V4" s="8" t="s">
        <v>20</v>
      </c>
      <c r="W4" s="8" t="s">
        <v>21</v>
      </c>
    </row>
    <row r="5" spans="1:23" ht="45">
      <c r="A5" s="396" t="s">
        <v>385</v>
      </c>
      <c r="B5" s="397">
        <f>5.9*175/235</f>
        <v>4.3936170212765955</v>
      </c>
      <c r="C5" s="398">
        <v>34</v>
      </c>
      <c r="D5" s="398">
        <f t="shared" ref="D5:D15" si="0">C5/2</f>
        <v>17</v>
      </c>
      <c r="E5" s="398">
        <v>2</v>
      </c>
      <c r="F5" s="398">
        <v>35</v>
      </c>
      <c r="G5" s="398">
        <v>65</v>
      </c>
      <c r="H5" s="398">
        <v>8</v>
      </c>
      <c r="I5" s="399">
        <f t="shared" ref="I5:I28" si="1">(0.52*SQRT(H5)*(F5)^0.9*$B$31^0.8)/1000</f>
        <v>4.2225826668958426</v>
      </c>
      <c r="J5" s="138">
        <f>($J$29*0.52*SQRT(H5)*G5^0.9*$B$31^0.8)/1000</f>
        <v>2.2113638026311735</v>
      </c>
      <c r="K5" s="439">
        <v>15.1</v>
      </c>
      <c r="L5" s="440">
        <f t="shared" ref="L5:L28" si="2">E5*MIN(B5,I5,J5)</f>
        <v>4.422727605262347</v>
      </c>
      <c r="M5" s="115"/>
      <c r="O5" s="396" t="s">
        <v>385</v>
      </c>
      <c r="P5" s="403">
        <f t="shared" ref="P5:P28" si="3">$E5*MIN($B5/$B$29,$I5*P$4/$L$29,$J5*P$4/$L$29,$K5/$K$29)</f>
        <v>2.0412588947364676</v>
      </c>
      <c r="Q5" s="403">
        <f t="shared" ref="Q5:T20" si="4">$E5*MIN($B5/$B$29,$I5*Q$4/$L$29,$J5*Q$4/$L$29,$K5/$K$29)</f>
        <v>2.3814687105258789</v>
      </c>
      <c r="R5" s="403">
        <f t="shared" si="4"/>
        <v>2.7216785263152903</v>
      </c>
      <c r="S5" s="403">
        <f t="shared" si="4"/>
        <v>3.0618883421047021</v>
      </c>
      <c r="T5" s="403">
        <f t="shared" si="4"/>
        <v>3.402098157894113</v>
      </c>
      <c r="V5" s="14" t="s">
        <v>22</v>
      </c>
      <c r="W5" s="15">
        <v>350</v>
      </c>
    </row>
    <row r="6" spans="1:23" ht="45">
      <c r="A6" s="396" t="s">
        <v>386</v>
      </c>
      <c r="B6" s="397">
        <f t="shared" ref="B6:B15" si="5">5.9*175/235</f>
        <v>4.3936170212765955</v>
      </c>
      <c r="C6" s="398">
        <v>54</v>
      </c>
      <c r="D6" s="398">
        <f t="shared" si="0"/>
        <v>27</v>
      </c>
      <c r="E6" s="398">
        <v>2</v>
      </c>
      <c r="F6" s="398">
        <v>35</v>
      </c>
      <c r="G6" s="398">
        <v>65</v>
      </c>
      <c r="H6" s="398">
        <v>8</v>
      </c>
      <c r="I6" s="399">
        <f t="shared" si="1"/>
        <v>4.2225826668958426</v>
      </c>
      <c r="J6" s="138">
        <f t="shared" ref="J6:J28" si="6">($J$29*0.52*SQRT(H6)*G6^0.9*$B$31^0.8)/1000</f>
        <v>2.2113638026311735</v>
      </c>
      <c r="K6" s="138">
        <f>$K$5</f>
        <v>15.1</v>
      </c>
      <c r="L6" s="440">
        <f t="shared" si="2"/>
        <v>4.422727605262347</v>
      </c>
      <c r="M6" s="115"/>
      <c r="N6" s="19"/>
      <c r="O6" s="396" t="s">
        <v>386</v>
      </c>
      <c r="P6" s="403">
        <f t="shared" si="3"/>
        <v>2.0412588947364676</v>
      </c>
      <c r="Q6" s="403">
        <f t="shared" si="4"/>
        <v>2.3814687105258789</v>
      </c>
      <c r="R6" s="403">
        <f t="shared" si="4"/>
        <v>2.7216785263152903</v>
      </c>
      <c r="S6" s="403">
        <f t="shared" si="4"/>
        <v>3.0618883421047021</v>
      </c>
      <c r="T6" s="403">
        <f t="shared" si="4"/>
        <v>3.402098157894113</v>
      </c>
      <c r="V6" s="14" t="s">
        <v>23</v>
      </c>
      <c r="W6" s="15">
        <v>380</v>
      </c>
    </row>
    <row r="7" spans="1:23" ht="45">
      <c r="A7" s="396" t="s">
        <v>387</v>
      </c>
      <c r="B7" s="397">
        <f t="shared" si="5"/>
        <v>4.3936170212765955</v>
      </c>
      <c r="C7" s="398">
        <v>74</v>
      </c>
      <c r="D7" s="398">
        <f t="shared" si="0"/>
        <v>37</v>
      </c>
      <c r="E7" s="398">
        <v>2</v>
      </c>
      <c r="F7" s="398">
        <v>35</v>
      </c>
      <c r="G7" s="398">
        <v>65</v>
      </c>
      <c r="H7" s="398">
        <v>8</v>
      </c>
      <c r="I7" s="399">
        <f t="shared" si="1"/>
        <v>4.2225826668958426</v>
      </c>
      <c r="J7" s="138">
        <f t="shared" si="6"/>
        <v>2.2113638026311735</v>
      </c>
      <c r="K7" s="138">
        <f t="shared" ref="K7:K26" si="7">$K$5</f>
        <v>15.1</v>
      </c>
      <c r="L7" s="440">
        <f t="shared" si="2"/>
        <v>4.422727605262347</v>
      </c>
      <c r="M7" s="115"/>
      <c r="O7" s="396" t="s">
        <v>387</v>
      </c>
      <c r="P7" s="403">
        <f t="shared" si="3"/>
        <v>2.0412588947364676</v>
      </c>
      <c r="Q7" s="403">
        <f t="shared" si="4"/>
        <v>2.3814687105258789</v>
      </c>
      <c r="R7" s="403">
        <f t="shared" si="4"/>
        <v>2.7216785263152903</v>
      </c>
      <c r="S7" s="403">
        <f t="shared" si="4"/>
        <v>3.0618883421047021</v>
      </c>
      <c r="T7" s="403">
        <f t="shared" si="4"/>
        <v>3.402098157894113</v>
      </c>
      <c r="V7" s="14" t="s">
        <v>24</v>
      </c>
      <c r="W7" s="15">
        <v>365</v>
      </c>
    </row>
    <row r="8" spans="1:23" ht="45">
      <c r="A8" s="396" t="s">
        <v>388</v>
      </c>
      <c r="B8" s="397">
        <f t="shared" si="5"/>
        <v>4.3936170212765955</v>
      </c>
      <c r="C8" s="398">
        <v>94</v>
      </c>
      <c r="D8" s="398">
        <f t="shared" si="0"/>
        <v>47</v>
      </c>
      <c r="E8" s="398">
        <v>2</v>
      </c>
      <c r="F8" s="398">
        <v>35</v>
      </c>
      <c r="G8" s="398">
        <v>65</v>
      </c>
      <c r="H8" s="398">
        <v>8</v>
      </c>
      <c r="I8" s="399">
        <f t="shared" si="1"/>
        <v>4.2225826668958426</v>
      </c>
      <c r="J8" s="138">
        <f t="shared" si="6"/>
        <v>2.2113638026311735</v>
      </c>
      <c r="K8" s="138">
        <f t="shared" si="7"/>
        <v>15.1</v>
      </c>
      <c r="L8" s="440">
        <f t="shared" si="2"/>
        <v>4.422727605262347</v>
      </c>
      <c r="M8" s="115"/>
      <c r="O8" s="396" t="s">
        <v>388</v>
      </c>
      <c r="P8" s="403">
        <f t="shared" si="3"/>
        <v>2.0412588947364676</v>
      </c>
      <c r="Q8" s="403">
        <f t="shared" si="4"/>
        <v>2.3814687105258789</v>
      </c>
      <c r="R8" s="403">
        <f t="shared" si="4"/>
        <v>2.7216785263152903</v>
      </c>
      <c r="S8" s="403">
        <f t="shared" si="4"/>
        <v>3.0618883421047021</v>
      </c>
      <c r="T8" s="403">
        <f t="shared" si="4"/>
        <v>3.402098157894113</v>
      </c>
      <c r="V8" s="14" t="s">
        <v>25</v>
      </c>
      <c r="W8" s="15">
        <v>385</v>
      </c>
    </row>
    <row r="9" spans="1:23" ht="45">
      <c r="A9" s="396" t="s">
        <v>389</v>
      </c>
      <c r="B9" s="397">
        <f t="shared" si="5"/>
        <v>4.3936170212765955</v>
      </c>
      <c r="C9" s="398">
        <v>114</v>
      </c>
      <c r="D9" s="398">
        <f t="shared" si="0"/>
        <v>57</v>
      </c>
      <c r="E9" s="398">
        <v>2</v>
      </c>
      <c r="F9" s="398">
        <v>35</v>
      </c>
      <c r="G9" s="398">
        <v>65</v>
      </c>
      <c r="H9" s="398">
        <v>8</v>
      </c>
      <c r="I9" s="399">
        <f t="shared" si="1"/>
        <v>4.2225826668958426</v>
      </c>
      <c r="J9" s="138">
        <f t="shared" si="6"/>
        <v>2.2113638026311735</v>
      </c>
      <c r="K9" s="138">
        <f t="shared" si="7"/>
        <v>15.1</v>
      </c>
      <c r="L9" s="440">
        <f t="shared" si="2"/>
        <v>4.422727605262347</v>
      </c>
      <c r="M9" s="115"/>
      <c r="O9" s="396" t="s">
        <v>389</v>
      </c>
      <c r="P9" s="403">
        <f t="shared" si="3"/>
        <v>2.0412588947364676</v>
      </c>
      <c r="Q9" s="403">
        <f t="shared" si="4"/>
        <v>2.3814687105258789</v>
      </c>
      <c r="R9" s="403">
        <f t="shared" si="4"/>
        <v>2.7216785263152903</v>
      </c>
      <c r="S9" s="403">
        <f t="shared" si="4"/>
        <v>3.0618883421047021</v>
      </c>
      <c r="T9" s="403">
        <f t="shared" si="4"/>
        <v>3.402098157894113</v>
      </c>
      <c r="V9" s="14" t="s">
        <v>26</v>
      </c>
      <c r="W9" s="15">
        <v>425</v>
      </c>
    </row>
    <row r="10" spans="1:23" ht="45">
      <c r="A10" s="396" t="s">
        <v>390</v>
      </c>
      <c r="B10" s="397">
        <f t="shared" si="5"/>
        <v>4.3936170212765955</v>
      </c>
      <c r="C10" s="398">
        <v>134</v>
      </c>
      <c r="D10" s="398">
        <f t="shared" si="0"/>
        <v>67</v>
      </c>
      <c r="E10" s="398">
        <v>2</v>
      </c>
      <c r="F10" s="398">
        <v>35</v>
      </c>
      <c r="G10" s="398">
        <v>65</v>
      </c>
      <c r="H10" s="398">
        <v>8</v>
      </c>
      <c r="I10" s="399">
        <f t="shared" si="1"/>
        <v>4.2225826668958426</v>
      </c>
      <c r="J10" s="138">
        <f t="shared" si="6"/>
        <v>2.2113638026311735</v>
      </c>
      <c r="K10" s="138">
        <f t="shared" si="7"/>
        <v>15.1</v>
      </c>
      <c r="L10" s="440">
        <f t="shared" si="2"/>
        <v>4.422727605262347</v>
      </c>
      <c r="M10" s="115"/>
      <c r="O10" s="396" t="s">
        <v>390</v>
      </c>
      <c r="P10" s="403">
        <f t="shared" si="3"/>
        <v>2.0412588947364676</v>
      </c>
      <c r="Q10" s="403">
        <f t="shared" si="4"/>
        <v>2.3814687105258789</v>
      </c>
      <c r="R10" s="403">
        <f t="shared" si="4"/>
        <v>2.7216785263152903</v>
      </c>
      <c r="S10" s="403">
        <f t="shared" si="4"/>
        <v>3.0618883421047021</v>
      </c>
      <c r="T10" s="403">
        <f t="shared" si="4"/>
        <v>3.402098157894113</v>
      </c>
      <c r="V10" s="14" t="s">
        <v>27</v>
      </c>
      <c r="W10" s="15">
        <v>390</v>
      </c>
    </row>
    <row r="11" spans="1:23" ht="45">
      <c r="A11" s="396" t="s">
        <v>391</v>
      </c>
      <c r="B11" s="397">
        <f t="shared" si="5"/>
        <v>4.3936170212765955</v>
      </c>
      <c r="C11" s="398">
        <v>134</v>
      </c>
      <c r="D11" s="398">
        <f t="shared" si="0"/>
        <v>67</v>
      </c>
      <c r="E11" s="398">
        <f>C11/(C11-D11)</f>
        <v>2</v>
      </c>
      <c r="F11" s="398">
        <v>35</v>
      </c>
      <c r="G11" s="398">
        <v>65</v>
      </c>
      <c r="H11" s="398">
        <v>8</v>
      </c>
      <c r="I11" s="399">
        <f t="shared" si="1"/>
        <v>4.2225826668958426</v>
      </c>
      <c r="J11" s="138">
        <f t="shared" si="6"/>
        <v>2.2113638026311735</v>
      </c>
      <c r="K11" s="138">
        <f t="shared" si="7"/>
        <v>15.1</v>
      </c>
      <c r="L11" s="440">
        <f t="shared" si="2"/>
        <v>4.422727605262347</v>
      </c>
      <c r="M11" s="115"/>
      <c r="O11" s="396" t="s">
        <v>391</v>
      </c>
      <c r="P11" s="403">
        <f t="shared" si="3"/>
        <v>2.0412588947364676</v>
      </c>
      <c r="Q11" s="403">
        <f t="shared" si="4"/>
        <v>2.3814687105258789</v>
      </c>
      <c r="R11" s="403">
        <f t="shared" si="4"/>
        <v>2.7216785263152903</v>
      </c>
      <c r="S11" s="403">
        <f t="shared" si="4"/>
        <v>3.0618883421047021</v>
      </c>
      <c r="T11" s="403">
        <f t="shared" si="4"/>
        <v>3.402098157894113</v>
      </c>
      <c r="V11" s="14" t="s">
        <v>298</v>
      </c>
      <c r="W11" s="15">
        <v>430</v>
      </c>
    </row>
    <row r="12" spans="1:23" ht="45">
      <c r="A12" s="396" t="s">
        <v>392</v>
      </c>
      <c r="B12" s="397">
        <f t="shared" si="5"/>
        <v>4.3936170212765955</v>
      </c>
      <c r="C12" s="398">
        <v>174</v>
      </c>
      <c r="D12" s="398">
        <f t="shared" si="0"/>
        <v>87</v>
      </c>
      <c r="E12" s="398">
        <f>C12/(C12-D12)</f>
        <v>2</v>
      </c>
      <c r="F12" s="398">
        <v>35</v>
      </c>
      <c r="G12" s="398">
        <v>65</v>
      </c>
      <c r="H12" s="398">
        <v>8</v>
      </c>
      <c r="I12" s="399">
        <f t="shared" si="1"/>
        <v>4.2225826668958426</v>
      </c>
      <c r="J12" s="138">
        <f t="shared" si="6"/>
        <v>2.2113638026311735</v>
      </c>
      <c r="K12" s="138">
        <f t="shared" si="7"/>
        <v>15.1</v>
      </c>
      <c r="L12" s="440">
        <f t="shared" si="2"/>
        <v>4.422727605262347</v>
      </c>
      <c r="M12" s="115"/>
      <c r="O12" s="396" t="s">
        <v>392</v>
      </c>
      <c r="P12" s="403">
        <f t="shared" si="3"/>
        <v>2.0412588947364676</v>
      </c>
      <c r="Q12" s="403">
        <f t="shared" si="4"/>
        <v>2.3814687105258789</v>
      </c>
      <c r="R12" s="403">
        <f t="shared" si="4"/>
        <v>2.7216785263152903</v>
      </c>
      <c r="S12" s="403">
        <f t="shared" si="4"/>
        <v>3.0618883421047021</v>
      </c>
      <c r="T12" s="403">
        <f t="shared" si="4"/>
        <v>3.402098157894113</v>
      </c>
      <c r="V12" s="14" t="s">
        <v>300</v>
      </c>
      <c r="W12" s="15">
        <v>400</v>
      </c>
    </row>
    <row r="13" spans="1:23" ht="45">
      <c r="A13" s="396" t="s">
        <v>393</v>
      </c>
      <c r="B13" s="397">
        <f t="shared" si="5"/>
        <v>4.3936170212765955</v>
      </c>
      <c r="C13" s="398">
        <v>214</v>
      </c>
      <c r="D13" s="398">
        <f t="shared" si="0"/>
        <v>107</v>
      </c>
      <c r="E13" s="398">
        <f>C13/(C13-D13)</f>
        <v>2</v>
      </c>
      <c r="F13" s="398">
        <v>35</v>
      </c>
      <c r="G13" s="398">
        <v>65</v>
      </c>
      <c r="H13" s="398">
        <v>8</v>
      </c>
      <c r="I13" s="399">
        <f t="shared" si="1"/>
        <v>4.2225826668958426</v>
      </c>
      <c r="J13" s="138">
        <f t="shared" si="6"/>
        <v>2.2113638026311735</v>
      </c>
      <c r="K13" s="138">
        <f t="shared" si="7"/>
        <v>15.1</v>
      </c>
      <c r="L13" s="440">
        <f t="shared" si="2"/>
        <v>4.422727605262347</v>
      </c>
      <c r="M13" s="115"/>
      <c r="O13" s="396" t="s">
        <v>393</v>
      </c>
      <c r="P13" s="403">
        <f t="shared" si="3"/>
        <v>2.0412588947364676</v>
      </c>
      <c r="Q13" s="403">
        <f t="shared" si="4"/>
        <v>2.3814687105258789</v>
      </c>
      <c r="R13" s="403">
        <f t="shared" si="4"/>
        <v>2.7216785263152903</v>
      </c>
      <c r="S13" s="403">
        <f t="shared" si="4"/>
        <v>3.0618883421047021</v>
      </c>
      <c r="T13" s="403">
        <f t="shared" si="4"/>
        <v>3.402098157894113</v>
      </c>
      <c r="V13" s="14" t="s">
        <v>302</v>
      </c>
      <c r="W13" s="15">
        <v>440</v>
      </c>
    </row>
    <row r="14" spans="1:23" ht="45">
      <c r="A14" s="396" t="s">
        <v>394</v>
      </c>
      <c r="B14" s="397">
        <f t="shared" si="5"/>
        <v>4.3936170212765955</v>
      </c>
      <c r="C14" s="398">
        <v>254</v>
      </c>
      <c r="D14" s="398">
        <f t="shared" si="0"/>
        <v>127</v>
      </c>
      <c r="E14" s="398">
        <f>C14/(C14-D14)</f>
        <v>2</v>
      </c>
      <c r="F14" s="398">
        <v>35</v>
      </c>
      <c r="G14" s="398">
        <v>65</v>
      </c>
      <c r="H14" s="398">
        <v>8</v>
      </c>
      <c r="I14" s="399">
        <f t="shared" si="1"/>
        <v>4.2225826668958426</v>
      </c>
      <c r="J14" s="138">
        <f t="shared" si="6"/>
        <v>2.2113638026311735</v>
      </c>
      <c r="K14" s="138">
        <f t="shared" si="7"/>
        <v>15.1</v>
      </c>
      <c r="L14" s="440">
        <f t="shared" si="2"/>
        <v>4.422727605262347</v>
      </c>
      <c r="M14" s="115"/>
      <c r="O14" s="396" t="s">
        <v>394</v>
      </c>
      <c r="P14" s="403">
        <f t="shared" si="3"/>
        <v>2.0412588947364676</v>
      </c>
      <c r="Q14" s="403">
        <f t="shared" si="4"/>
        <v>2.3814687105258789</v>
      </c>
      <c r="R14" s="403">
        <f t="shared" si="4"/>
        <v>2.7216785263152903</v>
      </c>
      <c r="S14" s="403">
        <f t="shared" si="4"/>
        <v>3.0618883421047021</v>
      </c>
      <c r="T14" s="403">
        <f t="shared" si="4"/>
        <v>3.402098157894113</v>
      </c>
      <c r="V14" s="247"/>
      <c r="W14" s="105"/>
    </row>
    <row r="15" spans="1:23" ht="45.75" thickBot="1">
      <c r="A15" s="438" t="s">
        <v>395</v>
      </c>
      <c r="B15" s="441">
        <f t="shared" si="5"/>
        <v>4.3936170212765955</v>
      </c>
      <c r="C15" s="442">
        <v>294</v>
      </c>
      <c r="D15" s="442">
        <f t="shared" si="0"/>
        <v>147</v>
      </c>
      <c r="E15" s="442">
        <f>C15/(C15-D15)</f>
        <v>2</v>
      </c>
      <c r="F15" s="442">
        <v>35</v>
      </c>
      <c r="G15" s="442">
        <v>65</v>
      </c>
      <c r="H15" s="442">
        <v>8</v>
      </c>
      <c r="I15" s="443">
        <f t="shared" si="1"/>
        <v>4.2225826668958426</v>
      </c>
      <c r="J15" s="444">
        <f t="shared" si="6"/>
        <v>2.2113638026311735</v>
      </c>
      <c r="K15" s="444">
        <f t="shared" si="7"/>
        <v>15.1</v>
      </c>
      <c r="L15" s="445">
        <f t="shared" si="2"/>
        <v>4.422727605262347</v>
      </c>
      <c r="M15" s="115"/>
      <c r="O15" s="438" t="s">
        <v>395</v>
      </c>
      <c r="P15" s="474">
        <f t="shared" si="3"/>
        <v>2.0412588947364676</v>
      </c>
      <c r="Q15" s="474">
        <f t="shared" si="4"/>
        <v>2.3814687105258789</v>
      </c>
      <c r="R15" s="474">
        <f t="shared" si="4"/>
        <v>2.7216785263152903</v>
      </c>
      <c r="S15" s="474">
        <f t="shared" si="4"/>
        <v>3.0618883421047021</v>
      </c>
      <c r="T15" s="474">
        <f t="shared" si="4"/>
        <v>3.402098157894113</v>
      </c>
      <c r="V15" s="247"/>
      <c r="W15" s="105"/>
    </row>
    <row r="16" spans="1:23" ht="45.75" thickTop="1">
      <c r="A16" s="411" t="s">
        <v>396</v>
      </c>
      <c r="B16" s="412">
        <v>4.0999999999999996</v>
      </c>
      <c r="C16" s="413">
        <v>40</v>
      </c>
      <c r="D16" s="413">
        <f>C16/2</f>
        <v>20</v>
      </c>
      <c r="E16" s="413">
        <v>2</v>
      </c>
      <c r="F16" s="413">
        <v>35</v>
      </c>
      <c r="G16" s="413">
        <v>65</v>
      </c>
      <c r="H16" s="413">
        <v>8</v>
      </c>
      <c r="I16" s="414">
        <f t="shared" si="1"/>
        <v>4.2225826668958426</v>
      </c>
      <c r="J16" s="415">
        <f t="shared" si="6"/>
        <v>2.2113638026311735</v>
      </c>
      <c r="K16" s="415">
        <f t="shared" si="7"/>
        <v>15.1</v>
      </c>
      <c r="L16" s="416">
        <f t="shared" si="2"/>
        <v>4.422727605262347</v>
      </c>
      <c r="M16" s="115"/>
      <c r="O16" s="411" t="s">
        <v>396</v>
      </c>
      <c r="P16" s="417">
        <f t="shared" si="3"/>
        <v>2.0412588947364676</v>
      </c>
      <c r="Q16" s="417">
        <f t="shared" si="4"/>
        <v>2.3814687105258789</v>
      </c>
      <c r="R16" s="417">
        <f t="shared" si="4"/>
        <v>2.7216785263152903</v>
      </c>
      <c r="S16" s="417">
        <f t="shared" si="4"/>
        <v>3.0618883421047021</v>
      </c>
      <c r="T16" s="417">
        <f t="shared" si="4"/>
        <v>3.402098157894113</v>
      </c>
    </row>
    <row r="17" spans="1:32" ht="45">
      <c r="A17" s="396" t="s">
        <v>397</v>
      </c>
      <c r="B17" s="412">
        <v>4.0999999999999996</v>
      </c>
      <c r="C17" s="398">
        <v>60</v>
      </c>
      <c r="D17" s="398">
        <f t="shared" ref="D17:D26" si="8">C17/2</f>
        <v>30</v>
      </c>
      <c r="E17" s="398">
        <v>2</v>
      </c>
      <c r="F17" s="398">
        <v>35</v>
      </c>
      <c r="G17" s="398">
        <v>65</v>
      </c>
      <c r="H17" s="398">
        <v>8</v>
      </c>
      <c r="I17" s="399">
        <f t="shared" si="1"/>
        <v>4.2225826668958426</v>
      </c>
      <c r="J17" s="138">
        <f t="shared" si="6"/>
        <v>2.2113638026311735</v>
      </c>
      <c r="K17" s="138">
        <f t="shared" si="7"/>
        <v>15.1</v>
      </c>
      <c r="L17" s="440">
        <f t="shared" si="2"/>
        <v>4.422727605262347</v>
      </c>
      <c r="M17" s="115"/>
      <c r="O17" s="396" t="s">
        <v>397</v>
      </c>
      <c r="P17" s="403">
        <f t="shared" si="3"/>
        <v>2.0412588947364676</v>
      </c>
      <c r="Q17" s="403">
        <f t="shared" si="4"/>
        <v>2.3814687105258789</v>
      </c>
      <c r="R17" s="403">
        <f t="shared" si="4"/>
        <v>2.7216785263152903</v>
      </c>
      <c r="S17" s="403">
        <f t="shared" si="4"/>
        <v>3.0618883421047021</v>
      </c>
      <c r="T17" s="403">
        <f t="shared" si="4"/>
        <v>3.402098157894113</v>
      </c>
      <c r="U17" s="20"/>
    </row>
    <row r="18" spans="1:32" ht="45">
      <c r="A18" s="396" t="s">
        <v>398</v>
      </c>
      <c r="B18" s="412">
        <v>4.0999999999999996</v>
      </c>
      <c r="C18" s="398">
        <v>80</v>
      </c>
      <c r="D18" s="398">
        <f t="shared" si="8"/>
        <v>40</v>
      </c>
      <c r="E18" s="398">
        <v>2</v>
      </c>
      <c r="F18" s="398">
        <v>35</v>
      </c>
      <c r="G18" s="398">
        <v>65</v>
      </c>
      <c r="H18" s="398">
        <v>8</v>
      </c>
      <c r="I18" s="399">
        <f t="shared" si="1"/>
        <v>4.2225826668958426</v>
      </c>
      <c r="J18" s="138">
        <f t="shared" si="6"/>
        <v>2.2113638026311735</v>
      </c>
      <c r="K18" s="138">
        <f t="shared" si="7"/>
        <v>15.1</v>
      </c>
      <c r="L18" s="440">
        <f t="shared" si="2"/>
        <v>4.422727605262347</v>
      </c>
      <c r="M18" s="115"/>
      <c r="O18" s="396" t="s">
        <v>398</v>
      </c>
      <c r="P18" s="403">
        <f t="shared" si="3"/>
        <v>2.0412588947364676</v>
      </c>
      <c r="Q18" s="403">
        <f t="shared" si="4"/>
        <v>2.3814687105258789</v>
      </c>
      <c r="R18" s="403">
        <f t="shared" si="4"/>
        <v>2.7216785263152903</v>
      </c>
      <c r="S18" s="403">
        <f t="shared" si="4"/>
        <v>3.0618883421047021</v>
      </c>
      <c r="T18" s="403">
        <f t="shared" si="4"/>
        <v>3.402098157894113</v>
      </c>
    </row>
    <row r="19" spans="1:32" ht="45">
      <c r="A19" s="396" t="s">
        <v>399</v>
      </c>
      <c r="B19" s="412">
        <v>4.0999999999999996</v>
      </c>
      <c r="C19" s="398">
        <v>100</v>
      </c>
      <c r="D19" s="398">
        <f t="shared" si="8"/>
        <v>50</v>
      </c>
      <c r="E19" s="398">
        <v>2</v>
      </c>
      <c r="F19" s="398">
        <v>35</v>
      </c>
      <c r="G19" s="398">
        <v>65</v>
      </c>
      <c r="H19" s="398">
        <v>8</v>
      </c>
      <c r="I19" s="399">
        <f t="shared" si="1"/>
        <v>4.2225826668958426</v>
      </c>
      <c r="J19" s="138">
        <f t="shared" si="6"/>
        <v>2.2113638026311735</v>
      </c>
      <c r="K19" s="138">
        <f t="shared" si="7"/>
        <v>15.1</v>
      </c>
      <c r="L19" s="440">
        <f t="shared" si="2"/>
        <v>4.422727605262347</v>
      </c>
      <c r="M19" s="115"/>
      <c r="O19" s="396" t="s">
        <v>399</v>
      </c>
      <c r="P19" s="403">
        <f t="shared" si="3"/>
        <v>2.0412588947364676</v>
      </c>
      <c r="Q19" s="403">
        <f t="shared" si="4"/>
        <v>2.3814687105258789</v>
      </c>
      <c r="R19" s="403">
        <f t="shared" si="4"/>
        <v>2.7216785263152903</v>
      </c>
      <c r="S19" s="403">
        <f t="shared" si="4"/>
        <v>3.0618883421047021</v>
      </c>
      <c r="T19" s="403">
        <f t="shared" si="4"/>
        <v>3.402098157894113</v>
      </c>
    </row>
    <row r="20" spans="1:32" ht="45">
      <c r="A20" s="396" t="s">
        <v>400</v>
      </c>
      <c r="B20" s="412">
        <v>4.0999999999999996</v>
      </c>
      <c r="C20" s="398">
        <v>120</v>
      </c>
      <c r="D20" s="398">
        <f t="shared" si="8"/>
        <v>60</v>
      </c>
      <c r="E20" s="398">
        <v>2</v>
      </c>
      <c r="F20" s="398">
        <v>35</v>
      </c>
      <c r="G20" s="398">
        <v>65</v>
      </c>
      <c r="H20" s="398">
        <v>8</v>
      </c>
      <c r="I20" s="399">
        <f t="shared" si="1"/>
        <v>4.2225826668958426</v>
      </c>
      <c r="J20" s="138">
        <f t="shared" si="6"/>
        <v>2.2113638026311735</v>
      </c>
      <c r="K20" s="138">
        <f t="shared" si="7"/>
        <v>15.1</v>
      </c>
      <c r="L20" s="440">
        <f t="shared" si="2"/>
        <v>4.422727605262347</v>
      </c>
      <c r="M20" s="115"/>
      <c r="O20" s="396" t="s">
        <v>400</v>
      </c>
      <c r="P20" s="403">
        <f t="shared" si="3"/>
        <v>2.0412588947364676</v>
      </c>
      <c r="Q20" s="403">
        <f t="shared" si="4"/>
        <v>2.3814687105258789</v>
      </c>
      <c r="R20" s="403">
        <f t="shared" si="4"/>
        <v>2.7216785263152903</v>
      </c>
      <c r="S20" s="403">
        <f t="shared" si="4"/>
        <v>3.0618883421047021</v>
      </c>
      <c r="T20" s="403">
        <f t="shared" si="4"/>
        <v>3.402098157894113</v>
      </c>
    </row>
    <row r="21" spans="1:32" ht="45">
      <c r="A21" s="396" t="s">
        <v>401</v>
      </c>
      <c r="B21" s="412">
        <v>4.0999999999999996</v>
      </c>
      <c r="C21" s="398">
        <v>140</v>
      </c>
      <c r="D21" s="398">
        <f t="shared" si="8"/>
        <v>70</v>
      </c>
      <c r="E21" s="398">
        <v>2</v>
      </c>
      <c r="F21" s="398">
        <v>35</v>
      </c>
      <c r="G21" s="398">
        <v>65</v>
      </c>
      <c r="H21" s="398">
        <v>8</v>
      </c>
      <c r="I21" s="399">
        <f t="shared" si="1"/>
        <v>4.2225826668958426</v>
      </c>
      <c r="J21" s="138">
        <f t="shared" si="6"/>
        <v>2.2113638026311735</v>
      </c>
      <c r="K21" s="138">
        <f t="shared" si="7"/>
        <v>15.1</v>
      </c>
      <c r="L21" s="440">
        <f t="shared" si="2"/>
        <v>4.422727605262347</v>
      </c>
      <c r="M21" s="115"/>
      <c r="O21" s="396" t="s">
        <v>401</v>
      </c>
      <c r="P21" s="403">
        <f t="shared" si="3"/>
        <v>2.0412588947364676</v>
      </c>
      <c r="Q21" s="403">
        <f t="shared" ref="Q21:T28" si="9">$E21*MIN($B21/$B$29,$I21*Q$4/$L$29,$J21*Q$4/$L$29,$K21/$K$29)</f>
        <v>2.3814687105258789</v>
      </c>
      <c r="R21" s="403">
        <f t="shared" si="9"/>
        <v>2.7216785263152903</v>
      </c>
      <c r="S21" s="403">
        <f t="shared" si="9"/>
        <v>3.0618883421047021</v>
      </c>
      <c r="T21" s="403">
        <f t="shared" si="9"/>
        <v>3.402098157894113</v>
      </c>
    </row>
    <row r="22" spans="1:32" ht="45">
      <c r="A22" s="396" t="s">
        <v>402</v>
      </c>
      <c r="B22" s="412">
        <v>4.0999999999999996</v>
      </c>
      <c r="C22" s="398">
        <v>140</v>
      </c>
      <c r="D22" s="398">
        <f t="shared" si="8"/>
        <v>70</v>
      </c>
      <c r="E22" s="398">
        <f>C22/(C22-D22)</f>
        <v>2</v>
      </c>
      <c r="F22" s="398">
        <v>35</v>
      </c>
      <c r="G22" s="398">
        <v>65</v>
      </c>
      <c r="H22" s="398">
        <v>8</v>
      </c>
      <c r="I22" s="399">
        <f t="shared" si="1"/>
        <v>4.2225826668958426</v>
      </c>
      <c r="J22" s="138">
        <f t="shared" si="6"/>
        <v>2.2113638026311735</v>
      </c>
      <c r="K22" s="138">
        <f t="shared" si="7"/>
        <v>15.1</v>
      </c>
      <c r="L22" s="440">
        <f t="shared" si="2"/>
        <v>4.422727605262347</v>
      </c>
      <c r="M22" s="115"/>
      <c r="O22" s="396" t="s">
        <v>402</v>
      </c>
      <c r="P22" s="403">
        <f t="shared" si="3"/>
        <v>2.0412588947364676</v>
      </c>
      <c r="Q22" s="403">
        <f t="shared" si="9"/>
        <v>2.3814687105258789</v>
      </c>
      <c r="R22" s="403">
        <f t="shared" si="9"/>
        <v>2.7216785263152903</v>
      </c>
      <c r="S22" s="403">
        <f t="shared" si="9"/>
        <v>3.0618883421047021</v>
      </c>
      <c r="T22" s="403">
        <f t="shared" si="9"/>
        <v>3.402098157894113</v>
      </c>
    </row>
    <row r="23" spans="1:32" ht="45">
      <c r="A23" s="396" t="s">
        <v>403</v>
      </c>
      <c r="B23" s="412">
        <v>4.0999999999999996</v>
      </c>
      <c r="C23" s="398">
        <v>180</v>
      </c>
      <c r="D23" s="398">
        <f t="shared" si="8"/>
        <v>90</v>
      </c>
      <c r="E23" s="398">
        <f>C23/(C23-D23)</f>
        <v>2</v>
      </c>
      <c r="F23" s="398">
        <v>35</v>
      </c>
      <c r="G23" s="398">
        <v>65</v>
      </c>
      <c r="H23" s="398">
        <v>8</v>
      </c>
      <c r="I23" s="399">
        <f t="shared" si="1"/>
        <v>4.2225826668958426</v>
      </c>
      <c r="J23" s="138">
        <f t="shared" si="6"/>
        <v>2.2113638026311735</v>
      </c>
      <c r="K23" s="138">
        <f t="shared" si="7"/>
        <v>15.1</v>
      </c>
      <c r="L23" s="440">
        <f t="shared" si="2"/>
        <v>4.422727605262347</v>
      </c>
      <c r="M23" s="115"/>
      <c r="N23" s="360"/>
      <c r="O23" s="396" t="s">
        <v>403</v>
      </c>
      <c r="P23" s="403">
        <f t="shared" si="3"/>
        <v>2.0412588947364676</v>
      </c>
      <c r="Q23" s="403">
        <f t="shared" si="9"/>
        <v>2.3814687105258789</v>
      </c>
      <c r="R23" s="403">
        <f t="shared" si="9"/>
        <v>2.7216785263152903</v>
      </c>
      <c r="S23" s="403">
        <f t="shared" si="9"/>
        <v>3.0618883421047021</v>
      </c>
      <c r="T23" s="403">
        <f t="shared" si="9"/>
        <v>3.402098157894113</v>
      </c>
    </row>
    <row r="24" spans="1:32" ht="45">
      <c r="A24" s="396" t="s">
        <v>404</v>
      </c>
      <c r="B24" s="412">
        <v>4.0999999999999996</v>
      </c>
      <c r="C24" s="398">
        <v>220</v>
      </c>
      <c r="D24" s="398">
        <f t="shared" si="8"/>
        <v>110</v>
      </c>
      <c r="E24" s="398">
        <f>C24/(C24-D24)</f>
        <v>2</v>
      </c>
      <c r="F24" s="398">
        <v>35</v>
      </c>
      <c r="G24" s="398">
        <v>65</v>
      </c>
      <c r="H24" s="398">
        <v>8</v>
      </c>
      <c r="I24" s="399">
        <f t="shared" si="1"/>
        <v>4.2225826668958426</v>
      </c>
      <c r="J24" s="138">
        <f t="shared" si="6"/>
        <v>2.2113638026311735</v>
      </c>
      <c r="K24" s="138">
        <f t="shared" si="7"/>
        <v>15.1</v>
      </c>
      <c r="L24" s="440">
        <f t="shared" si="2"/>
        <v>4.422727605262347</v>
      </c>
      <c r="M24" s="115"/>
      <c r="N24" s="360"/>
      <c r="O24" s="396" t="s">
        <v>404</v>
      </c>
      <c r="P24" s="403">
        <f t="shared" si="3"/>
        <v>2.0412588947364676</v>
      </c>
      <c r="Q24" s="403">
        <f t="shared" si="9"/>
        <v>2.3814687105258789</v>
      </c>
      <c r="R24" s="403">
        <f t="shared" si="9"/>
        <v>2.7216785263152903</v>
      </c>
      <c r="S24" s="403">
        <f t="shared" si="9"/>
        <v>3.0618883421047021</v>
      </c>
      <c r="T24" s="403">
        <f t="shared" si="9"/>
        <v>3.402098157894113</v>
      </c>
      <c r="U24" s="20"/>
    </row>
    <row r="25" spans="1:32" ht="45">
      <c r="A25" s="396" t="s">
        <v>405</v>
      </c>
      <c r="B25" s="412">
        <v>4.0999999999999996</v>
      </c>
      <c r="C25" s="413">
        <v>260</v>
      </c>
      <c r="D25" s="413">
        <f t="shared" si="8"/>
        <v>130</v>
      </c>
      <c r="E25" s="413">
        <f>C25/(C25-D25)</f>
        <v>2</v>
      </c>
      <c r="F25" s="413">
        <v>35</v>
      </c>
      <c r="G25" s="413">
        <v>65</v>
      </c>
      <c r="H25" s="413">
        <v>8</v>
      </c>
      <c r="I25" s="414">
        <f t="shared" si="1"/>
        <v>4.2225826668958426</v>
      </c>
      <c r="J25" s="138">
        <f t="shared" si="6"/>
        <v>2.2113638026311735</v>
      </c>
      <c r="K25" s="138">
        <f t="shared" si="7"/>
        <v>15.1</v>
      </c>
      <c r="L25" s="440">
        <f t="shared" si="2"/>
        <v>4.422727605262347</v>
      </c>
      <c r="M25" s="115"/>
      <c r="O25" s="396" t="s">
        <v>405</v>
      </c>
      <c r="P25" s="403">
        <f t="shared" si="3"/>
        <v>2.0412588947364676</v>
      </c>
      <c r="Q25" s="403">
        <f t="shared" si="9"/>
        <v>2.3814687105258789</v>
      </c>
      <c r="R25" s="403">
        <f t="shared" si="9"/>
        <v>2.7216785263152903</v>
      </c>
      <c r="S25" s="403">
        <f t="shared" si="9"/>
        <v>3.0618883421047021</v>
      </c>
      <c r="T25" s="403">
        <f t="shared" si="9"/>
        <v>3.402098157894113</v>
      </c>
      <c r="U25" s="20"/>
    </row>
    <row r="26" spans="1:32" ht="45.75" thickBot="1">
      <c r="A26" s="396" t="s">
        <v>406</v>
      </c>
      <c r="B26" s="441">
        <v>4.0999999999999996</v>
      </c>
      <c r="C26" s="442">
        <v>300</v>
      </c>
      <c r="D26" s="442">
        <f t="shared" si="8"/>
        <v>150</v>
      </c>
      <c r="E26" s="442">
        <f>C26/(C26-D26)</f>
        <v>2</v>
      </c>
      <c r="F26" s="442">
        <v>35</v>
      </c>
      <c r="G26" s="442">
        <v>65</v>
      </c>
      <c r="H26" s="442">
        <v>8</v>
      </c>
      <c r="I26" s="443">
        <f t="shared" si="1"/>
        <v>4.2225826668958426</v>
      </c>
      <c r="J26" s="444">
        <f t="shared" si="6"/>
        <v>2.2113638026311735</v>
      </c>
      <c r="K26" s="444">
        <f t="shared" si="7"/>
        <v>15.1</v>
      </c>
      <c r="L26" s="445">
        <f t="shared" si="2"/>
        <v>4.422727605262347</v>
      </c>
      <c r="M26" s="115"/>
      <c r="O26" s="438" t="s">
        <v>406</v>
      </c>
      <c r="P26" s="474">
        <f t="shared" si="3"/>
        <v>2.0412588947364676</v>
      </c>
      <c r="Q26" s="474">
        <f t="shared" si="9"/>
        <v>2.3814687105258789</v>
      </c>
      <c r="R26" s="474">
        <f t="shared" si="9"/>
        <v>2.7216785263152903</v>
      </c>
      <c r="S26" s="474">
        <f t="shared" si="9"/>
        <v>3.0618883421047021</v>
      </c>
      <c r="T26" s="474">
        <f t="shared" si="9"/>
        <v>3.402098157894113</v>
      </c>
      <c r="U26" s="20"/>
    </row>
    <row r="27" spans="1:32" ht="45.75" thickTop="1">
      <c r="A27" s="411" t="s">
        <v>407</v>
      </c>
      <c r="B27" s="412">
        <v>2.6</v>
      </c>
      <c r="C27" s="413">
        <f>70-15</f>
        <v>55</v>
      </c>
      <c r="D27" s="413">
        <f>C27/2</f>
        <v>27.5</v>
      </c>
      <c r="E27" s="413">
        <v>2</v>
      </c>
      <c r="F27" s="413">
        <v>35</v>
      </c>
      <c r="G27" s="413">
        <v>65</v>
      </c>
      <c r="H27" s="413">
        <v>5</v>
      </c>
      <c r="I27" s="414">
        <f t="shared" si="1"/>
        <v>3.3382447089347353</v>
      </c>
      <c r="J27" s="415">
        <f t="shared" si="6"/>
        <v>1.7482365878913895</v>
      </c>
      <c r="K27" s="446">
        <v>5.9</v>
      </c>
      <c r="L27" s="416">
        <f t="shared" si="2"/>
        <v>3.4964731757827789</v>
      </c>
      <c r="M27" s="115"/>
      <c r="O27" s="411" t="s">
        <v>407</v>
      </c>
      <c r="P27" s="417">
        <f t="shared" si="3"/>
        <v>1.6137568503612825</v>
      </c>
      <c r="Q27" s="417">
        <f t="shared" si="9"/>
        <v>1.8827163254214963</v>
      </c>
      <c r="R27" s="417">
        <f t="shared" si="9"/>
        <v>2.1516758004817103</v>
      </c>
      <c r="S27" s="417">
        <f t="shared" si="9"/>
        <v>2.4206352755419238</v>
      </c>
      <c r="T27" s="417">
        <f t="shared" si="9"/>
        <v>2.6895947506021374</v>
      </c>
    </row>
    <row r="28" spans="1:32" ht="45">
      <c r="A28" s="411" t="s">
        <v>408</v>
      </c>
      <c r="B28" s="397">
        <v>2.6</v>
      </c>
      <c r="C28" s="398">
        <f>66-15</f>
        <v>51</v>
      </c>
      <c r="D28" s="398">
        <f>C28/2</f>
        <v>25.5</v>
      </c>
      <c r="E28" s="398">
        <v>2</v>
      </c>
      <c r="F28" s="398">
        <v>35</v>
      </c>
      <c r="G28" s="398">
        <v>65</v>
      </c>
      <c r="H28" s="398">
        <v>5</v>
      </c>
      <c r="I28" s="399">
        <f t="shared" si="1"/>
        <v>3.3382447089347353</v>
      </c>
      <c r="J28" s="138">
        <f t="shared" si="6"/>
        <v>1.7482365878913895</v>
      </c>
      <c r="K28" s="446">
        <f>7.5*175/235</f>
        <v>5.5851063829787231</v>
      </c>
      <c r="L28" s="440">
        <f t="shared" si="2"/>
        <v>3.4964731757827789</v>
      </c>
      <c r="M28" s="115"/>
      <c r="O28" s="411" t="s">
        <v>408</v>
      </c>
      <c r="P28" s="403">
        <f t="shared" si="3"/>
        <v>1.6137568503612825</v>
      </c>
      <c r="Q28" s="403">
        <f t="shared" si="9"/>
        <v>1.8827163254214963</v>
      </c>
      <c r="R28" s="403">
        <f t="shared" si="9"/>
        <v>2.1516758004817103</v>
      </c>
      <c r="S28" s="403">
        <f t="shared" si="9"/>
        <v>2.4206352755419238</v>
      </c>
      <c r="T28" s="403">
        <f t="shared" si="9"/>
        <v>2.6895947506021374</v>
      </c>
    </row>
    <row r="29" spans="1:32">
      <c r="A29" s="361" t="s">
        <v>338</v>
      </c>
      <c r="B29" s="362">
        <v>1</v>
      </c>
      <c r="I29" s="390" t="s">
        <v>355</v>
      </c>
      <c r="J29" s="14">
        <v>0.3</v>
      </c>
      <c r="K29" s="14">
        <v>1.25</v>
      </c>
      <c r="L29" s="14">
        <v>1.3</v>
      </c>
      <c r="M29" s="475" t="s">
        <v>409</v>
      </c>
    </row>
    <row r="30" spans="1:32">
      <c r="A30" s="21" t="s">
        <v>37</v>
      </c>
      <c r="B30" s="22" t="s">
        <v>25</v>
      </c>
      <c r="V30" s="363"/>
      <c r="W30" s="363"/>
      <c r="X30" s="363"/>
      <c r="Y30" s="105"/>
      <c r="Z30" s="105"/>
      <c r="AA30" s="247"/>
      <c r="AB30" s="247"/>
      <c r="AC30" s="247"/>
      <c r="AD30" s="247"/>
      <c r="AE30" s="247"/>
      <c r="AF30" s="247"/>
    </row>
    <row r="31" spans="1:32" ht="18">
      <c r="A31" s="23" t="s">
        <v>39</v>
      </c>
      <c r="B31" s="24">
        <f>VLOOKUP(B30,V5:W13,2,FALSE)</f>
        <v>385</v>
      </c>
      <c r="C31" t="s">
        <v>40</v>
      </c>
      <c r="V31" s="363"/>
      <c r="W31" s="363"/>
      <c r="X31" s="363"/>
      <c r="Y31" s="363"/>
      <c r="Z31" s="363"/>
      <c r="AA31" s="247"/>
      <c r="AB31" s="363"/>
      <c r="AC31" s="363"/>
      <c r="AD31" s="363"/>
      <c r="AE31" s="363"/>
      <c r="AF31" s="363"/>
    </row>
    <row r="32" spans="1:32">
      <c r="V32" s="247"/>
      <c r="W32" s="105"/>
      <c r="X32" s="105"/>
      <c r="Y32" s="105"/>
      <c r="Z32" s="105"/>
      <c r="AA32" s="247"/>
      <c r="AB32" s="247"/>
      <c r="AC32" s="105"/>
      <c r="AD32" s="105"/>
      <c r="AE32" s="105"/>
      <c r="AF32" s="105"/>
    </row>
    <row r="33" spans="1:32" ht="18">
      <c r="A33" s="4" t="s">
        <v>2</v>
      </c>
      <c r="B33" s="5" t="s">
        <v>3</v>
      </c>
      <c r="C33" s="5" t="s">
        <v>43</v>
      </c>
      <c r="D33" s="5" t="s">
        <v>9</v>
      </c>
      <c r="E33" s="5" t="s">
        <v>44</v>
      </c>
      <c r="F33" s="5" t="s">
        <v>45</v>
      </c>
      <c r="G33" s="5" t="s">
        <v>12</v>
      </c>
      <c r="H33" s="5" t="s">
        <v>9</v>
      </c>
      <c r="I33" s="5" t="s">
        <v>46</v>
      </c>
      <c r="J33" s="5" t="s">
        <v>47</v>
      </c>
      <c r="K33" s="6" t="s">
        <v>48</v>
      </c>
      <c r="L33" s="758"/>
      <c r="O33" s="4" t="s">
        <v>2</v>
      </c>
      <c r="P33" s="682" t="s">
        <v>14</v>
      </c>
      <c r="Q33" s="683"/>
      <c r="R33" s="683"/>
      <c r="S33" s="683"/>
      <c r="T33" s="684"/>
      <c r="V33" s="247"/>
      <c r="W33" s="20"/>
      <c r="X33" s="20"/>
      <c r="Y33" s="20"/>
      <c r="Z33" s="20"/>
      <c r="AA33" s="247"/>
      <c r="AB33" s="247"/>
      <c r="AC33" s="20"/>
      <c r="AD33" s="20"/>
      <c r="AE33" s="20"/>
      <c r="AF33" s="20"/>
    </row>
    <row r="34" spans="1:32">
      <c r="A34" s="8"/>
      <c r="B34" s="9" t="s">
        <v>17</v>
      </c>
      <c r="C34" s="9" t="s">
        <v>19</v>
      </c>
      <c r="D34" s="9" t="s">
        <v>18</v>
      </c>
      <c r="E34" s="9" t="s">
        <v>18</v>
      </c>
      <c r="F34" s="9" t="s">
        <v>17</v>
      </c>
      <c r="G34" s="9" t="s">
        <v>17</v>
      </c>
      <c r="H34" s="9" t="s">
        <v>18</v>
      </c>
      <c r="I34" s="9" t="s">
        <v>18</v>
      </c>
      <c r="J34" s="9" t="s">
        <v>17</v>
      </c>
      <c r="K34" s="10" t="s">
        <v>17</v>
      </c>
      <c r="L34" s="758"/>
      <c r="M34" s="105"/>
      <c r="O34" s="8"/>
      <c r="P34" s="11">
        <v>0.6</v>
      </c>
      <c r="Q34" s="11">
        <v>0.7</v>
      </c>
      <c r="R34" s="11">
        <v>0.8</v>
      </c>
      <c r="S34" s="11">
        <v>0.9</v>
      </c>
      <c r="T34" s="11">
        <v>1</v>
      </c>
      <c r="V34" s="247"/>
      <c r="W34" s="20"/>
      <c r="X34" s="20"/>
      <c r="Y34" s="20"/>
      <c r="Z34" s="20"/>
      <c r="AA34" s="247"/>
      <c r="AB34" s="247"/>
      <c r="AC34" s="20"/>
      <c r="AD34" s="20"/>
      <c r="AE34" s="20"/>
      <c r="AF34" s="20"/>
    </row>
    <row r="35" spans="1:32">
      <c r="A35" s="33" t="s">
        <v>339</v>
      </c>
      <c r="B35" s="34">
        <v>9</v>
      </c>
      <c r="C35" s="35">
        <v>4</v>
      </c>
      <c r="D35" s="35">
        <v>6</v>
      </c>
      <c r="E35" s="35">
        <v>45</v>
      </c>
      <c r="F35" s="34">
        <f>(0.52*SQRT(D35)*E35^0.9*$B$41^0.8)/1200</f>
        <v>3.5403273542111484</v>
      </c>
      <c r="G35" s="35">
        <v>10.5</v>
      </c>
      <c r="H35" s="35">
        <v>8</v>
      </c>
      <c r="I35" s="35">
        <f>80-24.5</f>
        <v>55.5</v>
      </c>
      <c r="J35" s="34">
        <f>(0.52*SQRT(H35)*I35^0.9*$B$41^0.8)/1000</f>
        <v>5.9247012672171584</v>
      </c>
      <c r="K35" s="36">
        <f>MIN(C35*F35,C35*G35,J35,C35*B35)</f>
        <v>5.9247012672171584</v>
      </c>
      <c r="L35" s="364"/>
      <c r="M35" s="38"/>
      <c r="O35" s="33" t="s">
        <v>339</v>
      </c>
      <c r="P35" s="13">
        <f>MIN($C35*$F35*P$34/1.3,$C35*$G35/1.25,$J35*P$34/1.3,$C35*$B35/1)</f>
        <v>2.7344775079463806</v>
      </c>
      <c r="Q35" s="13">
        <f t="shared" ref="Q35:T36" si="10">MIN($C35*$F35*Q$34/1.3,$C35*$G35/1.25,$J35*Q$34/1.3,$C35*$B35/1)</f>
        <v>3.1902237592707769</v>
      </c>
      <c r="R35" s="13">
        <f t="shared" si="10"/>
        <v>3.6459700105951742</v>
      </c>
      <c r="S35" s="13">
        <f t="shared" si="10"/>
        <v>4.1017162619195711</v>
      </c>
      <c r="T35" s="13">
        <f t="shared" si="10"/>
        <v>4.5574625132439675</v>
      </c>
      <c r="V35" s="247"/>
      <c r="W35" s="20"/>
      <c r="X35" s="20"/>
      <c r="Y35" s="20"/>
      <c r="Z35" s="20"/>
      <c r="AA35" s="247"/>
      <c r="AB35" s="247"/>
      <c r="AC35" s="20"/>
      <c r="AD35" s="20"/>
      <c r="AE35" s="20"/>
      <c r="AF35" s="20"/>
    </row>
    <row r="36" spans="1:32" ht="15.75" thickBot="1">
      <c r="A36" s="39" t="s">
        <v>340</v>
      </c>
      <c r="B36" s="40">
        <v>9</v>
      </c>
      <c r="C36" s="41">
        <v>4</v>
      </c>
      <c r="D36" s="41">
        <v>10</v>
      </c>
      <c r="E36" s="41">
        <v>55</v>
      </c>
      <c r="F36" s="40">
        <f>(0.52*SQRT(D36)*E36^0.9*$B$41^0.8)/1200</f>
        <v>5.475237389690947</v>
      </c>
      <c r="G36" s="41">
        <v>24</v>
      </c>
      <c r="H36" s="41">
        <v>10</v>
      </c>
      <c r="I36" s="41">
        <f>100-25</f>
        <v>75</v>
      </c>
      <c r="J36" s="40">
        <f>(0.52*SQRT(H36)*I36^0.9*$B$41^0.8)/1000</f>
        <v>8.6858618221702066</v>
      </c>
      <c r="K36" s="42">
        <f>MIN(C36*F36,C36*G36,J36,C36*B36)</f>
        <v>8.6858618221702066</v>
      </c>
      <c r="L36" s="365"/>
      <c r="M36" s="38"/>
      <c r="O36" s="39" t="s">
        <v>340</v>
      </c>
      <c r="P36" s="366">
        <f>MIN($C36*$F36*P$34/1.3,$C36*$G36/1.25,$J36*P$34/1.3,$C36*$B36/1)</f>
        <v>4.0088593025400954</v>
      </c>
      <c r="Q36" s="366">
        <f t="shared" si="10"/>
        <v>4.6770025196301113</v>
      </c>
      <c r="R36" s="366">
        <f t="shared" si="10"/>
        <v>5.3451457367201272</v>
      </c>
      <c r="S36" s="366">
        <f t="shared" si="10"/>
        <v>6.0132889538101431</v>
      </c>
      <c r="T36" s="366">
        <f t="shared" si="10"/>
        <v>6.681432170900159</v>
      </c>
      <c r="V36" s="247"/>
      <c r="W36" s="20"/>
      <c r="X36" s="20"/>
      <c r="Y36" s="20"/>
      <c r="Z36" s="20"/>
      <c r="AA36" s="247"/>
      <c r="AB36" s="247"/>
      <c r="AC36" s="20"/>
      <c r="AD36" s="20"/>
      <c r="AE36" s="20"/>
      <c r="AF36" s="20"/>
    </row>
    <row r="37" spans="1:32">
      <c r="A37" s="45" t="s">
        <v>341</v>
      </c>
      <c r="B37" s="34">
        <v>9</v>
      </c>
      <c r="C37" s="35">
        <v>4</v>
      </c>
      <c r="D37" s="35">
        <v>6</v>
      </c>
      <c r="E37" s="35">
        <v>45</v>
      </c>
      <c r="F37" s="34">
        <f>(0.52*SQRT(D37)*E37^0.9*$B$41^0.8)/1200</f>
        <v>3.5403273542111484</v>
      </c>
      <c r="G37" s="35">
        <v>10.5</v>
      </c>
      <c r="H37" s="35"/>
      <c r="I37" s="35"/>
      <c r="J37" s="34"/>
      <c r="K37" s="36">
        <f>MIN(C37*F37,C37*G37,C37*B37)</f>
        <v>14.161309416844594</v>
      </c>
      <c r="L37" s="365"/>
      <c r="M37" s="38"/>
      <c r="O37" s="45" t="s">
        <v>341</v>
      </c>
      <c r="P37" s="367">
        <f>MIN($C37*$F37*P$34/1.3,$C37*$G37/1.25,$C37*$B37/1)</f>
        <v>6.5359889616205811</v>
      </c>
      <c r="Q37" s="367">
        <f t="shared" ref="Q37:T38" si="11">MIN($C37*$F37*Q$34/1.3,$C37*$G37/1.25,$C37*$B37/1)</f>
        <v>7.6253204552240108</v>
      </c>
      <c r="R37" s="367">
        <f t="shared" si="11"/>
        <v>8.7146519488274414</v>
      </c>
      <c r="S37" s="367">
        <f t="shared" si="11"/>
        <v>9.8039834424308729</v>
      </c>
      <c r="T37" s="367">
        <f t="shared" si="11"/>
        <v>10.893314936034303</v>
      </c>
      <c r="V37" s="247"/>
      <c r="W37" s="105"/>
      <c r="X37" s="105"/>
      <c r="Y37" s="105"/>
      <c r="Z37" s="105"/>
      <c r="AA37" s="247"/>
      <c r="AB37" s="247"/>
      <c r="AC37" s="247"/>
      <c r="AD37" s="247"/>
      <c r="AE37" s="247"/>
      <c r="AF37" s="247"/>
    </row>
    <row r="38" spans="1:32">
      <c r="A38" s="33" t="s">
        <v>342</v>
      </c>
      <c r="B38" s="46">
        <v>9</v>
      </c>
      <c r="C38" s="47">
        <v>4</v>
      </c>
      <c r="D38" s="47">
        <v>10</v>
      </c>
      <c r="E38" s="47">
        <v>55</v>
      </c>
      <c r="F38" s="46">
        <f>(0.52*SQRT(D38)*E38^0.9*$B$41^0.8)/1200</f>
        <v>5.475237389690947</v>
      </c>
      <c r="G38" s="47">
        <v>24</v>
      </c>
      <c r="H38" s="47"/>
      <c r="I38" s="47"/>
      <c r="J38" s="46"/>
      <c r="K38" s="48">
        <f>MIN(C38*F38,C38*G38,C38*B38)</f>
        <v>21.900949558763788</v>
      </c>
      <c r="L38" s="368"/>
      <c r="O38" s="33" t="s">
        <v>342</v>
      </c>
      <c r="P38" s="13">
        <f>MIN($C38*$F38*P$34/1.3,$C38*$G38/1.25,$C38*$B38/1)</f>
        <v>10.108130565583286</v>
      </c>
      <c r="Q38" s="13">
        <f t="shared" si="11"/>
        <v>11.7928189931805</v>
      </c>
      <c r="R38" s="13">
        <f t="shared" si="11"/>
        <v>13.477507420777714</v>
      </c>
      <c r="S38" s="13">
        <f t="shared" si="11"/>
        <v>15.16219584837493</v>
      </c>
      <c r="T38" s="13">
        <f t="shared" si="11"/>
        <v>16.846884275972144</v>
      </c>
      <c r="V38" s="759"/>
      <c r="W38" s="759"/>
      <c r="X38" s="759"/>
      <c r="Y38" s="759"/>
      <c r="Z38" s="759"/>
      <c r="AA38" s="247"/>
      <c r="AB38" s="363"/>
      <c r="AC38" s="363"/>
      <c r="AD38" s="363"/>
      <c r="AE38" s="363"/>
      <c r="AF38" s="363"/>
    </row>
    <row r="39" spans="1:32">
      <c r="V39" s="247"/>
      <c r="W39" s="105"/>
      <c r="X39" s="105"/>
      <c r="Y39" s="105"/>
      <c r="Z39" s="105"/>
      <c r="AA39" s="247"/>
      <c r="AB39" s="247"/>
      <c r="AC39" s="105"/>
      <c r="AD39" s="105"/>
      <c r="AE39" s="105"/>
      <c r="AF39" s="105"/>
    </row>
    <row r="40" spans="1:32">
      <c r="A40" s="21" t="s">
        <v>37</v>
      </c>
      <c r="B40" s="22" t="s">
        <v>22</v>
      </c>
      <c r="V40" s="247"/>
      <c r="W40" s="20"/>
      <c r="X40" s="20"/>
      <c r="Y40" s="20"/>
      <c r="Z40" s="20"/>
      <c r="AA40" s="247"/>
      <c r="AB40" s="247"/>
      <c r="AC40" s="20"/>
      <c r="AD40" s="20"/>
      <c r="AE40" s="20"/>
      <c r="AF40" s="20"/>
    </row>
    <row r="41" spans="1:32" ht="18">
      <c r="A41" s="23" t="s">
        <v>39</v>
      </c>
      <c r="B41" s="24">
        <f>VLOOKUP(B40,$V$5:$W$10,2,FALSE)</f>
        <v>350</v>
      </c>
      <c r="C41" t="s">
        <v>40</v>
      </c>
      <c r="V41" s="247"/>
      <c r="W41" s="20"/>
      <c r="X41" s="20"/>
      <c r="Y41" s="20"/>
      <c r="Z41" s="20"/>
      <c r="AA41" s="247"/>
      <c r="AB41" s="247"/>
      <c r="AC41" s="20"/>
      <c r="AD41" s="20"/>
      <c r="AE41" s="20"/>
      <c r="AF41" s="20"/>
    </row>
    <row r="42" spans="1:32">
      <c r="V42" s="247"/>
      <c r="W42" s="20"/>
      <c r="X42" s="20"/>
      <c r="Y42" s="20"/>
      <c r="Z42" s="20"/>
      <c r="AA42" s="247"/>
      <c r="AB42" s="247"/>
      <c r="AC42" s="20"/>
      <c r="AD42" s="20"/>
      <c r="AE42" s="20"/>
      <c r="AF42" s="20"/>
    </row>
    <row r="43" spans="1:32" ht="18.75">
      <c r="A43" s="56" t="s">
        <v>79</v>
      </c>
      <c r="B43" s="77"/>
    </row>
    <row r="45" spans="1:32">
      <c r="A45" s="21" t="s">
        <v>37</v>
      </c>
      <c r="B45" t="str">
        <f>'Load bearing values_RICON_EN'!F42</f>
        <v>GL24h</v>
      </c>
    </row>
    <row r="46" spans="1:32" ht="18">
      <c r="A46" s="23" t="s">
        <v>39</v>
      </c>
      <c r="B46" s="24">
        <f>VLOOKUP(B45,'RICON_RICON-S-EK_GIGANT_WALCO '!V7:W18,2,FALSE)</f>
        <v>385</v>
      </c>
      <c r="C46" t="s">
        <v>40</v>
      </c>
    </row>
    <row r="47" spans="1:32" ht="18">
      <c r="A47" s="23" t="s">
        <v>62</v>
      </c>
      <c r="B47" s="369">
        <v>15000</v>
      </c>
      <c r="C47" s="369">
        <v>4400</v>
      </c>
      <c r="D47" t="s">
        <v>63</v>
      </c>
    </row>
    <row r="48" spans="1:32">
      <c r="A48" s="23" t="s">
        <v>64</v>
      </c>
      <c r="B48" s="90">
        <v>8</v>
      </c>
      <c r="C48" s="90">
        <v>5</v>
      </c>
      <c r="D48" t="s">
        <v>65</v>
      </c>
    </row>
    <row r="49" spans="1:19" ht="18">
      <c r="A49" s="23" t="s">
        <v>66</v>
      </c>
      <c r="B49" s="75">
        <f>0.033*$B$46*B48^-0.3</f>
        <v>6.808440920761802</v>
      </c>
      <c r="C49" s="75">
        <f>0.033*$B$46*C48^-0.3</f>
        <v>7.8394152258577217</v>
      </c>
      <c r="D49" t="s">
        <v>67</v>
      </c>
    </row>
    <row r="50" spans="1:19" ht="18">
      <c r="A50" s="23" t="s">
        <v>68</v>
      </c>
      <c r="B50" s="76">
        <f>0.082*B48^-0.3*$B$46</f>
        <v>16.917944106135387</v>
      </c>
      <c r="C50" s="76">
        <f>0.082*C48^-0.3*$B$46</f>
        <v>19.479759046070704</v>
      </c>
      <c r="D50" t="s">
        <v>67</v>
      </c>
    </row>
    <row r="51" spans="1:19">
      <c r="A51" s="23"/>
      <c r="B51" s="77"/>
      <c r="P51"/>
      <c r="Q51"/>
      <c r="R51"/>
      <c r="S51"/>
    </row>
    <row r="52" spans="1:19">
      <c r="A52" s="23"/>
      <c r="B52" s="77"/>
      <c r="P52"/>
      <c r="Q52"/>
      <c r="R52"/>
      <c r="S52"/>
    </row>
    <row r="53" spans="1:19" ht="18">
      <c r="A53" s="4" t="s">
        <v>2</v>
      </c>
      <c r="B53" s="5" t="s">
        <v>43</v>
      </c>
      <c r="C53" s="5" t="s">
        <v>9</v>
      </c>
      <c r="D53" s="5" t="s">
        <v>44</v>
      </c>
      <c r="E53" s="5" t="s">
        <v>59</v>
      </c>
      <c r="F53" s="5" t="s">
        <v>60</v>
      </c>
      <c r="G53" s="5" t="s">
        <v>43</v>
      </c>
      <c r="H53" s="5" t="s">
        <v>9</v>
      </c>
      <c r="I53" s="5" t="s">
        <v>44</v>
      </c>
      <c r="J53" s="5" t="s">
        <v>59</v>
      </c>
      <c r="K53" s="5" t="s">
        <v>60</v>
      </c>
      <c r="L53" s="5" t="s">
        <v>61</v>
      </c>
      <c r="P53"/>
      <c r="Q53"/>
      <c r="R53"/>
      <c r="S53"/>
    </row>
    <row r="54" spans="1:19">
      <c r="A54" s="8" t="s">
        <v>337</v>
      </c>
      <c r="B54" s="9" t="s">
        <v>19</v>
      </c>
      <c r="C54" s="9" t="s">
        <v>18</v>
      </c>
      <c r="D54" s="9" t="s">
        <v>18</v>
      </c>
      <c r="E54" s="9" t="s">
        <v>17</v>
      </c>
      <c r="F54" s="9" t="s">
        <v>17</v>
      </c>
      <c r="G54" s="9" t="s">
        <v>19</v>
      </c>
      <c r="H54" s="9" t="s">
        <v>18</v>
      </c>
      <c r="I54" s="9" t="s">
        <v>18</v>
      </c>
      <c r="J54" s="9" t="s">
        <v>17</v>
      </c>
      <c r="K54" s="9" t="s">
        <v>17</v>
      </c>
      <c r="L54" s="62" t="s">
        <v>17</v>
      </c>
      <c r="P54"/>
      <c r="Q54"/>
      <c r="R54"/>
      <c r="S54"/>
    </row>
    <row r="55" spans="1:19" ht="45">
      <c r="A55" s="396" t="s">
        <v>385</v>
      </c>
      <c r="B55" s="304">
        <v>1</v>
      </c>
      <c r="C55" s="304">
        <v>8</v>
      </c>
      <c r="D55" s="407">
        <v>65</v>
      </c>
      <c r="E55" s="447">
        <f>($E$79*0.52*SQRT($C55)*D55^0.9*$B$46^0.8)/1000</f>
        <v>2.2113638026311735</v>
      </c>
      <c r="F55" s="447">
        <f t="shared" ref="F55:F78" si="12">MIN($B$49*$D55*$B$48/1000,(2.3*SQRT($B$47*$B$49*$B$48))/1000+(E55/4),$B$49*$D55*$B$48*(SQRT(2+4*$B$47/($B$49*$D55^2*$B$48))-1)/1000+E55/4)</f>
        <v>2.3356804038245178</v>
      </c>
      <c r="G55" s="304">
        <v>2</v>
      </c>
      <c r="H55" s="304">
        <v>5</v>
      </c>
      <c r="I55" s="407">
        <v>70</v>
      </c>
      <c r="J55" s="447">
        <f t="shared" ref="J55:J78" si="13">($E$79*0.52*SQRT($H55)*I55^0.9*$B$46^0.8)/1000</f>
        <v>1.8688154683555778</v>
      </c>
      <c r="K55" s="447">
        <f t="shared" ref="K55:K76" si="14">MIN($C$49*$I55*$C$48/1000,(2.3*SQRT($C$47*$C$49*$C$48))/1000+(J55/4),$C$49*$I55*$C$49*(SQRT(2+4*$C$47/($C$49*$I55^2*$C$48))-1)/1000+J55/4)</f>
        <v>1.4223746078391131</v>
      </c>
      <c r="L55" s="447">
        <f>B55*F55+G55*K55</f>
        <v>5.1804296195027444</v>
      </c>
      <c r="P55"/>
      <c r="Q55"/>
      <c r="R55"/>
      <c r="S55"/>
    </row>
    <row r="56" spans="1:19" ht="45">
      <c r="A56" s="396" t="s">
        <v>386</v>
      </c>
      <c r="B56" s="304">
        <v>2</v>
      </c>
      <c r="C56" s="304">
        <v>8</v>
      </c>
      <c r="D56" s="407">
        <v>65</v>
      </c>
      <c r="E56" s="447">
        <f t="shared" ref="E56:E78" si="15">($E$79*0.52*SQRT($C56)*D56^0.9*$B$46^0.8)/1000</f>
        <v>2.2113638026311735</v>
      </c>
      <c r="F56" s="447">
        <f t="shared" si="12"/>
        <v>2.3356804038245178</v>
      </c>
      <c r="G56" s="304">
        <v>2</v>
      </c>
      <c r="H56" s="304">
        <v>5</v>
      </c>
      <c r="I56" s="407">
        <v>70</v>
      </c>
      <c r="J56" s="447">
        <f t="shared" si="13"/>
        <v>1.8688154683555778</v>
      </c>
      <c r="K56" s="447">
        <f t="shared" si="14"/>
        <v>1.4223746078391131</v>
      </c>
      <c r="L56" s="447">
        <f t="shared" ref="L56:L65" si="16">B56*F56+G56*K56</f>
        <v>7.5161100233272613</v>
      </c>
      <c r="P56"/>
      <c r="Q56"/>
      <c r="R56"/>
      <c r="S56"/>
    </row>
    <row r="57" spans="1:19" ht="45">
      <c r="A57" s="396" t="s">
        <v>387</v>
      </c>
      <c r="B57" s="304">
        <v>2</v>
      </c>
      <c r="C57" s="304">
        <v>8</v>
      </c>
      <c r="D57" s="407">
        <v>65</v>
      </c>
      <c r="E57" s="447">
        <f t="shared" si="15"/>
        <v>2.2113638026311735</v>
      </c>
      <c r="F57" s="447">
        <f t="shared" si="12"/>
        <v>2.3356804038245178</v>
      </c>
      <c r="G57" s="304">
        <v>4</v>
      </c>
      <c r="H57" s="304">
        <v>5</v>
      </c>
      <c r="I57" s="407">
        <v>70</v>
      </c>
      <c r="J57" s="447">
        <f t="shared" si="13"/>
        <v>1.8688154683555778</v>
      </c>
      <c r="K57" s="447">
        <f t="shared" si="14"/>
        <v>1.4223746078391131</v>
      </c>
      <c r="L57" s="447">
        <f t="shared" si="16"/>
        <v>10.360859239005489</v>
      </c>
      <c r="P57"/>
      <c r="Q57"/>
      <c r="R57"/>
      <c r="S57"/>
    </row>
    <row r="58" spans="1:19" ht="45">
      <c r="A58" s="396" t="s">
        <v>388</v>
      </c>
      <c r="B58" s="304">
        <v>2</v>
      </c>
      <c r="C58" s="304">
        <v>8</v>
      </c>
      <c r="D58" s="407">
        <v>65</v>
      </c>
      <c r="E58" s="447">
        <f t="shared" si="15"/>
        <v>2.2113638026311735</v>
      </c>
      <c r="F58" s="447">
        <f t="shared" si="12"/>
        <v>2.3356804038245178</v>
      </c>
      <c r="G58" s="304">
        <v>6</v>
      </c>
      <c r="H58" s="304">
        <v>5</v>
      </c>
      <c r="I58" s="303">
        <v>70</v>
      </c>
      <c r="J58" s="85">
        <f t="shared" si="13"/>
        <v>1.8688154683555778</v>
      </c>
      <c r="K58" s="85">
        <f t="shared" si="14"/>
        <v>1.4223746078391131</v>
      </c>
      <c r="L58" s="85">
        <f t="shared" si="16"/>
        <v>13.205608454683714</v>
      </c>
      <c r="P58"/>
      <c r="Q58"/>
      <c r="R58"/>
      <c r="S58"/>
    </row>
    <row r="59" spans="1:19" ht="45">
      <c r="A59" s="396" t="s">
        <v>389</v>
      </c>
      <c r="B59" s="304">
        <v>2</v>
      </c>
      <c r="C59" s="304">
        <v>8</v>
      </c>
      <c r="D59" s="407">
        <v>65</v>
      </c>
      <c r="E59" s="447">
        <f t="shared" si="15"/>
        <v>2.2113638026311735</v>
      </c>
      <c r="F59" s="447">
        <f t="shared" si="12"/>
        <v>2.3356804038245178</v>
      </c>
      <c r="G59" s="304">
        <v>8</v>
      </c>
      <c r="H59" s="304">
        <v>5</v>
      </c>
      <c r="I59" s="303">
        <v>70</v>
      </c>
      <c r="J59" s="85">
        <f t="shared" si="13"/>
        <v>1.8688154683555778</v>
      </c>
      <c r="K59" s="85">
        <f t="shared" si="14"/>
        <v>1.4223746078391131</v>
      </c>
      <c r="L59" s="85">
        <f t="shared" si="16"/>
        <v>16.05035767036194</v>
      </c>
      <c r="P59"/>
      <c r="Q59"/>
      <c r="R59"/>
      <c r="S59"/>
    </row>
    <row r="60" spans="1:19" ht="45">
      <c r="A60" s="396" t="s">
        <v>390</v>
      </c>
      <c r="B60" s="304">
        <v>2</v>
      </c>
      <c r="C60" s="304">
        <v>8</v>
      </c>
      <c r="D60" s="407">
        <v>65</v>
      </c>
      <c r="E60" s="447">
        <f t="shared" si="15"/>
        <v>2.2113638026311735</v>
      </c>
      <c r="F60" s="447">
        <f t="shared" si="12"/>
        <v>2.3356804038245178</v>
      </c>
      <c r="G60" s="304">
        <v>10</v>
      </c>
      <c r="H60" s="304">
        <v>5</v>
      </c>
      <c r="I60" s="407">
        <v>70</v>
      </c>
      <c r="J60" s="447">
        <f t="shared" si="13"/>
        <v>1.8688154683555778</v>
      </c>
      <c r="K60" s="447">
        <f t="shared" si="14"/>
        <v>1.4223746078391131</v>
      </c>
      <c r="L60" s="447">
        <f t="shared" si="16"/>
        <v>18.895106886040168</v>
      </c>
      <c r="P60"/>
      <c r="Q60"/>
      <c r="R60"/>
      <c r="S60"/>
    </row>
    <row r="61" spans="1:19" ht="45">
      <c r="A61" s="396" t="s">
        <v>391</v>
      </c>
      <c r="B61" s="304">
        <v>3</v>
      </c>
      <c r="C61" s="304">
        <v>8</v>
      </c>
      <c r="D61" s="407">
        <v>65</v>
      </c>
      <c r="E61" s="447">
        <f t="shared" si="15"/>
        <v>2.2113638026311735</v>
      </c>
      <c r="F61" s="447">
        <f t="shared" si="12"/>
        <v>2.3356804038245178</v>
      </c>
      <c r="G61" s="304">
        <v>4</v>
      </c>
      <c r="H61" s="304">
        <v>5</v>
      </c>
      <c r="I61" s="407">
        <v>70</v>
      </c>
      <c r="J61" s="447">
        <f t="shared" si="13"/>
        <v>1.8688154683555778</v>
      </c>
      <c r="K61" s="447">
        <f t="shared" si="14"/>
        <v>1.4223746078391131</v>
      </c>
      <c r="L61" s="447">
        <f t="shared" si="16"/>
        <v>12.696539642830006</v>
      </c>
      <c r="P61"/>
      <c r="Q61"/>
      <c r="R61"/>
      <c r="S61"/>
    </row>
    <row r="62" spans="1:19" ht="45">
      <c r="A62" s="396" t="s">
        <v>392</v>
      </c>
      <c r="B62" s="304">
        <v>3</v>
      </c>
      <c r="C62" s="304">
        <v>8</v>
      </c>
      <c r="D62" s="407">
        <v>65</v>
      </c>
      <c r="E62" s="447">
        <f t="shared" si="15"/>
        <v>2.2113638026311735</v>
      </c>
      <c r="F62" s="447">
        <f t="shared" si="12"/>
        <v>2.3356804038245178</v>
      </c>
      <c r="G62" s="304">
        <v>8</v>
      </c>
      <c r="H62" s="304">
        <v>5</v>
      </c>
      <c r="I62" s="407">
        <v>70</v>
      </c>
      <c r="J62" s="447">
        <f t="shared" si="13"/>
        <v>1.8688154683555778</v>
      </c>
      <c r="K62" s="447">
        <f t="shared" si="14"/>
        <v>1.4223746078391131</v>
      </c>
      <c r="L62" s="447">
        <f t="shared" si="16"/>
        <v>18.386038074186459</v>
      </c>
      <c r="P62"/>
      <c r="Q62"/>
      <c r="R62"/>
      <c r="S62"/>
    </row>
    <row r="63" spans="1:19" ht="45">
      <c r="A63" s="396" t="s">
        <v>393</v>
      </c>
      <c r="B63" s="304">
        <v>3</v>
      </c>
      <c r="C63" s="304">
        <v>8</v>
      </c>
      <c r="D63" s="407">
        <v>65</v>
      </c>
      <c r="E63" s="447">
        <f t="shared" si="15"/>
        <v>2.2113638026311735</v>
      </c>
      <c r="F63" s="447">
        <f t="shared" si="12"/>
        <v>2.3356804038245178</v>
      </c>
      <c r="G63" s="304">
        <v>12</v>
      </c>
      <c r="H63" s="304">
        <v>5</v>
      </c>
      <c r="I63" s="407">
        <v>70</v>
      </c>
      <c r="J63" s="447">
        <f t="shared" si="13"/>
        <v>1.8688154683555778</v>
      </c>
      <c r="K63" s="447">
        <f t="shared" si="14"/>
        <v>1.4223746078391131</v>
      </c>
      <c r="L63" s="447">
        <f t="shared" si="16"/>
        <v>24.07553650554291</v>
      </c>
      <c r="P63"/>
      <c r="Q63"/>
      <c r="R63"/>
      <c r="S63"/>
    </row>
    <row r="64" spans="1:19" ht="45">
      <c r="A64" s="396" t="s">
        <v>394</v>
      </c>
      <c r="B64" s="304">
        <v>3</v>
      </c>
      <c r="C64" s="304">
        <v>8</v>
      </c>
      <c r="D64" s="407">
        <v>65</v>
      </c>
      <c r="E64" s="447">
        <f t="shared" si="15"/>
        <v>2.2113638026311735</v>
      </c>
      <c r="F64" s="447">
        <f t="shared" si="12"/>
        <v>2.3356804038245178</v>
      </c>
      <c r="G64" s="304">
        <v>16</v>
      </c>
      <c r="H64" s="304">
        <v>5</v>
      </c>
      <c r="I64" s="407">
        <v>70</v>
      </c>
      <c r="J64" s="447">
        <f t="shared" si="13"/>
        <v>1.8688154683555778</v>
      </c>
      <c r="K64" s="447">
        <f t="shared" si="14"/>
        <v>1.4223746078391131</v>
      </c>
      <c r="L64" s="447">
        <f t="shared" si="16"/>
        <v>29.765034936899362</v>
      </c>
      <c r="P64"/>
      <c r="Q64"/>
      <c r="R64"/>
      <c r="S64"/>
    </row>
    <row r="65" spans="1:19" ht="45.75" thickBot="1">
      <c r="A65" s="438" t="s">
        <v>395</v>
      </c>
      <c r="B65" s="448">
        <v>3</v>
      </c>
      <c r="C65" s="448">
        <v>8</v>
      </c>
      <c r="D65" s="449">
        <v>65</v>
      </c>
      <c r="E65" s="450">
        <f t="shared" si="15"/>
        <v>2.2113638026311735</v>
      </c>
      <c r="F65" s="450">
        <f t="shared" si="12"/>
        <v>2.3356804038245178</v>
      </c>
      <c r="G65" s="448">
        <v>20</v>
      </c>
      <c r="H65" s="448">
        <v>5</v>
      </c>
      <c r="I65" s="407">
        <v>70</v>
      </c>
      <c r="J65" s="450">
        <f t="shared" si="13"/>
        <v>1.8688154683555778</v>
      </c>
      <c r="K65" s="450">
        <f t="shared" si="14"/>
        <v>1.4223746078391131</v>
      </c>
      <c r="L65" s="450">
        <f t="shared" si="16"/>
        <v>35.454533368255817</v>
      </c>
      <c r="P65"/>
      <c r="Q65"/>
      <c r="R65"/>
      <c r="S65"/>
    </row>
    <row r="66" spans="1:19" ht="45.75" thickTop="1">
      <c r="A66" s="411" t="s">
        <v>396</v>
      </c>
      <c r="B66" s="451">
        <v>1</v>
      </c>
      <c r="C66" s="451">
        <v>8</v>
      </c>
      <c r="D66" s="452">
        <v>65</v>
      </c>
      <c r="E66" s="453">
        <f t="shared" si="15"/>
        <v>2.2113638026311735</v>
      </c>
      <c r="F66" s="453">
        <f t="shared" si="12"/>
        <v>2.3356804038245178</v>
      </c>
      <c r="G66" s="451">
        <v>2</v>
      </c>
      <c r="H66" s="451">
        <v>5</v>
      </c>
      <c r="I66" s="407">
        <v>70</v>
      </c>
      <c r="J66" s="453">
        <f t="shared" si="13"/>
        <v>1.8688154683555778</v>
      </c>
      <c r="K66" s="453">
        <f t="shared" si="14"/>
        <v>1.4223746078391131</v>
      </c>
      <c r="L66" s="453">
        <f>B66*F66+G66*K66</f>
        <v>5.1804296195027444</v>
      </c>
      <c r="P66"/>
      <c r="Q66"/>
      <c r="R66"/>
      <c r="S66"/>
    </row>
    <row r="67" spans="1:19" ht="45">
      <c r="A67" s="396" t="s">
        <v>397</v>
      </c>
      <c r="B67" s="304">
        <v>2</v>
      </c>
      <c r="C67" s="304">
        <v>8</v>
      </c>
      <c r="D67" s="407">
        <v>65</v>
      </c>
      <c r="E67" s="447">
        <f t="shared" si="15"/>
        <v>2.2113638026311735</v>
      </c>
      <c r="F67" s="447">
        <f t="shared" si="12"/>
        <v>2.3356804038245178</v>
      </c>
      <c r="G67" s="304">
        <v>2</v>
      </c>
      <c r="H67" s="304">
        <v>5</v>
      </c>
      <c r="I67" s="407">
        <v>70</v>
      </c>
      <c r="J67" s="447">
        <f t="shared" si="13"/>
        <v>1.8688154683555778</v>
      </c>
      <c r="K67" s="447">
        <f t="shared" si="14"/>
        <v>1.4223746078391131</v>
      </c>
      <c r="L67" s="447">
        <f t="shared" ref="L67:L78" si="17">B67*F67+G67*K67</f>
        <v>7.5161100233272613</v>
      </c>
      <c r="P67"/>
      <c r="Q67"/>
      <c r="R67"/>
      <c r="S67"/>
    </row>
    <row r="68" spans="1:19" ht="45">
      <c r="A68" s="396" t="s">
        <v>398</v>
      </c>
      <c r="B68" s="304">
        <v>2</v>
      </c>
      <c r="C68" s="304">
        <v>8</v>
      </c>
      <c r="D68" s="407">
        <v>65</v>
      </c>
      <c r="E68" s="447">
        <f t="shared" si="15"/>
        <v>2.2113638026311735</v>
      </c>
      <c r="F68" s="447">
        <f t="shared" si="12"/>
        <v>2.3356804038245178</v>
      </c>
      <c r="G68" s="304">
        <v>4</v>
      </c>
      <c r="H68" s="304">
        <v>5</v>
      </c>
      <c r="I68" s="407">
        <v>70</v>
      </c>
      <c r="J68" s="447">
        <f t="shared" si="13"/>
        <v>1.8688154683555778</v>
      </c>
      <c r="K68" s="447">
        <f t="shared" si="14"/>
        <v>1.4223746078391131</v>
      </c>
      <c r="L68" s="447">
        <f t="shared" si="17"/>
        <v>10.360859239005489</v>
      </c>
      <c r="P68"/>
      <c r="Q68"/>
      <c r="R68"/>
      <c r="S68"/>
    </row>
    <row r="69" spans="1:19" ht="45">
      <c r="A69" s="396" t="s">
        <v>399</v>
      </c>
      <c r="B69" s="304">
        <v>2</v>
      </c>
      <c r="C69" s="304">
        <v>8</v>
      </c>
      <c r="D69" s="407">
        <v>65</v>
      </c>
      <c r="E69" s="447">
        <f t="shared" si="15"/>
        <v>2.2113638026311735</v>
      </c>
      <c r="F69" s="447">
        <f t="shared" si="12"/>
        <v>2.3356804038245178</v>
      </c>
      <c r="G69" s="304">
        <v>6</v>
      </c>
      <c r="H69" s="304">
        <v>5</v>
      </c>
      <c r="I69" s="407">
        <v>70</v>
      </c>
      <c r="J69" s="447">
        <f t="shared" si="13"/>
        <v>1.8688154683555778</v>
      </c>
      <c r="K69" s="447">
        <f t="shared" si="14"/>
        <v>1.4223746078391131</v>
      </c>
      <c r="L69" s="447">
        <f t="shared" si="17"/>
        <v>13.205608454683714</v>
      </c>
      <c r="P69"/>
      <c r="Q69"/>
      <c r="R69"/>
      <c r="S69"/>
    </row>
    <row r="70" spans="1:19" ht="45">
      <c r="A70" s="396" t="s">
        <v>400</v>
      </c>
      <c r="B70" s="304">
        <v>2</v>
      </c>
      <c r="C70" s="304">
        <v>8</v>
      </c>
      <c r="D70" s="407">
        <v>65</v>
      </c>
      <c r="E70" s="447">
        <f t="shared" si="15"/>
        <v>2.2113638026311735</v>
      </c>
      <c r="F70" s="447">
        <f t="shared" si="12"/>
        <v>2.3356804038245178</v>
      </c>
      <c r="G70" s="304">
        <v>8</v>
      </c>
      <c r="H70" s="304">
        <v>5</v>
      </c>
      <c r="I70" s="407">
        <v>70</v>
      </c>
      <c r="J70" s="447">
        <f t="shared" si="13"/>
        <v>1.8688154683555778</v>
      </c>
      <c r="K70" s="447">
        <f t="shared" si="14"/>
        <v>1.4223746078391131</v>
      </c>
      <c r="L70" s="447">
        <f t="shared" si="17"/>
        <v>16.05035767036194</v>
      </c>
      <c r="P70"/>
      <c r="Q70"/>
      <c r="R70"/>
      <c r="S70"/>
    </row>
    <row r="71" spans="1:19" ht="45">
      <c r="A71" s="396" t="s">
        <v>401</v>
      </c>
      <c r="B71" s="304">
        <v>2</v>
      </c>
      <c r="C71" s="304">
        <v>8</v>
      </c>
      <c r="D71" s="407">
        <v>65</v>
      </c>
      <c r="E71" s="447">
        <f t="shared" si="15"/>
        <v>2.2113638026311735</v>
      </c>
      <c r="F71" s="447">
        <f t="shared" si="12"/>
        <v>2.3356804038245178</v>
      </c>
      <c r="G71" s="304">
        <v>10</v>
      </c>
      <c r="H71" s="304">
        <v>5</v>
      </c>
      <c r="I71" s="407">
        <v>70</v>
      </c>
      <c r="J71" s="447">
        <f t="shared" si="13"/>
        <v>1.8688154683555778</v>
      </c>
      <c r="K71" s="447">
        <f t="shared" si="14"/>
        <v>1.4223746078391131</v>
      </c>
      <c r="L71" s="447">
        <f t="shared" si="17"/>
        <v>18.895106886040168</v>
      </c>
      <c r="P71"/>
      <c r="Q71"/>
      <c r="R71"/>
      <c r="S71"/>
    </row>
    <row r="72" spans="1:19" ht="45">
      <c r="A72" s="396" t="s">
        <v>402</v>
      </c>
      <c r="B72" s="304">
        <v>3</v>
      </c>
      <c r="C72" s="304">
        <v>8</v>
      </c>
      <c r="D72" s="407">
        <v>65</v>
      </c>
      <c r="E72" s="447">
        <f t="shared" si="15"/>
        <v>2.2113638026311735</v>
      </c>
      <c r="F72" s="447">
        <f t="shared" si="12"/>
        <v>2.3356804038245178</v>
      </c>
      <c r="G72" s="304">
        <v>4</v>
      </c>
      <c r="H72" s="304">
        <v>5</v>
      </c>
      <c r="I72" s="407">
        <v>70</v>
      </c>
      <c r="J72" s="447">
        <f t="shared" si="13"/>
        <v>1.8688154683555778</v>
      </c>
      <c r="K72" s="447">
        <f t="shared" si="14"/>
        <v>1.4223746078391131</v>
      </c>
      <c r="L72" s="447">
        <f t="shared" si="17"/>
        <v>12.696539642830006</v>
      </c>
      <c r="P72"/>
      <c r="Q72"/>
      <c r="R72"/>
      <c r="S72"/>
    </row>
    <row r="73" spans="1:19" ht="45">
      <c r="A73" s="396" t="s">
        <v>403</v>
      </c>
      <c r="B73" s="304">
        <v>3</v>
      </c>
      <c r="C73" s="304">
        <v>8</v>
      </c>
      <c r="D73" s="407">
        <v>65</v>
      </c>
      <c r="E73" s="447">
        <f t="shared" si="15"/>
        <v>2.2113638026311735</v>
      </c>
      <c r="F73" s="447">
        <f t="shared" si="12"/>
        <v>2.3356804038245178</v>
      </c>
      <c r="G73" s="304">
        <v>8</v>
      </c>
      <c r="H73" s="304">
        <v>5</v>
      </c>
      <c r="I73" s="407">
        <v>70</v>
      </c>
      <c r="J73" s="447">
        <f t="shared" si="13"/>
        <v>1.8688154683555778</v>
      </c>
      <c r="K73" s="447">
        <f t="shared" si="14"/>
        <v>1.4223746078391131</v>
      </c>
      <c r="L73" s="447">
        <f t="shared" si="17"/>
        <v>18.386038074186459</v>
      </c>
      <c r="P73"/>
      <c r="Q73"/>
      <c r="R73"/>
      <c r="S73"/>
    </row>
    <row r="74" spans="1:19" ht="45">
      <c r="A74" s="396" t="s">
        <v>404</v>
      </c>
      <c r="B74" s="304">
        <v>3</v>
      </c>
      <c r="C74" s="304">
        <v>8</v>
      </c>
      <c r="D74" s="407">
        <v>65</v>
      </c>
      <c r="E74" s="447">
        <f t="shared" si="15"/>
        <v>2.2113638026311735</v>
      </c>
      <c r="F74" s="447">
        <f t="shared" si="12"/>
        <v>2.3356804038245178</v>
      </c>
      <c r="G74" s="304">
        <v>12</v>
      </c>
      <c r="H74" s="304">
        <v>5</v>
      </c>
      <c r="I74" s="407">
        <v>70</v>
      </c>
      <c r="J74" s="447">
        <f t="shared" si="13"/>
        <v>1.8688154683555778</v>
      </c>
      <c r="K74" s="447">
        <f t="shared" si="14"/>
        <v>1.4223746078391131</v>
      </c>
      <c r="L74" s="447">
        <f t="shared" si="17"/>
        <v>24.07553650554291</v>
      </c>
      <c r="P74"/>
      <c r="Q74"/>
      <c r="R74"/>
      <c r="S74"/>
    </row>
    <row r="75" spans="1:19" ht="45">
      <c r="A75" s="396" t="s">
        <v>405</v>
      </c>
      <c r="B75" s="304">
        <v>3</v>
      </c>
      <c r="C75" s="304">
        <v>8</v>
      </c>
      <c r="D75" s="407">
        <v>65</v>
      </c>
      <c r="E75" s="447">
        <f t="shared" si="15"/>
        <v>2.2113638026311735</v>
      </c>
      <c r="F75" s="447">
        <f t="shared" si="12"/>
        <v>2.3356804038245178</v>
      </c>
      <c r="G75" s="304">
        <v>16</v>
      </c>
      <c r="H75" s="304">
        <v>5</v>
      </c>
      <c r="I75" s="407">
        <v>70</v>
      </c>
      <c r="J75" s="447">
        <f t="shared" si="13"/>
        <v>1.8688154683555778</v>
      </c>
      <c r="K75" s="447">
        <f t="shared" si="14"/>
        <v>1.4223746078391131</v>
      </c>
      <c r="L75" s="447">
        <f t="shared" si="17"/>
        <v>29.765034936899362</v>
      </c>
      <c r="P75"/>
      <c r="Q75"/>
      <c r="R75"/>
      <c r="S75"/>
    </row>
    <row r="76" spans="1:19" ht="45.75" thickBot="1">
      <c r="A76" s="396" t="s">
        <v>406</v>
      </c>
      <c r="B76" s="448">
        <v>3</v>
      </c>
      <c r="C76" s="448">
        <v>8</v>
      </c>
      <c r="D76" s="449">
        <v>65</v>
      </c>
      <c r="E76" s="450">
        <f t="shared" si="15"/>
        <v>2.2113638026311735</v>
      </c>
      <c r="F76" s="450">
        <f t="shared" si="12"/>
        <v>2.3356804038245178</v>
      </c>
      <c r="G76" s="448">
        <v>20</v>
      </c>
      <c r="H76" s="448">
        <v>5</v>
      </c>
      <c r="I76" s="407">
        <v>70</v>
      </c>
      <c r="J76" s="450">
        <f t="shared" si="13"/>
        <v>1.8688154683555778</v>
      </c>
      <c r="K76" s="450">
        <f t="shared" si="14"/>
        <v>1.4223746078391131</v>
      </c>
      <c r="L76" s="450">
        <f t="shared" si="17"/>
        <v>35.454533368255817</v>
      </c>
      <c r="P76"/>
      <c r="Q76"/>
      <c r="R76"/>
      <c r="S76"/>
    </row>
    <row r="77" spans="1:19" ht="45.75" thickTop="1">
      <c r="A77" s="411" t="s">
        <v>407</v>
      </c>
      <c r="B77" s="451">
        <v>1</v>
      </c>
      <c r="C77" s="451">
        <v>5</v>
      </c>
      <c r="D77" s="452">
        <v>65</v>
      </c>
      <c r="E77" s="453">
        <f t="shared" si="15"/>
        <v>1.7482365878913895</v>
      </c>
      <c r="F77" s="453">
        <f t="shared" si="12"/>
        <v>2.2198986001395715</v>
      </c>
      <c r="G77" s="451">
        <v>2</v>
      </c>
      <c r="H77" s="451">
        <v>5</v>
      </c>
      <c r="I77" s="407">
        <v>70</v>
      </c>
      <c r="J77" s="453">
        <f t="shared" si="13"/>
        <v>1.8688154683555778</v>
      </c>
      <c r="K77" s="453">
        <f>MIN($C$49*$I77*$C$48/1000,(2.3*SQRT($C$47*$C$49*$C$48))/1000+(J77/4),$C$49*$I77*$C$49*(SQRT(2+4*$C$47/($C$49*$I77^2*$C$48))-1)/1000+J77/4)</f>
        <v>1.4223746078391131</v>
      </c>
      <c r="L77" s="453">
        <f t="shared" si="17"/>
        <v>5.0646478158177981</v>
      </c>
      <c r="P77"/>
      <c r="Q77"/>
      <c r="R77"/>
      <c r="S77"/>
    </row>
    <row r="78" spans="1:19" ht="45">
      <c r="A78" s="411" t="s">
        <v>408</v>
      </c>
      <c r="B78" s="304">
        <v>1</v>
      </c>
      <c r="C78" s="304">
        <v>5</v>
      </c>
      <c r="D78" s="407">
        <v>65</v>
      </c>
      <c r="E78" s="447">
        <f t="shared" si="15"/>
        <v>1.7482365878913895</v>
      </c>
      <c r="F78" s="447">
        <f t="shared" si="12"/>
        <v>2.2198986001395715</v>
      </c>
      <c r="G78" s="304">
        <v>2</v>
      </c>
      <c r="H78" s="304">
        <v>5</v>
      </c>
      <c r="I78" s="407">
        <v>70</v>
      </c>
      <c r="J78" s="447">
        <f t="shared" si="13"/>
        <v>1.8688154683555778</v>
      </c>
      <c r="K78" s="447">
        <f>MIN($C$49*$I78*$C$48/1000,(2.3*SQRT($C$47*$C$49*$C$48))/1000+(J78/4),$C$49*$I78*$C$49*(SQRT(2+4*$C$47/($C$49*$I78^2*$C$48))-1)/1000+J78/4)</f>
        <v>1.4223746078391131</v>
      </c>
      <c r="L78" s="447">
        <f t="shared" si="17"/>
        <v>5.0646478158177981</v>
      </c>
      <c r="P78"/>
      <c r="Q78"/>
      <c r="R78"/>
      <c r="S78"/>
    </row>
    <row r="79" spans="1:19">
      <c r="A79" s="91"/>
      <c r="B79" s="90"/>
      <c r="C79" s="90"/>
      <c r="D79" s="133" t="s">
        <v>308</v>
      </c>
      <c r="E79" s="369">
        <v>0.3</v>
      </c>
      <c r="F79" s="90"/>
      <c r="G79" s="90"/>
      <c r="H79" s="90"/>
      <c r="K79" s="90"/>
      <c r="L79" s="90"/>
      <c r="P79"/>
      <c r="Q79"/>
      <c r="R79"/>
      <c r="S79"/>
    </row>
    <row r="80" spans="1:19">
      <c r="A80" s="3"/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P80"/>
      <c r="Q80"/>
      <c r="R80"/>
      <c r="S80"/>
    </row>
    <row r="81" spans="1:19" ht="18">
      <c r="A81" s="4" t="s">
        <v>2</v>
      </c>
      <c r="B81" s="92" t="s">
        <v>43</v>
      </c>
      <c r="C81" s="92" t="s">
        <v>9</v>
      </c>
      <c r="D81" s="92" t="s">
        <v>80</v>
      </c>
      <c r="E81" s="92" t="s">
        <v>81</v>
      </c>
      <c r="F81" s="92" t="s">
        <v>82</v>
      </c>
      <c r="G81" s="92" t="s">
        <v>43</v>
      </c>
      <c r="H81" s="92" t="s">
        <v>9</v>
      </c>
      <c r="I81" s="92" t="s">
        <v>80</v>
      </c>
      <c r="J81" s="92" t="s">
        <v>81</v>
      </c>
      <c r="K81" s="92" t="s">
        <v>82</v>
      </c>
      <c r="L81" s="92" t="s">
        <v>83</v>
      </c>
      <c r="P81"/>
      <c r="Q81"/>
      <c r="R81"/>
      <c r="S81"/>
    </row>
    <row r="82" spans="1:19">
      <c r="A82" s="8" t="s">
        <v>343</v>
      </c>
      <c r="B82" s="93" t="s">
        <v>19</v>
      </c>
      <c r="C82" s="93" t="s">
        <v>18</v>
      </c>
      <c r="D82" s="93" t="s">
        <v>18</v>
      </c>
      <c r="E82" s="93" t="s">
        <v>17</v>
      </c>
      <c r="F82" s="93" t="s">
        <v>17</v>
      </c>
      <c r="G82" s="93" t="s">
        <v>19</v>
      </c>
      <c r="H82" s="93" t="s">
        <v>18</v>
      </c>
      <c r="I82" s="93" t="s">
        <v>18</v>
      </c>
      <c r="J82" s="93" t="s">
        <v>17</v>
      </c>
      <c r="K82" s="93" t="s">
        <v>17</v>
      </c>
      <c r="L82" s="94" t="s">
        <v>17</v>
      </c>
    </row>
    <row r="83" spans="1:19" ht="45">
      <c r="A83" s="396" t="s">
        <v>385</v>
      </c>
      <c r="B83" s="304">
        <v>1</v>
      </c>
      <c r="C83" s="304">
        <v>8</v>
      </c>
      <c r="D83" s="407">
        <v>35</v>
      </c>
      <c r="E83" s="447">
        <f>(0.52*SQRT($C83)*D83^0.9*$B$46^0.8)/1000</f>
        <v>4.2225826668958426</v>
      </c>
      <c r="F83" s="447">
        <f t="shared" ref="F83:F104" si="18">MIN($B$50*$B$48*D83/1000,2.3*SQRT($B$47*$B$50*$B$48)/1000+(E83/4),$B$50*$B$48*D83/1000*(SQRT(2+4*$B$47/($B$50*$B$48*D83^2))-1)+E83/4)</f>
        <v>3.5986908599833538</v>
      </c>
      <c r="G83" s="304">
        <v>2</v>
      </c>
      <c r="H83" s="304">
        <v>5</v>
      </c>
      <c r="I83" s="407">
        <v>40</v>
      </c>
      <c r="J83" s="447">
        <f>(0.52*SQRT($C$48)*I83^0.9*$B$46^0.8)/1000</f>
        <v>3.7645313796964266</v>
      </c>
      <c r="K83" s="447">
        <f t="shared" ref="K83:K104" si="19">MIN($C$50*$C$48*I83/1000,2.3*SQRT($C$47*$C$50*$C$48)/1000+(J83/4),$C$50*$C$48*I83/1000*(SQRT(2+4*$C$47/($C$50*$C$48*I83^2))-1)+J83/4)</f>
        <v>2.4468068992206229</v>
      </c>
      <c r="L83" s="447">
        <f>B83*F83+G83*K83</f>
        <v>8.4923046584245991</v>
      </c>
    </row>
    <row r="84" spans="1:19" ht="45">
      <c r="A84" s="396" t="s">
        <v>386</v>
      </c>
      <c r="B84" s="304">
        <v>2</v>
      </c>
      <c r="C84" s="304">
        <v>8</v>
      </c>
      <c r="D84" s="407">
        <v>35</v>
      </c>
      <c r="E84" s="447">
        <f t="shared" ref="E84:E106" si="20">(0.52*SQRT($C84)*D84^0.9*$B$46^0.8)/1000</f>
        <v>4.2225826668958426</v>
      </c>
      <c r="F84" s="447">
        <f t="shared" si="18"/>
        <v>3.5986908599833538</v>
      </c>
      <c r="G84" s="304">
        <v>2</v>
      </c>
      <c r="H84" s="304">
        <v>5</v>
      </c>
      <c r="I84" s="407">
        <v>40</v>
      </c>
      <c r="J84" s="447">
        <f t="shared" ref="J84:J106" si="21">(0.52*SQRT($C$48)*I84^0.9*$B$46^0.8)/1000</f>
        <v>3.7645313796964266</v>
      </c>
      <c r="K84" s="447">
        <f t="shared" si="19"/>
        <v>2.4468068992206229</v>
      </c>
      <c r="L84" s="447">
        <f t="shared" ref="L84:L93" si="22">B84*F84+G84*K84</f>
        <v>12.090995518407954</v>
      </c>
    </row>
    <row r="85" spans="1:19" ht="45">
      <c r="A85" s="396" t="s">
        <v>387</v>
      </c>
      <c r="B85" s="304">
        <v>2</v>
      </c>
      <c r="C85" s="304">
        <v>8</v>
      </c>
      <c r="D85" s="407">
        <v>35</v>
      </c>
      <c r="E85" s="447">
        <f t="shared" si="20"/>
        <v>4.2225826668958426</v>
      </c>
      <c r="F85" s="447">
        <f t="shared" si="18"/>
        <v>3.5986908599833538</v>
      </c>
      <c r="G85" s="304">
        <v>4</v>
      </c>
      <c r="H85" s="304">
        <v>5</v>
      </c>
      <c r="I85" s="407">
        <v>40</v>
      </c>
      <c r="J85" s="447">
        <f t="shared" si="21"/>
        <v>3.7645313796964266</v>
      </c>
      <c r="K85" s="447">
        <f t="shared" si="19"/>
        <v>2.4468068992206229</v>
      </c>
      <c r="L85" s="447">
        <f t="shared" si="22"/>
        <v>16.984609316849198</v>
      </c>
    </row>
    <row r="86" spans="1:19" ht="45">
      <c r="A86" s="396" t="s">
        <v>388</v>
      </c>
      <c r="B86" s="304">
        <v>2</v>
      </c>
      <c r="C86" s="304">
        <v>8</v>
      </c>
      <c r="D86" s="407">
        <v>35</v>
      </c>
      <c r="E86" s="447">
        <f t="shared" si="20"/>
        <v>4.2225826668958426</v>
      </c>
      <c r="F86" s="447">
        <f t="shared" si="18"/>
        <v>3.5986908599833538</v>
      </c>
      <c r="G86" s="304">
        <v>6</v>
      </c>
      <c r="H86" s="304">
        <v>5</v>
      </c>
      <c r="I86" s="407">
        <v>40</v>
      </c>
      <c r="J86" s="447">
        <f t="shared" si="21"/>
        <v>3.7645313796964266</v>
      </c>
      <c r="K86" s="447">
        <f t="shared" si="19"/>
        <v>2.4468068992206229</v>
      </c>
      <c r="L86" s="447">
        <f t="shared" si="22"/>
        <v>21.878223115290446</v>
      </c>
    </row>
    <row r="87" spans="1:19" ht="45">
      <c r="A87" s="396" t="s">
        <v>389</v>
      </c>
      <c r="B87" s="304">
        <v>2</v>
      </c>
      <c r="C87" s="304">
        <v>8</v>
      </c>
      <c r="D87" s="407">
        <v>35</v>
      </c>
      <c r="E87" s="447">
        <f t="shared" si="20"/>
        <v>4.2225826668958426</v>
      </c>
      <c r="F87" s="447">
        <f t="shared" si="18"/>
        <v>3.5986908599833538</v>
      </c>
      <c r="G87" s="304">
        <v>8</v>
      </c>
      <c r="H87" s="304">
        <v>5</v>
      </c>
      <c r="I87" s="407">
        <v>40</v>
      </c>
      <c r="J87" s="447">
        <f t="shared" si="21"/>
        <v>3.7645313796964266</v>
      </c>
      <c r="K87" s="447">
        <f t="shared" si="19"/>
        <v>2.4468068992206229</v>
      </c>
      <c r="L87" s="447">
        <f t="shared" si="22"/>
        <v>26.77183691373169</v>
      </c>
      <c r="P87"/>
      <c r="Q87"/>
      <c r="R87"/>
      <c r="S87"/>
    </row>
    <row r="88" spans="1:19" ht="45">
      <c r="A88" s="396" t="s">
        <v>390</v>
      </c>
      <c r="B88" s="304">
        <v>2</v>
      </c>
      <c r="C88" s="304">
        <v>8</v>
      </c>
      <c r="D88" s="407">
        <v>35</v>
      </c>
      <c r="E88" s="447">
        <f t="shared" si="20"/>
        <v>4.2225826668958426</v>
      </c>
      <c r="F88" s="447">
        <f t="shared" si="18"/>
        <v>3.5986908599833538</v>
      </c>
      <c r="G88" s="304">
        <v>10</v>
      </c>
      <c r="H88" s="304">
        <v>5</v>
      </c>
      <c r="I88" s="407">
        <v>40</v>
      </c>
      <c r="J88" s="447">
        <f t="shared" si="21"/>
        <v>3.7645313796964266</v>
      </c>
      <c r="K88" s="447">
        <f t="shared" si="19"/>
        <v>2.4468068992206229</v>
      </c>
      <c r="L88" s="447">
        <f t="shared" si="22"/>
        <v>31.665450712172934</v>
      </c>
      <c r="P88"/>
      <c r="Q88"/>
      <c r="R88"/>
      <c r="S88"/>
    </row>
    <row r="89" spans="1:19" ht="45">
      <c r="A89" s="396" t="s">
        <v>391</v>
      </c>
      <c r="B89" s="304">
        <v>3</v>
      </c>
      <c r="C89" s="304">
        <v>8</v>
      </c>
      <c r="D89" s="407">
        <v>35</v>
      </c>
      <c r="E89" s="447">
        <f t="shared" si="20"/>
        <v>4.2225826668958426</v>
      </c>
      <c r="F89" s="447">
        <f t="shared" si="18"/>
        <v>3.5986908599833538</v>
      </c>
      <c r="G89" s="304">
        <v>4</v>
      </c>
      <c r="H89" s="304">
        <v>5</v>
      </c>
      <c r="I89" s="407">
        <v>40</v>
      </c>
      <c r="J89" s="447">
        <f t="shared" si="21"/>
        <v>3.7645313796964266</v>
      </c>
      <c r="K89" s="447">
        <f t="shared" si="19"/>
        <v>2.4468068992206229</v>
      </c>
      <c r="L89" s="447">
        <f t="shared" si="22"/>
        <v>20.583300176832552</v>
      </c>
      <c r="P89"/>
      <c r="Q89"/>
      <c r="R89"/>
      <c r="S89"/>
    </row>
    <row r="90" spans="1:19" ht="45">
      <c r="A90" s="396" t="s">
        <v>392</v>
      </c>
      <c r="B90" s="304">
        <v>3</v>
      </c>
      <c r="C90" s="304">
        <v>8</v>
      </c>
      <c r="D90" s="407">
        <v>35</v>
      </c>
      <c r="E90" s="447">
        <f t="shared" si="20"/>
        <v>4.2225826668958426</v>
      </c>
      <c r="F90" s="447">
        <f t="shared" si="18"/>
        <v>3.5986908599833538</v>
      </c>
      <c r="G90" s="304">
        <v>8</v>
      </c>
      <c r="H90" s="304">
        <v>5</v>
      </c>
      <c r="I90" s="407">
        <v>40</v>
      </c>
      <c r="J90" s="447">
        <f t="shared" si="21"/>
        <v>3.7645313796964266</v>
      </c>
      <c r="K90" s="447">
        <f t="shared" si="19"/>
        <v>2.4468068992206229</v>
      </c>
      <c r="L90" s="447">
        <f t="shared" si="22"/>
        <v>30.370527773715047</v>
      </c>
      <c r="P90"/>
      <c r="Q90"/>
      <c r="R90"/>
      <c r="S90"/>
    </row>
    <row r="91" spans="1:19" ht="45">
      <c r="A91" s="396" t="s">
        <v>393</v>
      </c>
      <c r="B91" s="304">
        <v>3</v>
      </c>
      <c r="C91" s="304">
        <v>8</v>
      </c>
      <c r="D91" s="407">
        <v>35</v>
      </c>
      <c r="E91" s="447">
        <f t="shared" si="20"/>
        <v>4.2225826668958426</v>
      </c>
      <c r="F91" s="447">
        <f t="shared" si="18"/>
        <v>3.5986908599833538</v>
      </c>
      <c r="G91" s="304">
        <v>12</v>
      </c>
      <c r="H91" s="304">
        <v>5</v>
      </c>
      <c r="I91" s="407">
        <v>40</v>
      </c>
      <c r="J91" s="447">
        <f t="shared" si="21"/>
        <v>3.7645313796964266</v>
      </c>
      <c r="K91" s="447">
        <f t="shared" si="19"/>
        <v>2.4468068992206229</v>
      </c>
      <c r="L91" s="447">
        <f t="shared" si="22"/>
        <v>40.157755370597535</v>
      </c>
      <c r="P91"/>
      <c r="Q91"/>
      <c r="R91"/>
      <c r="S91"/>
    </row>
    <row r="92" spans="1:19" ht="45">
      <c r="A92" s="396" t="s">
        <v>394</v>
      </c>
      <c r="B92" s="304">
        <v>3</v>
      </c>
      <c r="C92" s="304">
        <v>8</v>
      </c>
      <c r="D92" s="407">
        <v>35</v>
      </c>
      <c r="E92" s="447">
        <f t="shared" si="20"/>
        <v>4.2225826668958426</v>
      </c>
      <c r="F92" s="447">
        <f t="shared" si="18"/>
        <v>3.5986908599833538</v>
      </c>
      <c r="G92" s="304">
        <v>16</v>
      </c>
      <c r="H92" s="304">
        <v>5</v>
      </c>
      <c r="I92" s="407">
        <v>40</v>
      </c>
      <c r="J92" s="447">
        <f t="shared" si="21"/>
        <v>3.7645313796964266</v>
      </c>
      <c r="K92" s="447">
        <f t="shared" si="19"/>
        <v>2.4468068992206229</v>
      </c>
      <c r="L92" s="447">
        <f t="shared" si="22"/>
        <v>49.94498296748003</v>
      </c>
      <c r="P92"/>
      <c r="Q92"/>
      <c r="R92"/>
      <c r="S92"/>
    </row>
    <row r="93" spans="1:19" ht="45.75" thickBot="1">
      <c r="A93" s="438" t="s">
        <v>395</v>
      </c>
      <c r="B93" s="448">
        <v>3</v>
      </c>
      <c r="C93" s="448">
        <v>8</v>
      </c>
      <c r="D93" s="449">
        <v>35</v>
      </c>
      <c r="E93" s="450">
        <f t="shared" si="20"/>
        <v>4.2225826668958426</v>
      </c>
      <c r="F93" s="450">
        <f t="shared" si="18"/>
        <v>3.5986908599833538</v>
      </c>
      <c r="G93" s="448">
        <v>20</v>
      </c>
      <c r="H93" s="448">
        <v>5</v>
      </c>
      <c r="I93" s="449">
        <v>40</v>
      </c>
      <c r="J93" s="450">
        <f t="shared" si="21"/>
        <v>3.7645313796964266</v>
      </c>
      <c r="K93" s="450">
        <f t="shared" si="19"/>
        <v>2.4468068992206229</v>
      </c>
      <c r="L93" s="450">
        <f t="shared" si="22"/>
        <v>59.732210564362518</v>
      </c>
      <c r="P93"/>
      <c r="Q93"/>
      <c r="R93"/>
      <c r="S93"/>
    </row>
    <row r="94" spans="1:19" ht="45.75" thickTop="1">
      <c r="A94" s="411" t="s">
        <v>396</v>
      </c>
      <c r="B94" s="304">
        <v>1</v>
      </c>
      <c r="C94" s="304">
        <v>8</v>
      </c>
      <c r="D94" s="452">
        <v>35</v>
      </c>
      <c r="E94" s="453">
        <f t="shared" si="20"/>
        <v>4.2225826668958426</v>
      </c>
      <c r="F94" s="447">
        <f t="shared" si="18"/>
        <v>3.5986908599833538</v>
      </c>
      <c r="G94" s="304">
        <v>2</v>
      </c>
      <c r="H94" s="304">
        <v>5</v>
      </c>
      <c r="I94" s="452">
        <v>40</v>
      </c>
      <c r="J94" s="453">
        <f t="shared" si="21"/>
        <v>3.7645313796964266</v>
      </c>
      <c r="K94" s="447">
        <f t="shared" si="19"/>
        <v>2.4468068992206229</v>
      </c>
      <c r="L94" s="447">
        <f>B94*F94+G94*K94</f>
        <v>8.4923046584245991</v>
      </c>
      <c r="P94"/>
      <c r="Q94"/>
      <c r="R94"/>
      <c r="S94"/>
    </row>
    <row r="95" spans="1:19" ht="45">
      <c r="A95" s="396" t="s">
        <v>397</v>
      </c>
      <c r="B95" s="304">
        <v>2</v>
      </c>
      <c r="C95" s="304">
        <v>8</v>
      </c>
      <c r="D95" s="407">
        <v>35</v>
      </c>
      <c r="E95" s="447">
        <f t="shared" si="20"/>
        <v>4.2225826668958426</v>
      </c>
      <c r="F95" s="447">
        <f t="shared" si="18"/>
        <v>3.5986908599833538</v>
      </c>
      <c r="G95" s="304">
        <v>2</v>
      </c>
      <c r="H95" s="304">
        <v>5</v>
      </c>
      <c r="I95" s="407">
        <v>40</v>
      </c>
      <c r="J95" s="447">
        <f t="shared" si="21"/>
        <v>3.7645313796964266</v>
      </c>
      <c r="K95" s="447">
        <f t="shared" si="19"/>
        <v>2.4468068992206229</v>
      </c>
      <c r="L95" s="447">
        <f t="shared" ref="L95:L106" si="23">B95*F95+G95*K95</f>
        <v>12.090995518407954</v>
      </c>
      <c r="P95"/>
      <c r="Q95"/>
      <c r="R95"/>
      <c r="S95"/>
    </row>
    <row r="96" spans="1:19" ht="45">
      <c r="A96" s="396" t="s">
        <v>398</v>
      </c>
      <c r="B96" s="304">
        <v>2</v>
      </c>
      <c r="C96" s="304">
        <v>8</v>
      </c>
      <c r="D96" s="407">
        <v>35</v>
      </c>
      <c r="E96" s="447">
        <f t="shared" si="20"/>
        <v>4.2225826668958426</v>
      </c>
      <c r="F96" s="447">
        <f t="shared" si="18"/>
        <v>3.5986908599833538</v>
      </c>
      <c r="G96" s="304">
        <v>4</v>
      </c>
      <c r="H96" s="304">
        <v>5</v>
      </c>
      <c r="I96" s="407">
        <v>40</v>
      </c>
      <c r="J96" s="447">
        <f t="shared" si="21"/>
        <v>3.7645313796964266</v>
      </c>
      <c r="K96" s="447">
        <f t="shared" si="19"/>
        <v>2.4468068992206229</v>
      </c>
      <c r="L96" s="447">
        <f t="shared" si="23"/>
        <v>16.984609316849198</v>
      </c>
      <c r="P96"/>
      <c r="Q96"/>
      <c r="R96"/>
      <c r="S96"/>
    </row>
    <row r="97" spans="1:20" ht="45">
      <c r="A97" s="396" t="s">
        <v>399</v>
      </c>
      <c r="B97" s="304">
        <v>2</v>
      </c>
      <c r="C97" s="304">
        <v>8</v>
      </c>
      <c r="D97" s="407">
        <v>35</v>
      </c>
      <c r="E97" s="447">
        <f t="shared" si="20"/>
        <v>4.2225826668958426</v>
      </c>
      <c r="F97" s="447">
        <f t="shared" si="18"/>
        <v>3.5986908599833538</v>
      </c>
      <c r="G97" s="304">
        <v>6</v>
      </c>
      <c r="H97" s="304">
        <v>5</v>
      </c>
      <c r="I97" s="407">
        <v>40</v>
      </c>
      <c r="J97" s="447">
        <f t="shared" si="21"/>
        <v>3.7645313796964266</v>
      </c>
      <c r="K97" s="447">
        <f t="shared" si="19"/>
        <v>2.4468068992206229</v>
      </c>
      <c r="L97" s="447">
        <f t="shared" si="23"/>
        <v>21.878223115290446</v>
      </c>
      <c r="P97"/>
      <c r="Q97"/>
      <c r="R97"/>
      <c r="S97"/>
    </row>
    <row r="98" spans="1:20" ht="45">
      <c r="A98" s="396" t="s">
        <v>400</v>
      </c>
      <c r="B98" s="304">
        <v>2</v>
      </c>
      <c r="C98" s="304">
        <v>8</v>
      </c>
      <c r="D98" s="407">
        <v>35</v>
      </c>
      <c r="E98" s="447">
        <f t="shared" si="20"/>
        <v>4.2225826668958426</v>
      </c>
      <c r="F98" s="447">
        <f t="shared" si="18"/>
        <v>3.5986908599833538</v>
      </c>
      <c r="G98" s="304">
        <v>8</v>
      </c>
      <c r="H98" s="304">
        <v>5</v>
      </c>
      <c r="I98" s="407">
        <v>40</v>
      </c>
      <c r="J98" s="447">
        <f t="shared" si="21"/>
        <v>3.7645313796964266</v>
      </c>
      <c r="K98" s="447">
        <f t="shared" si="19"/>
        <v>2.4468068992206229</v>
      </c>
      <c r="L98" s="447">
        <f t="shared" si="23"/>
        <v>26.77183691373169</v>
      </c>
      <c r="P98"/>
      <c r="Q98"/>
      <c r="R98"/>
      <c r="S98"/>
    </row>
    <row r="99" spans="1:20" ht="45">
      <c r="A99" s="396" t="s">
        <v>401</v>
      </c>
      <c r="B99" s="304">
        <v>2</v>
      </c>
      <c r="C99" s="304">
        <v>8</v>
      </c>
      <c r="D99" s="407">
        <v>35</v>
      </c>
      <c r="E99" s="447">
        <f t="shared" si="20"/>
        <v>4.2225826668958426</v>
      </c>
      <c r="F99" s="447">
        <f t="shared" si="18"/>
        <v>3.5986908599833538</v>
      </c>
      <c r="G99" s="304">
        <v>10</v>
      </c>
      <c r="H99" s="304">
        <v>5</v>
      </c>
      <c r="I99" s="407">
        <v>40</v>
      </c>
      <c r="J99" s="447">
        <f t="shared" si="21"/>
        <v>3.7645313796964266</v>
      </c>
      <c r="K99" s="447">
        <f t="shared" si="19"/>
        <v>2.4468068992206229</v>
      </c>
      <c r="L99" s="447">
        <f t="shared" si="23"/>
        <v>31.665450712172934</v>
      </c>
      <c r="P99"/>
      <c r="Q99"/>
      <c r="R99"/>
      <c r="S99"/>
    </row>
    <row r="100" spans="1:20" ht="45">
      <c r="A100" s="396" t="s">
        <v>402</v>
      </c>
      <c r="B100" s="304">
        <v>3</v>
      </c>
      <c r="C100" s="304">
        <v>8</v>
      </c>
      <c r="D100" s="407">
        <v>35</v>
      </c>
      <c r="E100" s="447">
        <f t="shared" si="20"/>
        <v>4.2225826668958426</v>
      </c>
      <c r="F100" s="447">
        <f t="shared" si="18"/>
        <v>3.5986908599833538</v>
      </c>
      <c r="G100" s="304">
        <v>4</v>
      </c>
      <c r="H100" s="304">
        <v>5</v>
      </c>
      <c r="I100" s="407">
        <v>40</v>
      </c>
      <c r="J100" s="447">
        <f t="shared" si="21"/>
        <v>3.7645313796964266</v>
      </c>
      <c r="K100" s="447">
        <f t="shared" si="19"/>
        <v>2.4468068992206229</v>
      </c>
      <c r="L100" s="447">
        <f t="shared" si="23"/>
        <v>20.583300176832552</v>
      </c>
      <c r="P100"/>
      <c r="Q100"/>
      <c r="R100"/>
      <c r="S100"/>
    </row>
    <row r="101" spans="1:20" ht="45">
      <c r="A101" s="396" t="s">
        <v>403</v>
      </c>
      <c r="B101" s="304">
        <v>3</v>
      </c>
      <c r="C101" s="304">
        <v>8</v>
      </c>
      <c r="D101" s="407">
        <v>35</v>
      </c>
      <c r="E101" s="447">
        <f t="shared" si="20"/>
        <v>4.2225826668958426</v>
      </c>
      <c r="F101" s="447">
        <f t="shared" si="18"/>
        <v>3.5986908599833538</v>
      </c>
      <c r="G101" s="304">
        <v>8</v>
      </c>
      <c r="H101" s="304">
        <v>5</v>
      </c>
      <c r="I101" s="407">
        <v>40</v>
      </c>
      <c r="J101" s="447">
        <f t="shared" si="21"/>
        <v>3.7645313796964266</v>
      </c>
      <c r="K101" s="447">
        <f t="shared" si="19"/>
        <v>2.4468068992206229</v>
      </c>
      <c r="L101" s="447">
        <f t="shared" si="23"/>
        <v>30.370527773715047</v>
      </c>
      <c r="P101"/>
      <c r="Q101"/>
      <c r="R101"/>
      <c r="S101"/>
    </row>
    <row r="102" spans="1:20" ht="45">
      <c r="A102" s="396" t="s">
        <v>404</v>
      </c>
      <c r="B102" s="304">
        <v>3</v>
      </c>
      <c r="C102" s="304">
        <v>8</v>
      </c>
      <c r="D102" s="407">
        <v>35</v>
      </c>
      <c r="E102" s="447">
        <f t="shared" si="20"/>
        <v>4.2225826668958426</v>
      </c>
      <c r="F102" s="447">
        <f t="shared" si="18"/>
        <v>3.5986908599833538</v>
      </c>
      <c r="G102" s="304">
        <v>12</v>
      </c>
      <c r="H102" s="304">
        <v>5</v>
      </c>
      <c r="I102" s="407">
        <v>40</v>
      </c>
      <c r="J102" s="447">
        <f t="shared" si="21"/>
        <v>3.7645313796964266</v>
      </c>
      <c r="K102" s="447">
        <f t="shared" si="19"/>
        <v>2.4468068992206229</v>
      </c>
      <c r="L102" s="447">
        <f t="shared" si="23"/>
        <v>40.157755370597535</v>
      </c>
      <c r="P102"/>
      <c r="Q102"/>
      <c r="R102"/>
      <c r="S102"/>
    </row>
    <row r="103" spans="1:20" ht="45">
      <c r="A103" s="396" t="s">
        <v>405</v>
      </c>
      <c r="B103" s="304">
        <v>3</v>
      </c>
      <c r="C103" s="304">
        <v>8</v>
      </c>
      <c r="D103" s="407">
        <v>35</v>
      </c>
      <c r="E103" s="447">
        <f t="shared" si="20"/>
        <v>4.2225826668958426</v>
      </c>
      <c r="F103" s="447">
        <f t="shared" si="18"/>
        <v>3.5986908599833538</v>
      </c>
      <c r="G103" s="304">
        <v>16</v>
      </c>
      <c r="H103" s="304">
        <v>5</v>
      </c>
      <c r="I103" s="407">
        <v>40</v>
      </c>
      <c r="J103" s="447">
        <f t="shared" si="21"/>
        <v>3.7645313796964266</v>
      </c>
      <c r="K103" s="447">
        <f t="shared" si="19"/>
        <v>2.4468068992206229</v>
      </c>
      <c r="L103" s="447">
        <f t="shared" si="23"/>
        <v>49.94498296748003</v>
      </c>
      <c r="P103"/>
      <c r="Q103"/>
      <c r="R103"/>
      <c r="S103"/>
    </row>
    <row r="104" spans="1:20" ht="45.75" thickBot="1">
      <c r="A104" s="438" t="s">
        <v>406</v>
      </c>
      <c r="B104" s="448">
        <v>3</v>
      </c>
      <c r="C104" s="448">
        <v>8</v>
      </c>
      <c r="D104" s="454">
        <v>35</v>
      </c>
      <c r="E104" s="455">
        <f t="shared" si="20"/>
        <v>4.2225826668958426</v>
      </c>
      <c r="F104" s="455">
        <f t="shared" si="18"/>
        <v>3.5986908599833538</v>
      </c>
      <c r="G104" s="448">
        <v>20</v>
      </c>
      <c r="H104" s="448">
        <v>5</v>
      </c>
      <c r="I104" s="449">
        <v>40</v>
      </c>
      <c r="J104" s="450">
        <f t="shared" si="21"/>
        <v>3.7645313796964266</v>
      </c>
      <c r="K104" s="450">
        <f t="shared" si="19"/>
        <v>2.4468068992206229</v>
      </c>
      <c r="L104" s="450">
        <f t="shared" si="23"/>
        <v>59.732210564362518</v>
      </c>
      <c r="P104"/>
      <c r="Q104"/>
      <c r="R104"/>
      <c r="S104"/>
    </row>
    <row r="105" spans="1:20" ht="45.75" thickTop="1">
      <c r="A105" s="411" t="s">
        <v>407</v>
      </c>
      <c r="B105" s="456">
        <v>1</v>
      </c>
      <c r="C105" s="456">
        <v>5</v>
      </c>
      <c r="D105" s="457">
        <v>35</v>
      </c>
      <c r="E105" s="458">
        <f t="shared" si="20"/>
        <v>3.3382447089347353</v>
      </c>
      <c r="F105" s="458">
        <f>MIN($C$50*$C$48*D105/1000,2.3*SQRT($C$47*$C$50*$C$48)/1000+(E105/4),$C$50*$C$48*D105/1000*(SQRT(2+4*$C$47/($C$50*$C$48*D105^2))-1)+E105/4)</f>
        <v>2.3402352315302002</v>
      </c>
      <c r="G105" s="456">
        <v>2</v>
      </c>
      <c r="H105" s="456">
        <v>5</v>
      </c>
      <c r="I105" s="452">
        <v>40</v>
      </c>
      <c r="J105" s="453">
        <f t="shared" si="21"/>
        <v>3.7645313796964266</v>
      </c>
      <c r="K105" s="458">
        <f>MIN($C$50*$C$48*I105/1000,2.3*SQRT($C$47*$C$50*$C$48)/1000+(J105/4),$C$50*$C$48*I105/1000*(SQRT(2+4*$C$47/($C$50*$C$48*I105^2))-1)+J105/4)</f>
        <v>2.4468068992206229</v>
      </c>
      <c r="L105" s="458">
        <f t="shared" si="23"/>
        <v>7.233849029971446</v>
      </c>
      <c r="P105"/>
      <c r="Q105"/>
      <c r="R105"/>
      <c r="S105"/>
    </row>
    <row r="106" spans="1:20" ht="45">
      <c r="A106" s="411" t="s">
        <v>408</v>
      </c>
      <c r="B106" s="304">
        <v>1</v>
      </c>
      <c r="C106" s="304">
        <v>5</v>
      </c>
      <c r="D106" s="407">
        <v>35</v>
      </c>
      <c r="E106" s="447">
        <f t="shared" si="20"/>
        <v>3.3382447089347353</v>
      </c>
      <c r="F106" s="447">
        <f>MIN($C$50*$C$48*D106/1000,2.3*SQRT($C$47*$C$50*$C$48)/1000+(E106/4),$C$50*$C$48*D106/1000*(SQRT(2+4*$C$47/($C$50*$C$48*D106^2))-1)+E106/4)</f>
        <v>2.3402352315302002</v>
      </c>
      <c r="G106" s="304">
        <v>2</v>
      </c>
      <c r="H106" s="304">
        <v>5</v>
      </c>
      <c r="I106" s="407">
        <v>40</v>
      </c>
      <c r="J106" s="447">
        <f t="shared" si="21"/>
        <v>3.7645313796964266</v>
      </c>
      <c r="K106" s="447">
        <f>MIN($C$50*$C$48*I106/1000,2.3*SQRT($C$47*$C$50*$C$48)/1000+(J106/4),$C$50*$C$48*I106/1000*(SQRT(2+4*$C$47/($C$50*$C$48*I106^2))-1)+J106/4)</f>
        <v>2.4468068992206229</v>
      </c>
      <c r="L106" s="447">
        <f t="shared" si="23"/>
        <v>7.233849029971446</v>
      </c>
      <c r="P106"/>
      <c r="Q106"/>
      <c r="R106"/>
      <c r="S106"/>
    </row>
    <row r="107" spans="1:20">
      <c r="A107" s="3"/>
    </row>
    <row r="108" spans="1:20">
      <c r="A108" s="3"/>
      <c r="B108" s="77"/>
      <c r="F108" t="s">
        <v>72</v>
      </c>
    </row>
    <row r="109" spans="1:20" ht="18">
      <c r="A109" s="4" t="s">
        <v>2</v>
      </c>
      <c r="B109" s="78" t="s">
        <v>61</v>
      </c>
      <c r="C109" s="78" t="s">
        <v>73</v>
      </c>
      <c r="D109" s="5" t="s">
        <v>74</v>
      </c>
      <c r="E109" s="78" t="s">
        <v>75</v>
      </c>
      <c r="F109" s="79" t="s">
        <v>76</v>
      </c>
      <c r="G109" s="80"/>
      <c r="O109" s="4" t="s">
        <v>2</v>
      </c>
      <c r="P109" s="682" t="s">
        <v>77</v>
      </c>
      <c r="Q109" s="683"/>
      <c r="R109" s="683"/>
      <c r="S109" s="683"/>
      <c r="T109" s="684"/>
    </row>
    <row r="110" spans="1:20">
      <c r="A110" s="8" t="s">
        <v>343</v>
      </c>
      <c r="B110" s="81" t="s">
        <v>17</v>
      </c>
      <c r="C110" s="82" t="s">
        <v>17</v>
      </c>
      <c r="D110" s="9" t="s">
        <v>78</v>
      </c>
      <c r="E110" s="82" t="s">
        <v>17</v>
      </c>
      <c r="F110" s="83" t="s">
        <v>17</v>
      </c>
      <c r="G110" s="84"/>
      <c r="O110" s="8" t="s">
        <v>337</v>
      </c>
      <c r="P110" s="95">
        <v>0.6</v>
      </c>
      <c r="Q110" s="95">
        <v>0.7</v>
      </c>
      <c r="R110" s="95">
        <v>0.8</v>
      </c>
      <c r="S110" s="95">
        <v>0.9</v>
      </c>
      <c r="T110" s="95">
        <v>1</v>
      </c>
    </row>
    <row r="111" spans="1:20" ht="45">
      <c r="A111" s="396" t="s">
        <v>385</v>
      </c>
      <c r="B111" s="138">
        <f t="shared" ref="B111:B132" si="24">L55</f>
        <v>5.1804296195027444</v>
      </c>
      <c r="C111" s="439">
        <v>4.5</v>
      </c>
      <c r="D111" s="459">
        <v>2.2999999999999998</v>
      </c>
      <c r="E111" s="404">
        <f t="shared" ref="E111:E132" si="25">1/(SQRT((1/L83)^2+(1/(D111*E83)^2)))</f>
        <v>6.3929510461985073</v>
      </c>
      <c r="F111" s="460">
        <f>MIN(B111,E111)</f>
        <v>5.1804296195027444</v>
      </c>
      <c r="G111" s="97"/>
      <c r="O111" s="396" t="s">
        <v>385</v>
      </c>
      <c r="P111" s="88">
        <f t="shared" ref="P111:P134" si="26">MIN(P$110*$B111/$B$135,$C111/$C$135,P$110*$E111/$E$135)</f>
        <v>2.3909675166935744</v>
      </c>
      <c r="Q111" s="88">
        <f t="shared" ref="Q111:T126" si="27">MIN(Q$110*$B111/$B$135,$C111/$C$135,Q$110*$E111/$E$135)</f>
        <v>2.7894621028091695</v>
      </c>
      <c r="R111" s="88">
        <f t="shared" si="27"/>
        <v>3.1879566889247655</v>
      </c>
      <c r="S111" s="88">
        <f t="shared" si="27"/>
        <v>3.5864512750403614</v>
      </c>
      <c r="T111" s="88">
        <f t="shared" si="27"/>
        <v>3.9849458611559569</v>
      </c>
    </row>
    <row r="112" spans="1:20" ht="45">
      <c r="A112" s="396" t="s">
        <v>386</v>
      </c>
      <c r="B112" s="138">
        <f t="shared" si="24"/>
        <v>7.5161100233272613</v>
      </c>
      <c r="C112" s="439">
        <v>8.1999999999999993</v>
      </c>
      <c r="D112" s="459">
        <v>5.09</v>
      </c>
      <c r="E112" s="404">
        <f t="shared" si="25"/>
        <v>10.537961665735278</v>
      </c>
      <c r="F112" s="460">
        <f t="shared" ref="F112:F121" si="28">MIN(B112,E112)</f>
        <v>7.5161100233272613</v>
      </c>
      <c r="G112" s="97"/>
      <c r="O112" s="396" t="s">
        <v>386</v>
      </c>
      <c r="P112" s="88">
        <f t="shared" si="26"/>
        <v>3.4689738569202739</v>
      </c>
      <c r="Q112" s="88">
        <f t="shared" si="27"/>
        <v>4.0471361664069869</v>
      </c>
      <c r="R112" s="88">
        <f t="shared" si="27"/>
        <v>4.6252984758936995</v>
      </c>
      <c r="S112" s="88">
        <f t="shared" si="27"/>
        <v>5.203460785380412</v>
      </c>
      <c r="T112" s="88">
        <f t="shared" si="27"/>
        <v>5.7816230948671237</v>
      </c>
    </row>
    <row r="113" spans="1:20" ht="45">
      <c r="A113" s="396" t="s">
        <v>387</v>
      </c>
      <c r="B113" s="138">
        <f t="shared" si="24"/>
        <v>10.360859239005489</v>
      </c>
      <c r="C113" s="439">
        <v>10.4</v>
      </c>
      <c r="D113" s="459">
        <v>10.9</v>
      </c>
      <c r="E113" s="404">
        <f t="shared" si="25"/>
        <v>15.934288721558111</v>
      </c>
      <c r="F113" s="460">
        <f t="shared" si="28"/>
        <v>10.360859239005489</v>
      </c>
      <c r="G113" s="97"/>
      <c r="O113" s="396" t="s">
        <v>387</v>
      </c>
      <c r="P113" s="88">
        <f t="shared" si="26"/>
        <v>4.7819350333871489</v>
      </c>
      <c r="Q113" s="88">
        <f t="shared" si="27"/>
        <v>5.578924205618339</v>
      </c>
      <c r="R113" s="88">
        <f t="shared" si="27"/>
        <v>6.3759133778495309</v>
      </c>
      <c r="S113" s="88">
        <f t="shared" si="27"/>
        <v>7.1729025500807229</v>
      </c>
      <c r="T113" s="88">
        <f t="shared" si="27"/>
        <v>7.9698917223119139</v>
      </c>
    </row>
    <row r="114" spans="1:20" ht="45">
      <c r="A114" s="396" t="s">
        <v>388</v>
      </c>
      <c r="B114" s="138">
        <f t="shared" si="24"/>
        <v>13.205608454683714</v>
      </c>
      <c r="C114" s="439">
        <v>13.4</v>
      </c>
      <c r="D114" s="459">
        <v>19.100000000000001</v>
      </c>
      <c r="E114" s="404">
        <f t="shared" si="25"/>
        <v>21.115113830225891</v>
      </c>
      <c r="F114" s="460">
        <f t="shared" si="28"/>
        <v>13.205608454683714</v>
      </c>
      <c r="G114" s="97"/>
      <c r="O114" s="396" t="s">
        <v>388</v>
      </c>
      <c r="P114" s="88">
        <f t="shared" si="26"/>
        <v>6.0948962098540216</v>
      </c>
      <c r="Q114" s="88">
        <f t="shared" si="27"/>
        <v>7.1107122448296911</v>
      </c>
      <c r="R114" s="88">
        <f t="shared" si="27"/>
        <v>8.1265282798053633</v>
      </c>
      <c r="S114" s="88">
        <f t="shared" si="27"/>
        <v>9.1423443147810328</v>
      </c>
      <c r="T114" s="88">
        <f t="shared" si="27"/>
        <v>10.158160349756702</v>
      </c>
    </row>
    <row r="115" spans="1:20" ht="45">
      <c r="A115" s="396" t="s">
        <v>389</v>
      </c>
      <c r="B115" s="138">
        <f t="shared" si="24"/>
        <v>16.05035767036194</v>
      </c>
      <c r="C115" s="439">
        <v>13.4</v>
      </c>
      <c r="D115" s="459">
        <v>29.6</v>
      </c>
      <c r="E115" s="404">
        <f t="shared" si="25"/>
        <v>26.178055916606723</v>
      </c>
      <c r="F115" s="460">
        <f t="shared" si="28"/>
        <v>16.05035767036194</v>
      </c>
      <c r="G115" s="97"/>
      <c r="O115" s="396" t="s">
        <v>389</v>
      </c>
      <c r="P115" s="88">
        <f t="shared" si="26"/>
        <v>7.4078573863208952</v>
      </c>
      <c r="Q115" s="88">
        <f t="shared" si="27"/>
        <v>8.6425002840410432</v>
      </c>
      <c r="R115" s="88">
        <f t="shared" si="27"/>
        <v>9.8771431817611948</v>
      </c>
      <c r="S115" s="88">
        <f t="shared" si="27"/>
        <v>11.111786079481343</v>
      </c>
      <c r="T115" s="88">
        <f t="shared" si="27"/>
        <v>12.346428977201493</v>
      </c>
    </row>
    <row r="116" spans="1:20" ht="45">
      <c r="A116" s="396" t="s">
        <v>390</v>
      </c>
      <c r="B116" s="138">
        <f t="shared" si="24"/>
        <v>18.895106886040168</v>
      </c>
      <c r="C116" s="439">
        <v>13.4</v>
      </c>
      <c r="D116" s="459">
        <v>42.6</v>
      </c>
      <c r="E116" s="404">
        <f t="shared" si="25"/>
        <v>31.185939675185885</v>
      </c>
      <c r="F116" s="460">
        <f t="shared" si="28"/>
        <v>18.895106886040168</v>
      </c>
      <c r="G116" s="97"/>
      <c r="O116" s="396" t="s">
        <v>390</v>
      </c>
      <c r="P116" s="88">
        <f t="shared" si="26"/>
        <v>8.7208185627877697</v>
      </c>
      <c r="Q116" s="88">
        <f t="shared" si="27"/>
        <v>10.174288323252396</v>
      </c>
      <c r="R116" s="88">
        <f t="shared" si="27"/>
        <v>11.627758083717026</v>
      </c>
      <c r="S116" s="88">
        <f t="shared" si="27"/>
        <v>13.081227844181655</v>
      </c>
      <c r="T116" s="88">
        <f t="shared" si="27"/>
        <v>13.4</v>
      </c>
    </row>
    <row r="117" spans="1:20" ht="45">
      <c r="A117" s="396" t="s">
        <v>391</v>
      </c>
      <c r="B117" s="138">
        <f t="shared" si="24"/>
        <v>12.696539642830006</v>
      </c>
      <c r="C117" s="439">
        <v>8.1999999999999993</v>
      </c>
      <c r="D117" s="459">
        <v>27.6</v>
      </c>
      <c r="E117" s="404">
        <f t="shared" si="25"/>
        <v>20.269594190234422</v>
      </c>
      <c r="F117" s="460">
        <f t="shared" si="28"/>
        <v>12.696539642830006</v>
      </c>
      <c r="G117" s="97"/>
      <c r="O117" s="396" t="s">
        <v>391</v>
      </c>
      <c r="P117" s="88">
        <f t="shared" si="26"/>
        <v>5.8599413736138484</v>
      </c>
      <c r="Q117" s="88">
        <f t="shared" si="27"/>
        <v>6.8365982692161564</v>
      </c>
      <c r="R117" s="88">
        <f t="shared" si="27"/>
        <v>7.8132551648184654</v>
      </c>
      <c r="S117" s="88">
        <f t="shared" si="27"/>
        <v>8.1999999999999993</v>
      </c>
      <c r="T117" s="88">
        <f t="shared" si="27"/>
        <v>8.1999999999999993</v>
      </c>
    </row>
    <row r="118" spans="1:20" ht="45">
      <c r="A118" s="396" t="s">
        <v>392</v>
      </c>
      <c r="B118" s="138">
        <f t="shared" si="24"/>
        <v>18.386038074186459</v>
      </c>
      <c r="C118" s="439">
        <v>10.4</v>
      </c>
      <c r="D118" s="459">
        <v>56.5</v>
      </c>
      <c r="E118" s="404">
        <f t="shared" si="25"/>
        <v>30.127400168152349</v>
      </c>
      <c r="F118" s="460">
        <f t="shared" si="28"/>
        <v>18.386038074186459</v>
      </c>
      <c r="G118" s="97"/>
      <c r="O118" s="396" t="s">
        <v>392</v>
      </c>
      <c r="P118" s="88">
        <f t="shared" si="26"/>
        <v>8.4858637265475956</v>
      </c>
      <c r="Q118" s="88">
        <f t="shared" si="27"/>
        <v>9.9001743476388615</v>
      </c>
      <c r="R118" s="88">
        <f t="shared" si="27"/>
        <v>10.4</v>
      </c>
      <c r="S118" s="88">
        <f t="shared" si="27"/>
        <v>10.4</v>
      </c>
      <c r="T118" s="88">
        <f t="shared" si="27"/>
        <v>10.4</v>
      </c>
    </row>
    <row r="119" spans="1:20" ht="45">
      <c r="A119" s="396" t="s">
        <v>393</v>
      </c>
      <c r="B119" s="138">
        <f t="shared" si="24"/>
        <v>24.07553650554291</v>
      </c>
      <c r="C119" s="439">
        <v>13.4</v>
      </c>
      <c r="D119" s="459">
        <v>94.8</v>
      </c>
      <c r="E119" s="404">
        <f t="shared" si="25"/>
        <v>39.957196302462876</v>
      </c>
      <c r="F119" s="460">
        <f t="shared" si="28"/>
        <v>24.07553650554291</v>
      </c>
      <c r="G119" s="97"/>
      <c r="O119" s="396" t="s">
        <v>393</v>
      </c>
      <c r="P119" s="88">
        <f t="shared" si="26"/>
        <v>11.111786079481341</v>
      </c>
      <c r="Q119" s="88">
        <f t="shared" si="27"/>
        <v>12.963750426061566</v>
      </c>
      <c r="R119" s="88">
        <f t="shared" si="27"/>
        <v>13.4</v>
      </c>
      <c r="S119" s="88">
        <f t="shared" si="27"/>
        <v>13.4</v>
      </c>
      <c r="T119" s="88">
        <f t="shared" si="27"/>
        <v>13.4</v>
      </c>
    </row>
    <row r="120" spans="1:20" ht="45">
      <c r="A120" s="396" t="s">
        <v>394</v>
      </c>
      <c r="B120" s="138">
        <f t="shared" si="24"/>
        <v>29.765034936899362</v>
      </c>
      <c r="C120" s="439">
        <v>13.4</v>
      </c>
      <c r="D120" s="459">
        <v>94.8</v>
      </c>
      <c r="E120" s="404">
        <f t="shared" si="25"/>
        <v>49.56071173277698</v>
      </c>
      <c r="F120" s="460">
        <f t="shared" si="28"/>
        <v>29.765034936899362</v>
      </c>
      <c r="G120" s="98"/>
      <c r="O120" s="396" t="s">
        <v>394</v>
      </c>
      <c r="P120" s="88">
        <f t="shared" si="26"/>
        <v>13.4</v>
      </c>
      <c r="Q120" s="88">
        <f t="shared" si="27"/>
        <v>13.4</v>
      </c>
      <c r="R120" s="88">
        <f t="shared" si="27"/>
        <v>13.4</v>
      </c>
      <c r="S120" s="88">
        <f t="shared" si="27"/>
        <v>13.4</v>
      </c>
      <c r="T120" s="88">
        <f t="shared" si="27"/>
        <v>13.4</v>
      </c>
    </row>
    <row r="121" spans="1:20" ht="45.75" thickBot="1">
      <c r="A121" s="438" t="s">
        <v>395</v>
      </c>
      <c r="B121" s="444">
        <f t="shared" si="24"/>
        <v>35.454533368255817</v>
      </c>
      <c r="C121" s="461">
        <v>13.4</v>
      </c>
      <c r="D121" s="462">
        <v>94.8</v>
      </c>
      <c r="E121" s="463">
        <f t="shared" si="25"/>
        <v>59.078111965190708</v>
      </c>
      <c r="F121" s="464">
        <f t="shared" si="28"/>
        <v>35.454533368255817</v>
      </c>
      <c r="G121" s="98"/>
      <c r="O121" s="438" t="s">
        <v>395</v>
      </c>
      <c r="P121" s="370">
        <f t="shared" si="26"/>
        <v>13.4</v>
      </c>
      <c r="Q121" s="370">
        <f t="shared" si="27"/>
        <v>13.4</v>
      </c>
      <c r="R121" s="370">
        <f t="shared" si="27"/>
        <v>13.4</v>
      </c>
      <c r="S121" s="370">
        <f t="shared" si="27"/>
        <v>13.4</v>
      </c>
      <c r="T121" s="370">
        <f t="shared" si="27"/>
        <v>13.4</v>
      </c>
    </row>
    <row r="122" spans="1:20" ht="45.75" thickTop="1">
      <c r="A122" s="411" t="s">
        <v>396</v>
      </c>
      <c r="B122" s="415">
        <f t="shared" si="24"/>
        <v>5.1804296195027444</v>
      </c>
      <c r="C122" s="465">
        <v>4.5</v>
      </c>
      <c r="D122" s="466">
        <v>2.4</v>
      </c>
      <c r="E122" s="467">
        <f t="shared" si="25"/>
        <v>6.5090543877268745</v>
      </c>
      <c r="F122" s="468">
        <f>MIN(B122,E122)</f>
        <v>5.1804296195027444</v>
      </c>
      <c r="G122" s="98"/>
      <c r="O122" s="411" t="s">
        <v>396</v>
      </c>
      <c r="P122" s="371">
        <f t="shared" si="26"/>
        <v>2.3909675166935744</v>
      </c>
      <c r="Q122" s="371">
        <f t="shared" si="27"/>
        <v>2.7894621028091695</v>
      </c>
      <c r="R122" s="371">
        <f t="shared" si="27"/>
        <v>3.1879566889247655</v>
      </c>
      <c r="S122" s="371">
        <f t="shared" si="27"/>
        <v>3.5864512750403614</v>
      </c>
      <c r="T122" s="371">
        <f t="shared" si="27"/>
        <v>3.9849458611559569</v>
      </c>
    </row>
    <row r="123" spans="1:20" ht="45">
      <c r="A123" s="396" t="s">
        <v>397</v>
      </c>
      <c r="B123" s="138">
        <f t="shared" si="24"/>
        <v>7.5161100233272613</v>
      </c>
      <c r="C123" s="465">
        <v>8.1999999999999993</v>
      </c>
      <c r="D123" s="459">
        <v>6.02</v>
      </c>
      <c r="E123" s="404">
        <f t="shared" si="25"/>
        <v>10.918772579456981</v>
      </c>
      <c r="F123" s="460">
        <f t="shared" ref="F123:F134" si="29">MIN(B123,E123)</f>
        <v>7.5161100233272613</v>
      </c>
      <c r="G123" s="98"/>
      <c r="O123" s="396" t="s">
        <v>397</v>
      </c>
      <c r="P123" s="88">
        <f t="shared" si="26"/>
        <v>3.4689738569202739</v>
      </c>
      <c r="Q123" s="88">
        <f t="shared" si="27"/>
        <v>4.0471361664069869</v>
      </c>
      <c r="R123" s="88">
        <f t="shared" si="27"/>
        <v>4.6252984758936995</v>
      </c>
      <c r="S123" s="88">
        <f t="shared" si="27"/>
        <v>5.203460785380412</v>
      </c>
      <c r="T123" s="88">
        <f t="shared" si="27"/>
        <v>5.7816230948671237</v>
      </c>
    </row>
    <row r="124" spans="1:20" ht="45">
      <c r="A124" s="396" t="s">
        <v>398</v>
      </c>
      <c r="B124" s="138">
        <f t="shared" si="24"/>
        <v>10.360859239005489</v>
      </c>
      <c r="C124" s="465">
        <v>10.4</v>
      </c>
      <c r="D124" s="459">
        <v>12</v>
      </c>
      <c r="E124" s="404">
        <f t="shared" si="25"/>
        <v>16.104003664850044</v>
      </c>
      <c r="F124" s="460">
        <f t="shared" si="29"/>
        <v>10.360859239005489</v>
      </c>
      <c r="G124" s="98"/>
      <c r="O124" s="396" t="s">
        <v>398</v>
      </c>
      <c r="P124" s="88">
        <f t="shared" si="26"/>
        <v>4.7819350333871489</v>
      </c>
      <c r="Q124" s="88">
        <f t="shared" si="27"/>
        <v>5.578924205618339</v>
      </c>
      <c r="R124" s="88">
        <f t="shared" si="27"/>
        <v>6.3759133778495309</v>
      </c>
      <c r="S124" s="88">
        <f t="shared" si="27"/>
        <v>7.1729025500807229</v>
      </c>
      <c r="T124" s="88">
        <f t="shared" si="27"/>
        <v>7.9698917223119139</v>
      </c>
    </row>
    <row r="125" spans="1:20" ht="45">
      <c r="A125" s="396" t="s">
        <v>399</v>
      </c>
      <c r="B125" s="138">
        <f t="shared" si="24"/>
        <v>13.205608454683714</v>
      </c>
      <c r="C125" s="465">
        <v>13.4</v>
      </c>
      <c r="D125" s="459">
        <v>20.3</v>
      </c>
      <c r="E125" s="404">
        <f t="shared" si="25"/>
        <v>21.198632468182748</v>
      </c>
      <c r="F125" s="460">
        <f t="shared" si="29"/>
        <v>13.205608454683714</v>
      </c>
      <c r="G125" s="98"/>
      <c r="O125" s="396" t="s">
        <v>399</v>
      </c>
      <c r="P125" s="88">
        <f t="shared" si="26"/>
        <v>6.0948962098540216</v>
      </c>
      <c r="Q125" s="88">
        <f t="shared" si="27"/>
        <v>7.1107122448296911</v>
      </c>
      <c r="R125" s="88">
        <f t="shared" si="27"/>
        <v>8.1265282798053633</v>
      </c>
      <c r="S125" s="88">
        <f t="shared" si="27"/>
        <v>9.1423443147810328</v>
      </c>
      <c r="T125" s="88">
        <f t="shared" si="27"/>
        <v>10.158160349756702</v>
      </c>
    </row>
    <row r="126" spans="1:20" ht="45">
      <c r="A126" s="396" t="s">
        <v>400</v>
      </c>
      <c r="B126" s="138">
        <f t="shared" si="24"/>
        <v>16.05035767036194</v>
      </c>
      <c r="C126" s="465">
        <v>13.4</v>
      </c>
      <c r="D126" s="459">
        <v>31</v>
      </c>
      <c r="E126" s="404">
        <f t="shared" si="25"/>
        <v>26.228893320616869</v>
      </c>
      <c r="F126" s="460">
        <f t="shared" si="29"/>
        <v>16.05035767036194</v>
      </c>
      <c r="G126" s="98"/>
      <c r="O126" s="396" t="s">
        <v>400</v>
      </c>
      <c r="P126" s="88">
        <f t="shared" si="26"/>
        <v>7.4078573863208952</v>
      </c>
      <c r="Q126" s="88">
        <f t="shared" si="27"/>
        <v>8.6425002840410432</v>
      </c>
      <c r="R126" s="88">
        <f t="shared" si="27"/>
        <v>9.8771431817611948</v>
      </c>
      <c r="S126" s="88">
        <f t="shared" si="27"/>
        <v>11.111786079481343</v>
      </c>
      <c r="T126" s="88">
        <f t="shared" si="27"/>
        <v>12.346428977201493</v>
      </c>
    </row>
    <row r="127" spans="1:20" ht="45">
      <c r="A127" s="396" t="s">
        <v>401</v>
      </c>
      <c r="B127" s="138">
        <f t="shared" si="24"/>
        <v>18.895106886040168</v>
      </c>
      <c r="C127" s="465">
        <v>13.4</v>
      </c>
      <c r="D127" s="459">
        <v>44</v>
      </c>
      <c r="E127" s="404">
        <f t="shared" si="25"/>
        <v>31.21533140781359</v>
      </c>
      <c r="F127" s="460">
        <f t="shared" si="29"/>
        <v>18.895106886040168</v>
      </c>
      <c r="G127" s="98"/>
      <c r="I127">
        <f>13.4*1.3</f>
        <v>17.420000000000002</v>
      </c>
      <c r="O127" s="396" t="s">
        <v>401</v>
      </c>
      <c r="P127" s="88">
        <f t="shared" si="26"/>
        <v>8.7208185627877697</v>
      </c>
      <c r="Q127" s="88">
        <f t="shared" ref="Q127:T134" si="30">MIN(Q$110*$B127/$B$135,$C127/$C$135,Q$110*$E127/$E$135)</f>
        <v>10.174288323252396</v>
      </c>
      <c r="R127" s="88">
        <f t="shared" si="30"/>
        <v>11.627758083717026</v>
      </c>
      <c r="S127" s="88">
        <f t="shared" si="30"/>
        <v>13.081227844181655</v>
      </c>
      <c r="T127" s="88">
        <f t="shared" si="30"/>
        <v>13.4</v>
      </c>
    </row>
    <row r="128" spans="1:20" ht="45">
      <c r="A128" s="396" t="s">
        <v>402</v>
      </c>
      <c r="B128" s="138">
        <f t="shared" si="24"/>
        <v>12.696539642830006</v>
      </c>
      <c r="C128" s="465">
        <v>8.1999999999999993</v>
      </c>
      <c r="D128" s="459">
        <v>27.6</v>
      </c>
      <c r="E128" s="404">
        <f t="shared" si="25"/>
        <v>20.269594190234422</v>
      </c>
      <c r="F128" s="460">
        <f t="shared" si="29"/>
        <v>12.696539642830006</v>
      </c>
      <c r="G128" s="98"/>
      <c r="O128" s="396" t="s">
        <v>402</v>
      </c>
      <c r="P128" s="88">
        <f t="shared" si="26"/>
        <v>5.8599413736138484</v>
      </c>
      <c r="Q128" s="88">
        <f t="shared" si="30"/>
        <v>6.8365982692161564</v>
      </c>
      <c r="R128" s="88">
        <f t="shared" si="30"/>
        <v>7.8132551648184654</v>
      </c>
      <c r="S128" s="88">
        <f t="shared" si="30"/>
        <v>8.1999999999999993</v>
      </c>
      <c r="T128" s="88">
        <f t="shared" si="30"/>
        <v>8.1999999999999993</v>
      </c>
    </row>
    <row r="129" spans="1:33" ht="45">
      <c r="A129" s="396" t="s">
        <v>403</v>
      </c>
      <c r="B129" s="138">
        <f t="shared" si="24"/>
        <v>18.386038074186459</v>
      </c>
      <c r="C129" s="465">
        <v>10.4</v>
      </c>
      <c r="D129" s="459">
        <v>56.5</v>
      </c>
      <c r="E129" s="404">
        <f t="shared" si="25"/>
        <v>30.127400168152349</v>
      </c>
      <c r="F129" s="460">
        <f t="shared" si="29"/>
        <v>18.386038074186459</v>
      </c>
      <c r="G129" s="98"/>
      <c r="O129" s="396" t="s">
        <v>403</v>
      </c>
      <c r="P129" s="88">
        <f t="shared" si="26"/>
        <v>8.4858637265475956</v>
      </c>
      <c r="Q129" s="88">
        <f t="shared" si="30"/>
        <v>9.9001743476388615</v>
      </c>
      <c r="R129" s="88">
        <f t="shared" si="30"/>
        <v>10.4</v>
      </c>
      <c r="S129" s="88">
        <f t="shared" si="30"/>
        <v>10.4</v>
      </c>
      <c r="T129" s="88">
        <f t="shared" si="30"/>
        <v>10.4</v>
      </c>
    </row>
    <row r="130" spans="1:33" ht="45">
      <c r="A130" s="396" t="s">
        <v>404</v>
      </c>
      <c r="B130" s="138">
        <f t="shared" si="24"/>
        <v>24.07553650554291</v>
      </c>
      <c r="C130" s="439">
        <v>13.4</v>
      </c>
      <c r="D130" s="459">
        <v>94.8</v>
      </c>
      <c r="E130" s="404">
        <f t="shared" si="25"/>
        <v>39.957196302462876</v>
      </c>
      <c r="F130" s="460">
        <f t="shared" si="29"/>
        <v>24.07553650554291</v>
      </c>
      <c r="G130" s="98"/>
      <c r="O130" s="396" t="s">
        <v>404</v>
      </c>
      <c r="P130" s="88">
        <f t="shared" si="26"/>
        <v>11.111786079481341</v>
      </c>
      <c r="Q130" s="88">
        <f t="shared" si="30"/>
        <v>12.963750426061566</v>
      </c>
      <c r="R130" s="88">
        <f t="shared" si="30"/>
        <v>13.4</v>
      </c>
      <c r="S130" s="88">
        <f t="shared" si="30"/>
        <v>13.4</v>
      </c>
      <c r="T130" s="88">
        <f t="shared" si="30"/>
        <v>13.4</v>
      </c>
    </row>
    <row r="131" spans="1:33" ht="45">
      <c r="A131" s="396" t="s">
        <v>405</v>
      </c>
      <c r="B131" s="138">
        <f t="shared" si="24"/>
        <v>29.765034936899362</v>
      </c>
      <c r="C131" s="439">
        <v>13.4</v>
      </c>
      <c r="D131" s="459">
        <v>94.8</v>
      </c>
      <c r="E131" s="404">
        <f t="shared" si="25"/>
        <v>49.56071173277698</v>
      </c>
      <c r="F131" s="460">
        <f t="shared" si="29"/>
        <v>29.765034936899362</v>
      </c>
      <c r="G131" s="98"/>
      <c r="O131" s="396" t="s">
        <v>405</v>
      </c>
      <c r="P131" s="88">
        <f t="shared" si="26"/>
        <v>13.4</v>
      </c>
      <c r="Q131" s="88">
        <f t="shared" si="30"/>
        <v>13.4</v>
      </c>
      <c r="R131" s="88">
        <f t="shared" si="30"/>
        <v>13.4</v>
      </c>
      <c r="S131" s="88">
        <f t="shared" si="30"/>
        <v>13.4</v>
      </c>
      <c r="T131" s="88">
        <f t="shared" si="30"/>
        <v>13.4</v>
      </c>
    </row>
    <row r="132" spans="1:33" ht="45.75" thickBot="1">
      <c r="A132" s="438" t="s">
        <v>406</v>
      </c>
      <c r="B132" s="444">
        <f t="shared" si="24"/>
        <v>35.454533368255817</v>
      </c>
      <c r="C132" s="461">
        <v>13.4</v>
      </c>
      <c r="D132" s="462">
        <v>94.8</v>
      </c>
      <c r="E132" s="463">
        <f t="shared" si="25"/>
        <v>59.078111965190708</v>
      </c>
      <c r="F132" s="464">
        <f t="shared" si="29"/>
        <v>35.454533368255817</v>
      </c>
      <c r="G132" s="98"/>
      <c r="O132" s="438" t="s">
        <v>406</v>
      </c>
      <c r="P132" s="370">
        <f t="shared" si="26"/>
        <v>13.4</v>
      </c>
      <c r="Q132" s="370">
        <f t="shared" si="30"/>
        <v>13.4</v>
      </c>
      <c r="R132" s="370">
        <f t="shared" si="30"/>
        <v>13.4</v>
      </c>
      <c r="S132" s="370">
        <f t="shared" si="30"/>
        <v>13.4</v>
      </c>
      <c r="T132" s="370">
        <f t="shared" si="30"/>
        <v>13.4</v>
      </c>
    </row>
    <row r="133" spans="1:33" ht="45.75" thickTop="1">
      <c r="A133" s="411" t="s">
        <v>407</v>
      </c>
      <c r="B133" s="469">
        <f>L77</f>
        <v>5.0646478158177981</v>
      </c>
      <c r="C133" s="470">
        <v>3.7</v>
      </c>
      <c r="D133" s="471">
        <v>4.46</v>
      </c>
      <c r="E133" s="472">
        <f>1/(SQRT((1/L105)^2+(1/(D133*E105)^2)))</f>
        <v>6.5065185051879419</v>
      </c>
      <c r="F133" s="473">
        <f t="shared" si="29"/>
        <v>5.0646478158177981</v>
      </c>
      <c r="G133" s="98"/>
      <c r="O133" s="411" t="s">
        <v>407</v>
      </c>
      <c r="P133" s="371">
        <f t="shared" si="26"/>
        <v>2.3375297611466759</v>
      </c>
      <c r="Q133" s="371">
        <f t="shared" si="30"/>
        <v>2.7271180546711218</v>
      </c>
      <c r="R133" s="371">
        <f t="shared" si="30"/>
        <v>3.1167063481955686</v>
      </c>
      <c r="S133" s="371">
        <f t="shared" si="30"/>
        <v>3.5062946417200136</v>
      </c>
      <c r="T133" s="371">
        <f t="shared" si="30"/>
        <v>3.7</v>
      </c>
    </row>
    <row r="134" spans="1:33" ht="45">
      <c r="A134" s="411" t="s">
        <v>408</v>
      </c>
      <c r="B134" s="138">
        <f>L78</f>
        <v>5.0646478158177981</v>
      </c>
      <c r="C134" s="465">
        <v>3.7</v>
      </c>
      <c r="D134" s="459">
        <v>4.33</v>
      </c>
      <c r="E134" s="404">
        <f>1/(SQRT((1/L106)^2+(1/(D134*E106)^2)))</f>
        <v>6.4689784312230199</v>
      </c>
      <c r="F134" s="460">
        <f t="shared" si="29"/>
        <v>5.0646478158177981</v>
      </c>
      <c r="G134" s="98"/>
      <c r="O134" s="411" t="s">
        <v>408</v>
      </c>
      <c r="P134" s="88">
        <f t="shared" si="26"/>
        <v>2.3375297611466759</v>
      </c>
      <c r="Q134" s="88">
        <f t="shared" si="30"/>
        <v>2.7271180546711218</v>
      </c>
      <c r="R134" s="88">
        <f t="shared" si="30"/>
        <v>3.1167063481955686</v>
      </c>
      <c r="S134" s="88">
        <f t="shared" si="30"/>
        <v>3.5062946417200136</v>
      </c>
      <c r="T134" s="88">
        <f t="shared" si="30"/>
        <v>3.7</v>
      </c>
    </row>
    <row r="135" spans="1:33">
      <c r="A135" s="361" t="s">
        <v>338</v>
      </c>
      <c r="B135" s="14">
        <v>1.3</v>
      </c>
      <c r="C135" s="359">
        <v>1</v>
      </c>
      <c r="D135" s="100"/>
      <c r="E135" s="14">
        <v>1.3</v>
      </c>
    </row>
    <row r="136" spans="1:33">
      <c r="A136" s="3"/>
      <c r="D136" s="100"/>
    </row>
    <row r="140" spans="1:33" ht="18.75">
      <c r="A140" s="56" t="s">
        <v>86</v>
      </c>
    </row>
    <row r="141" spans="1:33" ht="18.75">
      <c r="A141" s="56"/>
    </row>
    <row r="142" spans="1:33">
      <c r="A142" s="21" t="s">
        <v>37</v>
      </c>
      <c r="B142" s="22" t="s">
        <v>22</v>
      </c>
      <c r="L142" s="3"/>
      <c r="M142" s="3"/>
      <c r="N142" s="3"/>
      <c r="O142" s="3"/>
      <c r="P142" s="165"/>
    </row>
    <row r="143" spans="1:33" ht="18">
      <c r="A143" s="119" t="s">
        <v>39</v>
      </c>
      <c r="B143" s="24">
        <f>VLOOKUP(B142,$V$5:$W$10,2,FALSE)</f>
        <v>350</v>
      </c>
      <c r="C143" t="s">
        <v>40</v>
      </c>
      <c r="L143" s="165"/>
      <c r="M143" s="3"/>
      <c r="N143" s="3"/>
      <c r="O143" s="165"/>
      <c r="P143" s="165"/>
    </row>
    <row r="144" spans="1:33">
      <c r="A144" s="132"/>
      <c r="B144" s="90"/>
      <c r="C144" s="90"/>
      <c r="D144" s="90"/>
      <c r="E144" s="90"/>
      <c r="F144" s="90"/>
      <c r="G144" s="90"/>
      <c r="H144" s="90"/>
      <c r="W144" s="247"/>
      <c r="X144" s="20"/>
      <c r="Y144" s="20"/>
      <c r="Z144" s="20"/>
      <c r="AA144" s="20"/>
      <c r="AB144" s="247"/>
      <c r="AC144" s="247"/>
      <c r="AD144" s="20"/>
      <c r="AE144" s="20"/>
      <c r="AF144" s="20"/>
      <c r="AG144" s="20"/>
    </row>
    <row r="145" spans="1:33" ht="18">
      <c r="A145" s="112" t="s">
        <v>2</v>
      </c>
      <c r="B145" s="113" t="s">
        <v>43</v>
      </c>
      <c r="C145" s="113" t="s">
        <v>9</v>
      </c>
      <c r="D145" s="113" t="s">
        <v>111</v>
      </c>
      <c r="E145" s="113" t="s">
        <v>112</v>
      </c>
      <c r="F145" s="113" t="s">
        <v>80</v>
      </c>
      <c r="G145" s="113" t="s">
        <v>113</v>
      </c>
      <c r="H145" s="113" t="s">
        <v>114</v>
      </c>
      <c r="W145" s="247"/>
      <c r="X145" s="20"/>
      <c r="Y145" s="20"/>
      <c r="Z145" s="20"/>
      <c r="AA145" s="20"/>
      <c r="AB145" s="247"/>
      <c r="AC145" s="247"/>
      <c r="AD145" s="20"/>
      <c r="AE145" s="20"/>
      <c r="AF145" s="20"/>
      <c r="AG145" s="20"/>
    </row>
    <row r="146" spans="1:33">
      <c r="A146" s="45"/>
      <c r="B146" s="47" t="s">
        <v>19</v>
      </c>
      <c r="C146" s="47" t="s">
        <v>18</v>
      </c>
      <c r="D146" s="47" t="s">
        <v>93</v>
      </c>
      <c r="E146" s="47" t="s">
        <v>92</v>
      </c>
      <c r="F146" s="47" t="s">
        <v>18</v>
      </c>
      <c r="G146" s="47" t="s">
        <v>17</v>
      </c>
      <c r="H146" s="47" t="s">
        <v>17</v>
      </c>
      <c r="W146" s="247"/>
      <c r="X146" s="20"/>
      <c r="Y146" s="20"/>
      <c r="Z146" s="20"/>
      <c r="AA146" s="20"/>
      <c r="AB146" s="247"/>
      <c r="AC146" s="247"/>
      <c r="AD146" s="20"/>
      <c r="AE146" s="20"/>
      <c r="AF146" s="20"/>
      <c r="AG146" s="20"/>
    </row>
    <row r="147" spans="1:33">
      <c r="A147" s="33" t="s">
        <v>339</v>
      </c>
      <c r="B147" s="35">
        <v>4</v>
      </c>
      <c r="C147" s="66">
        <v>6</v>
      </c>
      <c r="D147" s="66">
        <v>6300</v>
      </c>
      <c r="E147" s="65">
        <f>(0.033+0.049)*$B$143*C147^-0.3</f>
        <v>16.766272546647741</v>
      </c>
      <c r="F147" s="66">
        <v>44</v>
      </c>
      <c r="G147" s="65">
        <f>(0.52*SQRT(C147)*44^0.9*$B$143^0.8)/1000</f>
        <v>4.1633297814663335</v>
      </c>
      <c r="H147" s="65">
        <f>B147*MIN((2.3*SQRT(C147*D147*E147))/1000+G147/4,C147*E147*F147/1000,C147*E147*F147/1000*(SQRT(2+4*D147/(C147*E147*F147^2))-1)+G147/4)</f>
        <v>11.487391377026846</v>
      </c>
      <c r="I147" t="s">
        <v>97</v>
      </c>
      <c r="W147" s="247"/>
      <c r="X147" s="20"/>
      <c r="Y147" s="20"/>
      <c r="Z147" s="20"/>
      <c r="AA147" s="20"/>
      <c r="AB147" s="247"/>
      <c r="AC147" s="247"/>
      <c r="AD147" s="20"/>
      <c r="AE147" s="20"/>
      <c r="AF147" s="20"/>
      <c r="AG147" s="20"/>
    </row>
    <row r="148" spans="1:33" ht="15.75" thickBot="1">
      <c r="A148" s="39" t="s">
        <v>340</v>
      </c>
      <c r="B148" s="41">
        <v>4</v>
      </c>
      <c r="C148" s="372">
        <v>10</v>
      </c>
      <c r="D148" s="372">
        <v>23900</v>
      </c>
      <c r="E148" s="373">
        <f>(0.033+0.049)*$B$143*C148^-0.3</f>
        <v>14.384073605102715</v>
      </c>
      <c r="F148" s="372">
        <v>54</v>
      </c>
      <c r="G148" s="373">
        <f>(0.52*SQRT(C148)*50^0.9*$B$143^0.8)/1000</f>
        <v>6.0301870404833755</v>
      </c>
      <c r="H148" s="373">
        <f>B148*MIN((2.3*SQRT(C148*D148*E148))/1000+G148/4,C148*E148*F148/1000,C148*E148*F148/1000*(SQRT(2+4*D148/(C148*E148*F148^2))-1)+G148/4)</f>
        <v>21.335783495554814</v>
      </c>
      <c r="I148" t="s">
        <v>97</v>
      </c>
      <c r="W148" s="105"/>
      <c r="X148" s="105"/>
      <c r="Y148" s="105"/>
      <c r="Z148" s="105"/>
      <c r="AA148" s="105"/>
      <c r="AB148" s="247"/>
      <c r="AC148" s="105"/>
      <c r="AD148" s="105"/>
      <c r="AE148" s="105"/>
      <c r="AF148" s="105"/>
      <c r="AG148" s="105"/>
    </row>
    <row r="149" spans="1:33">
      <c r="A149" s="45" t="s">
        <v>341</v>
      </c>
      <c r="B149" s="47">
        <v>4</v>
      </c>
      <c r="C149" s="231">
        <v>6</v>
      </c>
      <c r="D149" s="231">
        <v>6300</v>
      </c>
      <c r="E149" s="374">
        <f>(0.033+0.049)*$B$143*C149^-0.3</f>
        <v>16.766272546647741</v>
      </c>
      <c r="F149" s="231">
        <v>44</v>
      </c>
      <c r="G149" s="374">
        <f>(0.52*SQRT(C149)*44^0.9*$B$143^0.8)/1000</f>
        <v>4.1633297814663335</v>
      </c>
      <c r="H149" s="374">
        <f>B149*MIN((2.3*SQRT(C149*D149*E149))/1000+G149/4,C149*E149*F149/1000,C149*E149*F149/1000*(SQRT(2+4*D149/(C149*E149*F149^2))-1)+G149/4)</f>
        <v>11.487391377026846</v>
      </c>
      <c r="I149" t="s">
        <v>97</v>
      </c>
      <c r="W149" s="247"/>
      <c r="X149" s="20"/>
      <c r="Y149" s="20"/>
      <c r="Z149" s="20"/>
      <c r="AA149" s="20"/>
      <c r="AB149" s="247"/>
      <c r="AC149" s="247"/>
      <c r="AD149" s="20"/>
      <c r="AE149" s="20"/>
      <c r="AF149" s="20"/>
      <c r="AG149" s="20"/>
    </row>
    <row r="150" spans="1:33">
      <c r="A150" s="33" t="s">
        <v>342</v>
      </c>
      <c r="B150" s="35">
        <v>4</v>
      </c>
      <c r="C150" s="66">
        <v>10</v>
      </c>
      <c r="D150" s="66">
        <v>23900</v>
      </c>
      <c r="E150" s="65">
        <f>(0.033+0.049)*$B$143*C150^-0.3</f>
        <v>14.384073605102715</v>
      </c>
      <c r="F150" s="66">
        <v>54</v>
      </c>
      <c r="G150" s="65">
        <f>(0.52*SQRT(C150)*50^0.9*$B$143^0.8)/1000</f>
        <v>6.0301870404833755</v>
      </c>
      <c r="H150" s="65">
        <f>B150*MIN((2.3*SQRT(C150*D150*E150))/1000+G150/4,C150*E150*F150/1000,C150*E150*F150/1000*(SQRT(2+4*D150/(C150*E150*F150^2))-1)+G150/4)</f>
        <v>21.335783495554814</v>
      </c>
      <c r="I150" t="s">
        <v>97</v>
      </c>
      <c r="W150" s="247"/>
      <c r="X150" s="20"/>
      <c r="Y150" s="20"/>
      <c r="Z150" s="20"/>
      <c r="AA150" s="20"/>
      <c r="AB150" s="247"/>
      <c r="AC150" s="247"/>
      <c r="AD150" s="20"/>
      <c r="AE150" s="20"/>
      <c r="AF150" s="20"/>
      <c r="AG150" s="20"/>
    </row>
    <row r="151" spans="1:33">
      <c r="A151" s="111"/>
      <c r="B151" s="375"/>
      <c r="C151" s="376"/>
      <c r="D151" s="376"/>
      <c r="E151" s="377"/>
      <c r="F151" s="376"/>
      <c r="G151" s="377"/>
      <c r="H151" s="377"/>
      <c r="W151" s="247"/>
      <c r="X151" s="20"/>
      <c r="Y151" s="20"/>
      <c r="Z151" s="20"/>
      <c r="AA151" s="20"/>
      <c r="AB151" s="247"/>
      <c r="AC151" s="247"/>
      <c r="AD151" s="20"/>
      <c r="AE151" s="20"/>
      <c r="AF151" s="20"/>
      <c r="AG151" s="20"/>
    </row>
    <row r="152" spans="1:33">
      <c r="A152" s="132"/>
      <c r="B152" s="121"/>
      <c r="C152" s="122"/>
      <c r="D152" s="122"/>
      <c r="E152" s="123"/>
      <c r="F152" s="122"/>
      <c r="G152" s="123"/>
      <c r="H152" s="123"/>
      <c r="K152" s="24"/>
      <c r="W152" s="247"/>
      <c r="X152" s="20"/>
      <c r="Y152" s="20"/>
      <c r="Z152" s="20"/>
      <c r="AA152" s="20"/>
      <c r="AB152" s="247"/>
      <c r="AC152" s="247"/>
      <c r="AD152" s="20"/>
      <c r="AE152" s="20"/>
      <c r="AF152" s="20"/>
      <c r="AG152" s="20"/>
    </row>
    <row r="153" spans="1:33">
      <c r="A153" s="23"/>
      <c r="F153" s="24"/>
      <c r="G153" s="24"/>
      <c r="H153" s="24"/>
      <c r="I153" s="24"/>
      <c r="J153" s="24"/>
      <c r="K153" s="24"/>
      <c r="W153" s="247"/>
      <c r="X153" s="20"/>
      <c r="Y153" s="20"/>
      <c r="Z153" s="20"/>
      <c r="AA153" s="20"/>
      <c r="AB153" s="247"/>
      <c r="AC153" s="247"/>
      <c r="AD153" s="20"/>
      <c r="AE153" s="20"/>
      <c r="AF153" s="20"/>
      <c r="AG153" s="20"/>
    </row>
    <row r="154" spans="1:33">
      <c r="A154" s="23"/>
      <c r="B154" t="s">
        <v>72</v>
      </c>
      <c r="G154" s="3"/>
      <c r="H154" s="24"/>
      <c r="I154" s="24"/>
      <c r="J154" s="24"/>
      <c r="K154" s="24"/>
      <c r="W154" s="247"/>
      <c r="X154" s="20"/>
      <c r="Y154" s="20"/>
      <c r="Z154" s="20"/>
      <c r="AA154" s="20"/>
      <c r="AB154" s="247"/>
      <c r="AC154" s="247"/>
      <c r="AD154" s="20"/>
      <c r="AE154" s="20"/>
      <c r="AF154" s="20"/>
      <c r="AG154" s="20"/>
    </row>
    <row r="155" spans="1:33" ht="18">
      <c r="A155" s="4" t="s">
        <v>2</v>
      </c>
      <c r="B155" s="79" t="s">
        <v>85</v>
      </c>
      <c r="D155" s="165"/>
      <c r="E155" s="3"/>
      <c r="F155" s="3"/>
      <c r="G155" s="277"/>
      <c r="H155" s="740"/>
      <c r="I155" s="24"/>
      <c r="J155" s="24"/>
      <c r="K155" s="24"/>
      <c r="O155" s="4" t="s">
        <v>2</v>
      </c>
      <c r="P155" s="682" t="s">
        <v>77</v>
      </c>
      <c r="Q155" s="683"/>
      <c r="R155" s="683"/>
      <c r="S155" s="683"/>
      <c r="T155" s="684"/>
      <c r="W155" s="105"/>
      <c r="X155" s="105"/>
      <c r="Y155" s="105"/>
      <c r="Z155" s="105"/>
      <c r="AA155" s="105"/>
      <c r="AB155" s="247"/>
      <c r="AC155" s="105"/>
      <c r="AD155" s="105"/>
      <c r="AE155" s="105"/>
      <c r="AF155" s="105"/>
      <c r="AG155" s="105"/>
    </row>
    <row r="156" spans="1:33">
      <c r="A156" s="8"/>
      <c r="B156" s="83" t="s">
        <v>17</v>
      </c>
      <c r="D156" s="165"/>
      <c r="E156" s="3"/>
      <c r="F156" s="3"/>
      <c r="G156" s="278"/>
      <c r="H156" s="740"/>
      <c r="I156" s="24"/>
      <c r="J156" s="24"/>
      <c r="K156" s="24"/>
      <c r="O156" s="8"/>
      <c r="P156" s="95">
        <v>0.6</v>
      </c>
      <c r="Q156" s="95">
        <v>0.7</v>
      </c>
      <c r="R156" s="95">
        <v>0.8</v>
      </c>
      <c r="S156" s="95">
        <v>0.9</v>
      </c>
      <c r="T156" s="95">
        <v>1</v>
      </c>
      <c r="W156" s="247"/>
      <c r="X156" s="20"/>
      <c r="Y156" s="20"/>
      <c r="Z156" s="20"/>
      <c r="AA156" s="20"/>
      <c r="AB156" s="247"/>
      <c r="AC156" s="247"/>
      <c r="AD156" s="20"/>
      <c r="AE156" s="20"/>
      <c r="AF156" s="20"/>
      <c r="AG156" s="20"/>
    </row>
    <row r="157" spans="1:33">
      <c r="A157" s="33" t="s">
        <v>339</v>
      </c>
      <c r="B157" s="18">
        <f>H147</f>
        <v>11.487391377026846</v>
      </c>
      <c r="C157" t="s">
        <v>97</v>
      </c>
      <c r="D157" s="378"/>
      <c r="E157" s="3"/>
      <c r="F157" s="3"/>
      <c r="G157" s="3"/>
      <c r="H157" s="3"/>
      <c r="O157" s="33" t="s">
        <v>339</v>
      </c>
      <c r="P157" s="88">
        <f>$B157*P$156/1.3</f>
        <v>5.3018729432431595</v>
      </c>
      <c r="Q157" s="88">
        <f t="shared" ref="Q157:T160" si="31">$B157*Q$156/1.3</f>
        <v>6.1855184337836864</v>
      </c>
      <c r="R157" s="88">
        <f t="shared" si="31"/>
        <v>7.0691639243242124</v>
      </c>
      <c r="S157" s="88">
        <f t="shared" si="31"/>
        <v>7.9528094148647401</v>
      </c>
      <c r="T157" s="88">
        <f t="shared" si="31"/>
        <v>8.8364549054052652</v>
      </c>
      <c r="W157" s="247"/>
      <c r="X157" s="20"/>
      <c r="Y157" s="20"/>
      <c r="Z157" s="20"/>
      <c r="AA157" s="20"/>
      <c r="AB157" s="247"/>
      <c r="AC157" s="247"/>
      <c r="AD157" s="20"/>
      <c r="AE157" s="20"/>
      <c r="AF157" s="20"/>
      <c r="AG157" s="20"/>
    </row>
    <row r="158" spans="1:33" ht="15.75" thickBot="1">
      <c r="A158" s="39" t="s">
        <v>340</v>
      </c>
      <c r="B158" s="379">
        <f>H148</f>
        <v>21.335783495554814</v>
      </c>
      <c r="C158" t="s">
        <v>97</v>
      </c>
      <c r="D158" s="378"/>
      <c r="E158" s="3"/>
      <c r="F158" s="3"/>
      <c r="G158" s="3"/>
      <c r="H158" s="380"/>
      <c r="O158" s="39" t="s">
        <v>340</v>
      </c>
      <c r="P158" s="381">
        <f>$B158*P$156/1.3</f>
        <v>9.8472846902560676</v>
      </c>
      <c r="Q158" s="381">
        <f t="shared" si="31"/>
        <v>11.488498805298745</v>
      </c>
      <c r="R158" s="381">
        <f t="shared" si="31"/>
        <v>13.129712920341424</v>
      </c>
      <c r="S158" s="381">
        <f t="shared" si="31"/>
        <v>14.770927035384101</v>
      </c>
      <c r="T158" s="381">
        <f t="shared" si="31"/>
        <v>16.41214115042678</v>
      </c>
      <c r="W158" s="247"/>
      <c r="X158" s="20"/>
      <c r="Y158" s="20"/>
      <c r="Z158" s="20"/>
      <c r="AA158" s="20"/>
      <c r="AB158" s="247"/>
      <c r="AC158" s="247"/>
      <c r="AD158" s="20"/>
      <c r="AE158" s="20"/>
      <c r="AF158" s="20"/>
      <c r="AG158" s="20"/>
    </row>
    <row r="159" spans="1:33">
      <c r="A159" s="45" t="s">
        <v>341</v>
      </c>
      <c r="B159" s="382">
        <f>H149</f>
        <v>11.487391377026846</v>
      </c>
      <c r="C159" t="s">
        <v>97</v>
      </c>
      <c r="D159" s="378"/>
      <c r="E159" s="3"/>
      <c r="F159" s="3"/>
      <c r="G159" s="115"/>
      <c r="H159" s="3"/>
      <c r="O159" s="45" t="s">
        <v>341</v>
      </c>
      <c r="P159" s="371">
        <f>$B159*P$156/1.3</f>
        <v>5.3018729432431595</v>
      </c>
      <c r="Q159" s="371">
        <f t="shared" si="31"/>
        <v>6.1855184337836864</v>
      </c>
      <c r="R159" s="371">
        <f t="shared" si="31"/>
        <v>7.0691639243242124</v>
      </c>
      <c r="S159" s="371">
        <f t="shared" si="31"/>
        <v>7.9528094148647401</v>
      </c>
      <c r="T159" s="371">
        <f t="shared" si="31"/>
        <v>8.8364549054052652</v>
      </c>
      <c r="W159" s="247"/>
      <c r="X159" s="20"/>
      <c r="Y159" s="20"/>
      <c r="Z159" s="20"/>
      <c r="AA159" s="20"/>
      <c r="AB159" s="247"/>
      <c r="AC159" s="247"/>
      <c r="AD159" s="20"/>
      <c r="AE159" s="20"/>
      <c r="AF159" s="20"/>
      <c r="AG159" s="20"/>
    </row>
    <row r="160" spans="1:33">
      <c r="A160" s="33" t="s">
        <v>342</v>
      </c>
      <c r="B160" s="18">
        <f>H150</f>
        <v>21.335783495554814</v>
      </c>
      <c r="C160" t="s">
        <v>97</v>
      </c>
      <c r="D160" s="378"/>
      <c r="E160" s="3"/>
      <c r="F160" s="3"/>
      <c r="G160" s="115"/>
      <c r="H160" s="3"/>
      <c r="O160" s="33" t="s">
        <v>342</v>
      </c>
      <c r="P160" s="88">
        <f>$B160*P$156/1.3</f>
        <v>9.8472846902560676</v>
      </c>
      <c r="Q160" s="88">
        <f t="shared" si="31"/>
        <v>11.488498805298745</v>
      </c>
      <c r="R160" s="88">
        <f t="shared" si="31"/>
        <v>13.129712920341424</v>
      </c>
      <c r="S160" s="88">
        <f t="shared" si="31"/>
        <v>14.770927035384101</v>
      </c>
      <c r="T160" s="88">
        <f t="shared" si="31"/>
        <v>16.41214115042678</v>
      </c>
      <c r="W160" s="247"/>
      <c r="X160" s="20"/>
      <c r="Y160" s="20"/>
      <c r="Z160" s="20"/>
      <c r="AA160" s="20"/>
      <c r="AB160" s="247"/>
      <c r="AC160" s="247"/>
      <c r="AD160" s="20"/>
      <c r="AE160" s="20"/>
      <c r="AF160" s="20"/>
      <c r="AG160" s="20"/>
    </row>
    <row r="161" spans="1:19">
      <c r="A161" s="3"/>
      <c r="B161" s="165"/>
      <c r="C161" s="118"/>
      <c r="D161" s="100"/>
      <c r="E161" s="100"/>
      <c r="F161" s="165"/>
      <c r="G161" s="118"/>
      <c r="H161" s="100"/>
      <c r="I161" s="100"/>
      <c r="J161" s="100"/>
      <c r="K161" s="3"/>
      <c r="L161" s="3"/>
    </row>
    <row r="162" spans="1:19">
      <c r="A162" s="3"/>
      <c r="B162" s="165"/>
      <c r="C162" s="118"/>
      <c r="D162" s="100"/>
      <c r="E162" s="100"/>
      <c r="F162" s="165"/>
      <c r="G162" s="118"/>
      <c r="H162" s="100"/>
      <c r="I162" s="100"/>
      <c r="J162" s="100"/>
      <c r="K162" s="3"/>
      <c r="L162" s="3"/>
    </row>
    <row r="163" spans="1:19">
      <c r="A163" s="119"/>
      <c r="B163" s="120"/>
      <c r="C163" s="3"/>
      <c r="D163" s="3"/>
      <c r="E163" s="3"/>
      <c r="F163" s="3"/>
      <c r="G163" s="3"/>
      <c r="H163" s="3"/>
      <c r="I163" s="3"/>
      <c r="J163" s="3"/>
      <c r="K163" s="3"/>
      <c r="L163" s="3"/>
    </row>
    <row r="166" spans="1:19" ht="26.25">
      <c r="A166" s="1" t="s">
        <v>127</v>
      </c>
      <c r="P166"/>
      <c r="Q166"/>
      <c r="R166"/>
      <c r="S166"/>
    </row>
    <row r="167" spans="1:19">
      <c r="A167" s="23"/>
      <c r="B167" s="77"/>
    </row>
    <row r="168" spans="1:19" ht="18.75">
      <c r="A168" s="56" t="s">
        <v>79</v>
      </c>
      <c r="B168" s="77"/>
    </row>
    <row r="169" spans="1:19" ht="17.25" customHeight="1"/>
    <row r="170" spans="1:19" ht="18">
      <c r="A170" s="760" t="s">
        <v>2</v>
      </c>
      <c r="B170" s="113" t="s">
        <v>344</v>
      </c>
      <c r="C170" s="113" t="s">
        <v>345</v>
      </c>
      <c r="D170" s="113" t="s">
        <v>344</v>
      </c>
      <c r="E170" s="113" t="s">
        <v>345</v>
      </c>
    </row>
    <row r="171" spans="1:19">
      <c r="A171" s="761"/>
      <c r="B171" s="47" t="s">
        <v>17</v>
      </c>
      <c r="C171" s="47" t="s">
        <v>17</v>
      </c>
      <c r="D171" s="47" t="s">
        <v>17</v>
      </c>
      <c r="E171" s="47" t="s">
        <v>17</v>
      </c>
    </row>
    <row r="172" spans="1:19">
      <c r="A172" s="762"/>
      <c r="B172" s="763" t="s">
        <v>346</v>
      </c>
      <c r="C172" s="764"/>
      <c r="D172" s="763" t="s">
        <v>347</v>
      </c>
      <c r="E172" s="764"/>
    </row>
    <row r="173" spans="1:19">
      <c r="A173" s="33" t="s">
        <v>348</v>
      </c>
      <c r="B173" s="155">
        <v>2.7</v>
      </c>
      <c r="C173" s="383">
        <f>B173/$B$187</f>
        <v>2.16</v>
      </c>
      <c r="D173" s="155">
        <f>B173*2</f>
        <v>5.4</v>
      </c>
      <c r="E173" s="383">
        <f>D173/$B$187</f>
        <v>4.32</v>
      </c>
    </row>
    <row r="174" spans="1:19">
      <c r="A174" s="33" t="s">
        <v>349</v>
      </c>
      <c r="B174" s="155">
        <v>1.9</v>
      </c>
      <c r="C174" s="383">
        <f>B174/$B$187</f>
        <v>1.52</v>
      </c>
      <c r="D174" s="155">
        <f>B174*2</f>
        <v>3.8</v>
      </c>
      <c r="E174" s="383">
        <f>D174/$B$187</f>
        <v>3.04</v>
      </c>
      <c r="G174" s="2"/>
    </row>
    <row r="175" spans="1:19">
      <c r="A175" s="33" t="s">
        <v>350</v>
      </c>
      <c r="B175" s="155">
        <v>1</v>
      </c>
      <c r="C175" s="383">
        <f>B175/$B$187</f>
        <v>0.8</v>
      </c>
      <c r="D175" s="155">
        <f>B175*2</f>
        <v>2</v>
      </c>
      <c r="E175" s="383">
        <f>D175/$B$187</f>
        <v>1.6</v>
      </c>
    </row>
    <row r="176" spans="1:19">
      <c r="A176" s="33" t="s">
        <v>351</v>
      </c>
      <c r="B176" s="155">
        <v>1</v>
      </c>
      <c r="C176" s="383">
        <f>B176/$B$187</f>
        <v>0.8</v>
      </c>
      <c r="D176" s="155">
        <f>B176*2</f>
        <v>2</v>
      </c>
      <c r="E176" s="383">
        <f>D176/$B$187</f>
        <v>1.6</v>
      </c>
    </row>
    <row r="177" spans="1:33" ht="18">
      <c r="A177" s="21" t="s">
        <v>352</v>
      </c>
      <c r="B177" s="90">
        <v>1.25</v>
      </c>
      <c r="C177" s="90"/>
    </row>
    <row r="178" spans="1:33">
      <c r="A178" s="23"/>
      <c r="B178" s="102"/>
      <c r="C178" s="102"/>
    </row>
    <row r="179" spans="1:33" ht="15.75" thickBot="1">
      <c r="P179" s="116"/>
      <c r="Q179" s="116"/>
      <c r="R179" s="116"/>
      <c r="S179" s="116"/>
    </row>
    <row r="180" spans="1:33">
      <c r="W180" s="733" t="s">
        <v>94</v>
      </c>
      <c r="X180" s="734"/>
      <c r="Y180" s="734"/>
      <c r="Z180" s="734"/>
      <c r="AA180" s="734"/>
      <c r="AB180" s="25"/>
      <c r="AC180" s="130" t="s">
        <v>95</v>
      </c>
      <c r="AD180" s="130"/>
      <c r="AE180" s="130"/>
      <c r="AF180" s="130"/>
      <c r="AG180" s="131"/>
    </row>
    <row r="181" spans="1:33" ht="18.75">
      <c r="A181" s="56" t="s">
        <v>86</v>
      </c>
      <c r="W181" s="26"/>
      <c r="X181" s="54">
        <v>0.6</v>
      </c>
      <c r="Y181" s="54">
        <v>0.7</v>
      </c>
      <c r="Z181" s="54">
        <v>0.8</v>
      </c>
      <c r="AA181" s="54">
        <v>0.9</v>
      </c>
      <c r="AB181" s="28"/>
      <c r="AC181" s="28"/>
      <c r="AD181" s="54">
        <v>0.6</v>
      </c>
      <c r="AE181" s="54">
        <v>0.7</v>
      </c>
      <c r="AF181" s="54">
        <v>0.8</v>
      </c>
      <c r="AG181" s="55">
        <v>0.9</v>
      </c>
    </row>
    <row r="182" spans="1:33">
      <c r="L182" s="3"/>
      <c r="W182" s="26">
        <v>350</v>
      </c>
      <c r="X182" s="30">
        <v>2.7416359384615387</v>
      </c>
      <c r="Y182" s="30">
        <v>3.1985752615384619</v>
      </c>
      <c r="Z182" s="30">
        <v>3.6555145846153856</v>
      </c>
      <c r="AA182" s="30">
        <v>4</v>
      </c>
      <c r="AB182" s="28"/>
      <c r="AC182" s="28">
        <v>350</v>
      </c>
      <c r="AD182" s="30">
        <v>3.2757208615384621</v>
      </c>
      <c r="AE182" s="30">
        <v>3.8216743384615386</v>
      </c>
      <c r="AF182" s="30">
        <v>4</v>
      </c>
      <c r="AG182" s="31">
        <v>4</v>
      </c>
    </row>
    <row r="183" spans="1:33" ht="18">
      <c r="A183" s="112" t="s">
        <v>2</v>
      </c>
      <c r="B183" s="113" t="s">
        <v>344</v>
      </c>
      <c r="C183" s="113" t="s">
        <v>345</v>
      </c>
      <c r="D183" s="384"/>
      <c r="E183" s="121"/>
      <c r="F183" s="3"/>
      <c r="G183" s="90"/>
      <c r="H183" s="90"/>
      <c r="I183" s="105"/>
      <c r="L183" s="165"/>
      <c r="W183" s="26">
        <v>380</v>
      </c>
      <c r="X183" s="30">
        <v>2.9766333046153846</v>
      </c>
      <c r="Y183" s="30">
        <v>3.4727388553846152</v>
      </c>
      <c r="Z183" s="30">
        <v>3.9688444061538473</v>
      </c>
      <c r="AA183" s="30">
        <v>4</v>
      </c>
      <c r="AB183" s="28"/>
      <c r="AC183" s="28">
        <v>380</v>
      </c>
      <c r="AD183" s="30">
        <v>3.5564969353846152</v>
      </c>
      <c r="AE183" s="30">
        <v>4</v>
      </c>
      <c r="AF183" s="30">
        <v>4</v>
      </c>
      <c r="AG183" s="31">
        <v>4</v>
      </c>
    </row>
    <row r="184" spans="1:33">
      <c r="A184" s="45"/>
      <c r="B184" s="47" t="s">
        <v>17</v>
      </c>
      <c r="C184" s="47" t="s">
        <v>17</v>
      </c>
      <c r="D184" s="384"/>
      <c r="E184" s="121"/>
      <c r="F184" s="3"/>
      <c r="G184" s="90"/>
      <c r="H184" s="90"/>
      <c r="I184" s="105"/>
      <c r="L184" s="165"/>
      <c r="W184" s="26">
        <v>410</v>
      </c>
      <c r="X184" s="30">
        <v>3.2116306707692313</v>
      </c>
      <c r="Y184" s="30">
        <v>3.7469024492307694</v>
      </c>
      <c r="Z184" s="30">
        <v>4</v>
      </c>
      <c r="AA184" s="30">
        <v>4</v>
      </c>
      <c r="AB184" s="28"/>
      <c r="AC184" s="28">
        <v>410</v>
      </c>
      <c r="AD184" s="30">
        <v>3.8372730092307696</v>
      </c>
      <c r="AE184" s="30">
        <v>4</v>
      </c>
      <c r="AF184" s="30">
        <v>4</v>
      </c>
      <c r="AG184" s="31">
        <v>4</v>
      </c>
    </row>
    <row r="185" spans="1:33">
      <c r="A185" s="33" t="s">
        <v>353</v>
      </c>
      <c r="B185" s="35">
        <v>1.6</v>
      </c>
      <c r="C185" s="385">
        <f>B185/$B$187</f>
        <v>1.28</v>
      </c>
      <c r="D185" s="386"/>
      <c r="E185" s="123"/>
      <c r="F185" s="123"/>
      <c r="G185" s="90"/>
      <c r="H185" s="90"/>
      <c r="I185" s="109"/>
      <c r="L185" s="165"/>
      <c r="W185" s="26">
        <v>430</v>
      </c>
      <c r="X185" s="30">
        <v>3.3682955815384616</v>
      </c>
      <c r="Y185" s="30">
        <v>3.9296781784615389</v>
      </c>
      <c r="Z185" s="30">
        <v>4</v>
      </c>
      <c r="AA185" s="30">
        <v>4</v>
      </c>
      <c r="AB185" s="28"/>
      <c r="AC185" s="28">
        <v>430</v>
      </c>
      <c r="AD185" s="30">
        <v>4</v>
      </c>
      <c r="AE185" s="30">
        <v>4</v>
      </c>
      <c r="AF185" s="30">
        <v>4</v>
      </c>
      <c r="AG185" s="31">
        <v>4</v>
      </c>
    </row>
    <row r="186" spans="1:33">
      <c r="A186" s="33" t="s">
        <v>354</v>
      </c>
      <c r="B186" s="35">
        <v>1.6</v>
      </c>
      <c r="C186" s="385">
        <f>B186/$B$187</f>
        <v>1.28</v>
      </c>
      <c r="D186" s="386"/>
      <c r="E186" s="123"/>
      <c r="F186" s="123"/>
      <c r="G186" s="90"/>
      <c r="H186" s="90"/>
      <c r="I186" s="109"/>
      <c r="L186" s="165"/>
      <c r="W186" s="26">
        <v>450</v>
      </c>
      <c r="X186" s="30">
        <v>3.5249604923076929</v>
      </c>
      <c r="Y186" s="30">
        <v>4</v>
      </c>
      <c r="Z186" s="30">
        <v>4</v>
      </c>
      <c r="AA186" s="30">
        <v>4</v>
      </c>
      <c r="AB186" s="28"/>
      <c r="AC186" s="28">
        <v>450</v>
      </c>
      <c r="AD186" s="30">
        <v>4</v>
      </c>
      <c r="AE186" s="30">
        <v>4</v>
      </c>
      <c r="AF186" s="30">
        <v>4</v>
      </c>
      <c r="AG186" s="31">
        <v>4</v>
      </c>
    </row>
    <row r="187" spans="1:33" ht="18">
      <c r="A187" s="21" t="s">
        <v>352</v>
      </c>
      <c r="B187" s="90">
        <v>1.25</v>
      </c>
      <c r="C187" s="90"/>
      <c r="D187" s="90"/>
      <c r="E187" s="90"/>
      <c r="F187" s="90"/>
      <c r="G187" s="90"/>
      <c r="H187" s="90"/>
      <c r="L187" s="3"/>
      <c r="W187" s="26">
        <v>400</v>
      </c>
      <c r="X187" s="30">
        <v>3.1332982153846158</v>
      </c>
      <c r="Y187" s="30">
        <v>3.6555145846153847</v>
      </c>
      <c r="Z187" s="30">
        <v>4</v>
      </c>
      <c r="AA187" s="30">
        <v>4</v>
      </c>
      <c r="AB187" s="28"/>
      <c r="AC187" s="28">
        <v>400</v>
      </c>
      <c r="AD187" s="30">
        <v>3.7436809846153851</v>
      </c>
      <c r="AE187" s="30">
        <v>4</v>
      </c>
      <c r="AF187" s="30">
        <v>4</v>
      </c>
      <c r="AG187" s="31">
        <v>4</v>
      </c>
    </row>
    <row r="188" spans="1:33">
      <c r="C188" s="90"/>
      <c r="D188" s="90"/>
      <c r="E188" s="90"/>
      <c r="F188" s="90"/>
      <c r="G188" s="90"/>
      <c r="H188" s="90"/>
      <c r="L188" s="3"/>
      <c r="W188" s="26"/>
      <c r="X188" s="30"/>
      <c r="Y188" s="30"/>
      <c r="Z188" s="30"/>
      <c r="AA188" s="30"/>
      <c r="AB188" s="28"/>
      <c r="AC188" s="28"/>
      <c r="AD188" s="30"/>
      <c r="AE188" s="30"/>
      <c r="AF188" s="30"/>
      <c r="AG188" s="31"/>
    </row>
    <row r="189" spans="1:33">
      <c r="A189" s="21" t="s">
        <v>37</v>
      </c>
      <c r="B189" s="387" t="s">
        <v>22</v>
      </c>
      <c r="C189" s="3"/>
      <c r="D189" s="121"/>
      <c r="E189" s="121"/>
      <c r="F189" s="121"/>
      <c r="G189" s="121"/>
      <c r="H189" s="121"/>
      <c r="W189" s="709" t="s">
        <v>107</v>
      </c>
      <c r="X189" s="710"/>
      <c r="Y189" s="710"/>
      <c r="Z189" s="710"/>
      <c r="AA189" s="710"/>
      <c r="AB189" s="28"/>
      <c r="AC189" s="710" t="s">
        <v>108</v>
      </c>
      <c r="AD189" s="710"/>
      <c r="AE189" s="710"/>
      <c r="AF189" s="710"/>
      <c r="AG189" s="711"/>
    </row>
    <row r="190" spans="1:33" ht="18">
      <c r="A190" s="119" t="s">
        <v>39</v>
      </c>
      <c r="B190" s="247">
        <f>VLOOKUP(B189,$V$5:$W$10,2,FALSE)</f>
        <v>350</v>
      </c>
      <c r="C190" s="3" t="s">
        <v>40</v>
      </c>
      <c r="D190" s="121"/>
      <c r="E190" s="121"/>
      <c r="F190" s="121"/>
      <c r="G190" s="121"/>
      <c r="H190" s="121"/>
      <c r="W190" s="26">
        <v>350</v>
      </c>
      <c r="X190" s="30">
        <v>2.466435080370649</v>
      </c>
      <c r="Y190" s="30">
        <v>2.877507593765757</v>
      </c>
      <c r="Z190" s="30">
        <v>3.288580107160866</v>
      </c>
      <c r="AA190" s="30">
        <v>3.6996526205559737</v>
      </c>
      <c r="AB190" s="28"/>
      <c r="AC190" s="28">
        <v>350</v>
      </c>
      <c r="AD190" s="30">
        <v>3.2757208615384621</v>
      </c>
      <c r="AE190" s="30">
        <v>3.8216743384615386</v>
      </c>
      <c r="AF190" s="30">
        <v>4</v>
      </c>
      <c r="AG190" s="31">
        <v>4</v>
      </c>
    </row>
    <row r="191" spans="1:33">
      <c r="W191" s="26">
        <v>410</v>
      </c>
      <c r="X191" s="30">
        <v>2.0991050135746607</v>
      </c>
      <c r="Y191" s="30">
        <v>2.4489558491704377</v>
      </c>
      <c r="Z191" s="30">
        <v>2.7988066847662147</v>
      </c>
      <c r="AA191" s="30">
        <v>3.1486575203619913</v>
      </c>
      <c r="AB191" s="28"/>
      <c r="AC191" s="28">
        <v>410</v>
      </c>
      <c r="AD191" s="30">
        <v>2.4133792510885339</v>
      </c>
      <c r="AE191" s="30">
        <v>2.8156091262699561</v>
      </c>
      <c r="AF191" s="30">
        <v>3.2178390014513791</v>
      </c>
      <c r="AG191" s="31">
        <v>3.6200688766328009</v>
      </c>
    </row>
    <row r="192" spans="1:33" ht="26.25">
      <c r="A192" s="1" t="s">
        <v>153</v>
      </c>
      <c r="W192" s="26">
        <v>430</v>
      </c>
      <c r="X192" s="30">
        <v>2.2015003800904984</v>
      </c>
      <c r="Y192" s="30">
        <v>2.5684171101055813</v>
      </c>
      <c r="Z192" s="30">
        <v>2.9353338401206646</v>
      </c>
      <c r="AA192" s="30">
        <v>3.3022505701357474</v>
      </c>
      <c r="AB192" s="28"/>
      <c r="AC192" s="28">
        <v>430</v>
      </c>
      <c r="AD192" s="30">
        <v>2.5311050682148037</v>
      </c>
      <c r="AE192" s="30">
        <v>2.9529559129172713</v>
      </c>
      <c r="AF192" s="30">
        <v>3.3748067576197389</v>
      </c>
      <c r="AG192" s="31">
        <v>3.7966576023222061</v>
      </c>
    </row>
    <row r="193" spans="1:33" ht="23.25">
      <c r="A193" s="1"/>
      <c r="W193" s="26">
        <v>450</v>
      </c>
      <c r="X193" s="30">
        <v>2.3038957466063352</v>
      </c>
      <c r="Y193" s="30">
        <v>2.6878783710407244</v>
      </c>
      <c r="Z193" s="30">
        <v>3.0718609954751135</v>
      </c>
      <c r="AA193" s="30">
        <v>3.4558436199095031</v>
      </c>
      <c r="AB193" s="28"/>
      <c r="AC193" s="28">
        <v>450</v>
      </c>
      <c r="AD193" s="30">
        <v>2.648830885341074</v>
      </c>
      <c r="AE193" s="30">
        <v>3.0903026995645861</v>
      </c>
      <c r="AF193" s="30">
        <v>3.5317745137880991</v>
      </c>
      <c r="AG193" s="31">
        <v>3.9732463280116108</v>
      </c>
    </row>
    <row r="194" spans="1:33">
      <c r="A194" s="23"/>
      <c r="B194" s="77"/>
    </row>
    <row r="195" spans="1:33" ht="18.75">
      <c r="A195" s="56" t="s">
        <v>79</v>
      </c>
      <c r="B195" s="77"/>
    </row>
    <row r="197" spans="1:33">
      <c r="A197" s="21" t="s">
        <v>37</v>
      </c>
      <c r="B197" s="22" t="s">
        <v>25</v>
      </c>
    </row>
    <row r="198" spans="1:33" ht="18">
      <c r="A198" s="23" t="s">
        <v>39</v>
      </c>
      <c r="B198" s="24">
        <f>VLOOKUP(B197,$V$5:$W$10,2,FALSE)</f>
        <v>385</v>
      </c>
      <c r="C198" t="s">
        <v>40</v>
      </c>
    </row>
    <row r="199" spans="1:33" ht="18">
      <c r="A199" s="23" t="s">
        <v>62</v>
      </c>
      <c r="B199" s="369">
        <v>15000</v>
      </c>
      <c r="C199" s="369">
        <v>4400</v>
      </c>
      <c r="D199" t="s">
        <v>63</v>
      </c>
    </row>
    <row r="200" spans="1:33">
      <c r="A200" s="23" t="s">
        <v>64</v>
      </c>
      <c r="B200" s="90">
        <v>8</v>
      </c>
      <c r="C200" s="90">
        <v>5</v>
      </c>
      <c r="D200" t="s">
        <v>65</v>
      </c>
    </row>
    <row r="201" spans="1:33" ht="18">
      <c r="A201" s="23" t="s">
        <v>66</v>
      </c>
      <c r="B201" s="101">
        <f>0.033*$B$198*B200^-0.3</f>
        <v>6.808440920761802</v>
      </c>
      <c r="C201" s="101">
        <f>0.033*$B$198*C200^-0.3</f>
        <v>7.8394152258577217</v>
      </c>
      <c r="D201" t="s">
        <v>67</v>
      </c>
    </row>
    <row r="202" spans="1:33" ht="18">
      <c r="A202" s="23" t="s">
        <v>68</v>
      </c>
      <c r="B202" s="102">
        <f>0.082*B200^-0.3*$B$198</f>
        <v>16.917944106135387</v>
      </c>
      <c r="C202" s="102">
        <f>0.082*C200^-0.3*$B$198</f>
        <v>19.479759046070704</v>
      </c>
      <c r="D202" t="s">
        <v>67</v>
      </c>
    </row>
    <row r="203" spans="1:33" ht="33">
      <c r="A203" s="149" t="s">
        <v>167</v>
      </c>
      <c r="B203" s="102">
        <v>4</v>
      </c>
      <c r="C203" s="90" t="s">
        <v>168</v>
      </c>
      <c r="R203"/>
      <c r="S203"/>
    </row>
    <row r="204" spans="1:33">
      <c r="A204" s="23"/>
      <c r="B204" s="77"/>
      <c r="R204"/>
      <c r="S204"/>
    </row>
    <row r="205" spans="1:33" ht="18">
      <c r="A205" s="4" t="s">
        <v>2</v>
      </c>
      <c r="B205" s="5" t="s">
        <v>43</v>
      </c>
      <c r="C205" s="5" t="s">
        <v>9</v>
      </c>
      <c r="D205" s="5" t="s">
        <v>44</v>
      </c>
      <c r="E205" s="5" t="s">
        <v>59</v>
      </c>
      <c r="F205" s="5" t="s">
        <v>60</v>
      </c>
      <c r="G205" s="5" t="s">
        <v>43</v>
      </c>
      <c r="H205" s="5" t="s">
        <v>9</v>
      </c>
      <c r="I205" s="5" t="s">
        <v>44</v>
      </c>
      <c r="J205" s="5" t="s">
        <v>59</v>
      </c>
      <c r="K205" s="5" t="s">
        <v>60</v>
      </c>
      <c r="L205" s="5" t="s">
        <v>169</v>
      </c>
      <c r="R205"/>
      <c r="S205"/>
    </row>
    <row r="206" spans="1:33">
      <c r="A206" s="8"/>
      <c r="B206" s="9" t="s">
        <v>19</v>
      </c>
      <c r="C206" s="9" t="s">
        <v>18</v>
      </c>
      <c r="D206" s="9" t="s">
        <v>18</v>
      </c>
      <c r="E206" s="9" t="s">
        <v>17</v>
      </c>
      <c r="F206" s="9" t="s">
        <v>17</v>
      </c>
      <c r="G206" s="9" t="s">
        <v>19</v>
      </c>
      <c r="H206" s="9" t="s">
        <v>18</v>
      </c>
      <c r="I206" s="9" t="s">
        <v>18</v>
      </c>
      <c r="J206" s="9" t="s">
        <v>17</v>
      </c>
      <c r="K206" s="9" t="s">
        <v>17</v>
      </c>
      <c r="L206" s="62" t="s">
        <v>17</v>
      </c>
      <c r="R206"/>
      <c r="S206"/>
    </row>
    <row r="207" spans="1:33" ht="45">
      <c r="A207" s="396" t="s">
        <v>385</v>
      </c>
      <c r="B207" s="63">
        <v>1</v>
      </c>
      <c r="C207" s="63">
        <v>8</v>
      </c>
      <c r="D207" s="303">
        <v>65</v>
      </c>
      <c r="E207" s="85">
        <f>($E$231*0.52*SQRT($C207)*D207^0.9*$B$198^0.8)/1000</f>
        <v>2.2113638026311735</v>
      </c>
      <c r="F207" s="85">
        <f t="shared" ref="F207:F228" si="32">MIN(2.3*SQRT($B$199*$B$201*$B$200)/1000+(E207/4),$B$200*$B$201*D207/1000,$B$200*$B$201*D207/1000*(SQRT(2+4*$B$199/($B$200*$B$201*D207^2))-1)+E207/4)</f>
        <v>2.3356804038245178</v>
      </c>
      <c r="G207" s="63">
        <v>2</v>
      </c>
      <c r="H207" s="63">
        <v>5</v>
      </c>
      <c r="I207" s="303">
        <v>70</v>
      </c>
      <c r="J207" s="712" t="s">
        <v>170</v>
      </c>
      <c r="K207" s="713"/>
      <c r="L207" s="714"/>
      <c r="R207"/>
      <c r="S207"/>
    </row>
    <row r="208" spans="1:33" ht="45">
      <c r="A208" s="396" t="s">
        <v>386</v>
      </c>
      <c r="B208" s="63">
        <v>2</v>
      </c>
      <c r="C208" s="63">
        <v>8</v>
      </c>
      <c r="D208" s="303">
        <v>65</v>
      </c>
      <c r="E208" s="85">
        <f t="shared" ref="E208:E229" si="33">($E$231*0.52*SQRT($C208)*D208^0.9*$B$198^0.8)/1000</f>
        <v>2.2113638026311735</v>
      </c>
      <c r="F208" s="85">
        <f t="shared" si="32"/>
        <v>2.3356804038245178</v>
      </c>
      <c r="G208" s="63">
        <v>2</v>
      </c>
      <c r="H208" s="63">
        <v>5</v>
      </c>
      <c r="I208" s="303">
        <v>70</v>
      </c>
      <c r="J208" s="715"/>
      <c r="K208" s="716"/>
      <c r="L208" s="717"/>
      <c r="R208"/>
      <c r="S208"/>
    </row>
    <row r="209" spans="1:19" ht="45">
      <c r="A209" s="396" t="s">
        <v>387</v>
      </c>
      <c r="B209" s="63">
        <v>2</v>
      </c>
      <c r="C209" s="63">
        <v>8</v>
      </c>
      <c r="D209" s="303">
        <v>65</v>
      </c>
      <c r="E209" s="85">
        <f t="shared" si="33"/>
        <v>2.2113638026311735</v>
      </c>
      <c r="F209" s="85">
        <f t="shared" si="32"/>
        <v>2.3356804038245178</v>
      </c>
      <c r="G209" s="63">
        <v>4</v>
      </c>
      <c r="H209" s="63">
        <v>5</v>
      </c>
      <c r="I209" s="303">
        <v>70</v>
      </c>
      <c r="J209" s="715"/>
      <c r="K209" s="716"/>
      <c r="L209" s="717"/>
      <c r="R209"/>
      <c r="S209"/>
    </row>
    <row r="210" spans="1:19" ht="45">
      <c r="A210" s="396" t="s">
        <v>388</v>
      </c>
      <c r="B210" s="63">
        <v>2</v>
      </c>
      <c r="C210" s="63">
        <v>8</v>
      </c>
      <c r="D210" s="303">
        <v>65</v>
      </c>
      <c r="E210" s="85">
        <f t="shared" si="33"/>
        <v>2.2113638026311735</v>
      </c>
      <c r="F210" s="85">
        <f t="shared" si="32"/>
        <v>2.3356804038245178</v>
      </c>
      <c r="G210" s="63">
        <v>6</v>
      </c>
      <c r="H210" s="63">
        <v>5</v>
      </c>
      <c r="I210" s="303">
        <v>70</v>
      </c>
      <c r="J210" s="715"/>
      <c r="K210" s="716"/>
      <c r="L210" s="717"/>
      <c r="R210"/>
      <c r="S210"/>
    </row>
    <row r="211" spans="1:19" ht="45">
      <c r="A211" s="396" t="s">
        <v>389</v>
      </c>
      <c r="B211" s="63">
        <v>2</v>
      </c>
      <c r="C211" s="63">
        <v>8</v>
      </c>
      <c r="D211" s="303">
        <v>65</v>
      </c>
      <c r="E211" s="85">
        <f t="shared" si="33"/>
        <v>2.2113638026311735</v>
      </c>
      <c r="F211" s="85">
        <f t="shared" si="32"/>
        <v>2.3356804038245178</v>
      </c>
      <c r="G211" s="63">
        <v>8</v>
      </c>
      <c r="H211" s="63">
        <v>5</v>
      </c>
      <c r="I211" s="303">
        <v>70</v>
      </c>
      <c r="J211" s="715"/>
      <c r="K211" s="716"/>
      <c r="L211" s="717"/>
      <c r="R211"/>
      <c r="S211"/>
    </row>
    <row r="212" spans="1:19" ht="45">
      <c r="A212" s="396" t="s">
        <v>390</v>
      </c>
      <c r="B212" s="63">
        <v>2</v>
      </c>
      <c r="C212" s="63">
        <v>8</v>
      </c>
      <c r="D212" s="303">
        <v>65</v>
      </c>
      <c r="E212" s="85">
        <f t="shared" si="33"/>
        <v>2.2113638026311735</v>
      </c>
      <c r="F212" s="85">
        <f t="shared" si="32"/>
        <v>2.3356804038245178</v>
      </c>
      <c r="G212" s="63">
        <v>10</v>
      </c>
      <c r="H212" s="63">
        <v>5</v>
      </c>
      <c r="I212" s="303">
        <v>70</v>
      </c>
      <c r="J212" s="715"/>
      <c r="K212" s="716"/>
      <c r="L212" s="717"/>
      <c r="R212"/>
      <c r="S212"/>
    </row>
    <row r="213" spans="1:19" ht="45">
      <c r="A213" s="396" t="s">
        <v>391</v>
      </c>
      <c r="B213" s="63">
        <v>3</v>
      </c>
      <c r="C213" s="63">
        <v>8</v>
      </c>
      <c r="D213" s="303">
        <v>65</v>
      </c>
      <c r="E213" s="85">
        <f t="shared" si="33"/>
        <v>2.2113638026311735</v>
      </c>
      <c r="F213" s="85">
        <f t="shared" si="32"/>
        <v>2.3356804038245178</v>
      </c>
      <c r="G213" s="63">
        <v>4</v>
      </c>
      <c r="H213" s="63">
        <v>5</v>
      </c>
      <c r="I213" s="303">
        <v>70</v>
      </c>
      <c r="J213" s="715"/>
      <c r="K213" s="716"/>
      <c r="L213" s="717"/>
      <c r="R213"/>
      <c r="S213"/>
    </row>
    <row r="214" spans="1:19" ht="45">
      <c r="A214" s="396" t="s">
        <v>392</v>
      </c>
      <c r="B214" s="63">
        <v>3</v>
      </c>
      <c r="C214" s="63">
        <v>8</v>
      </c>
      <c r="D214" s="303">
        <v>65</v>
      </c>
      <c r="E214" s="85">
        <f t="shared" si="33"/>
        <v>2.2113638026311735</v>
      </c>
      <c r="F214" s="85">
        <f t="shared" si="32"/>
        <v>2.3356804038245178</v>
      </c>
      <c r="G214" s="63">
        <v>8</v>
      </c>
      <c r="H214" s="63">
        <v>5</v>
      </c>
      <c r="I214" s="303">
        <v>70</v>
      </c>
      <c r="J214" s="715"/>
      <c r="K214" s="716"/>
      <c r="L214" s="717"/>
      <c r="R214"/>
      <c r="S214"/>
    </row>
    <row r="215" spans="1:19" ht="45">
      <c r="A215" s="396" t="s">
        <v>393</v>
      </c>
      <c r="B215" s="63">
        <v>3</v>
      </c>
      <c r="C215" s="63">
        <v>8</v>
      </c>
      <c r="D215" s="303">
        <v>65</v>
      </c>
      <c r="E215" s="85">
        <f t="shared" si="33"/>
        <v>2.2113638026311735</v>
      </c>
      <c r="F215" s="85">
        <f t="shared" si="32"/>
        <v>2.3356804038245178</v>
      </c>
      <c r="G215" s="63">
        <v>12</v>
      </c>
      <c r="H215" s="63">
        <v>5</v>
      </c>
      <c r="I215" s="303">
        <v>70</v>
      </c>
      <c r="J215" s="715"/>
      <c r="K215" s="716"/>
      <c r="L215" s="717"/>
      <c r="P215" s="2" t="s">
        <v>173</v>
      </c>
      <c r="Q215" s="2" t="s">
        <v>174</v>
      </c>
      <c r="R215"/>
      <c r="S215"/>
    </row>
    <row r="216" spans="1:19" ht="45">
      <c r="A216" s="396" t="s">
        <v>394</v>
      </c>
      <c r="B216" s="63">
        <v>3</v>
      </c>
      <c r="C216" s="63">
        <v>8</v>
      </c>
      <c r="D216" s="303">
        <v>65</v>
      </c>
      <c r="E216" s="85">
        <f t="shared" si="33"/>
        <v>2.2113638026311735</v>
      </c>
      <c r="F216" s="85">
        <f t="shared" si="32"/>
        <v>2.3356804038245178</v>
      </c>
      <c r="G216" s="63">
        <v>12</v>
      </c>
      <c r="H216" s="63">
        <v>5</v>
      </c>
      <c r="I216" s="303">
        <v>70</v>
      </c>
      <c r="J216" s="715"/>
      <c r="K216" s="716"/>
      <c r="L216" s="717"/>
      <c r="R216"/>
      <c r="S216"/>
    </row>
    <row r="217" spans="1:19" ht="45.75" thickBot="1">
      <c r="A217" s="438" t="s">
        <v>395</v>
      </c>
      <c r="B217" s="476">
        <v>3</v>
      </c>
      <c r="C217" s="476">
        <v>8</v>
      </c>
      <c r="D217" s="477">
        <v>65</v>
      </c>
      <c r="E217" s="478">
        <f t="shared" si="33"/>
        <v>2.2113638026311735</v>
      </c>
      <c r="F217" s="478">
        <f t="shared" si="32"/>
        <v>2.3356804038245178</v>
      </c>
      <c r="G217" s="476">
        <v>12</v>
      </c>
      <c r="H217" s="476">
        <v>5</v>
      </c>
      <c r="I217" s="477">
        <v>70</v>
      </c>
      <c r="J217" s="747"/>
      <c r="K217" s="748"/>
      <c r="L217" s="749"/>
      <c r="R217"/>
      <c r="S217"/>
    </row>
    <row r="218" spans="1:19" ht="45.75" thickTop="1">
      <c r="A218" s="411" t="s">
        <v>396</v>
      </c>
      <c r="B218" s="479">
        <v>1</v>
      </c>
      <c r="C218" s="479">
        <v>8</v>
      </c>
      <c r="D218" s="480">
        <v>65</v>
      </c>
      <c r="E218" s="85">
        <f t="shared" si="33"/>
        <v>2.2113638026311735</v>
      </c>
      <c r="F218" s="481">
        <f t="shared" si="32"/>
        <v>2.3356804038245178</v>
      </c>
      <c r="G218" s="479">
        <v>2</v>
      </c>
      <c r="H218" s="479">
        <v>5</v>
      </c>
      <c r="I218" s="480">
        <v>70</v>
      </c>
      <c r="J218" s="750" t="s">
        <v>170</v>
      </c>
      <c r="K218" s="751"/>
      <c r="L218" s="752"/>
      <c r="R218"/>
      <c r="S218"/>
    </row>
    <row r="219" spans="1:19" ht="45">
      <c r="A219" s="396" t="s">
        <v>397</v>
      </c>
      <c r="B219" s="63">
        <v>2</v>
      </c>
      <c r="C219" s="63">
        <v>8</v>
      </c>
      <c r="D219" s="303">
        <v>65</v>
      </c>
      <c r="E219" s="85">
        <f t="shared" si="33"/>
        <v>2.2113638026311735</v>
      </c>
      <c r="F219" s="85">
        <f t="shared" si="32"/>
        <v>2.3356804038245178</v>
      </c>
      <c r="G219" s="63">
        <v>2</v>
      </c>
      <c r="H219" s="63">
        <v>5</v>
      </c>
      <c r="I219" s="303">
        <v>70</v>
      </c>
      <c r="J219" s="715"/>
      <c r="K219" s="716"/>
      <c r="L219" s="717"/>
      <c r="R219"/>
      <c r="S219"/>
    </row>
    <row r="220" spans="1:19" ht="45">
      <c r="A220" s="396" t="s">
        <v>398</v>
      </c>
      <c r="B220" s="63">
        <v>2</v>
      </c>
      <c r="C220" s="63">
        <v>8</v>
      </c>
      <c r="D220" s="303">
        <v>65</v>
      </c>
      <c r="E220" s="85">
        <f t="shared" si="33"/>
        <v>2.2113638026311735</v>
      </c>
      <c r="F220" s="85">
        <f t="shared" si="32"/>
        <v>2.3356804038245178</v>
      </c>
      <c r="G220" s="63">
        <v>4</v>
      </c>
      <c r="H220" s="63">
        <v>5</v>
      </c>
      <c r="I220" s="303">
        <v>70</v>
      </c>
      <c r="J220" s="715"/>
      <c r="K220" s="716"/>
      <c r="L220" s="717"/>
      <c r="R220"/>
      <c r="S220"/>
    </row>
    <row r="221" spans="1:19" ht="45">
      <c r="A221" s="396" t="s">
        <v>399</v>
      </c>
      <c r="B221" s="63">
        <v>2</v>
      </c>
      <c r="C221" s="63">
        <v>8</v>
      </c>
      <c r="D221" s="303">
        <v>65</v>
      </c>
      <c r="E221" s="85">
        <f t="shared" si="33"/>
        <v>2.2113638026311735</v>
      </c>
      <c r="F221" s="85">
        <f t="shared" si="32"/>
        <v>2.3356804038245178</v>
      </c>
      <c r="G221" s="63">
        <v>6</v>
      </c>
      <c r="H221" s="63">
        <v>5</v>
      </c>
      <c r="I221" s="303">
        <v>70</v>
      </c>
      <c r="J221" s="715"/>
      <c r="K221" s="716"/>
      <c r="L221" s="717"/>
      <c r="R221"/>
      <c r="S221"/>
    </row>
    <row r="222" spans="1:19" ht="45">
      <c r="A222" s="396" t="s">
        <v>400</v>
      </c>
      <c r="B222" s="63">
        <v>2</v>
      </c>
      <c r="C222" s="63">
        <v>8</v>
      </c>
      <c r="D222" s="303">
        <v>65</v>
      </c>
      <c r="E222" s="85">
        <f t="shared" si="33"/>
        <v>2.2113638026311735</v>
      </c>
      <c r="F222" s="85">
        <f t="shared" si="32"/>
        <v>2.3356804038245178</v>
      </c>
      <c r="G222" s="63">
        <v>8</v>
      </c>
      <c r="H222" s="63">
        <v>5</v>
      </c>
      <c r="I222" s="303">
        <v>70</v>
      </c>
      <c r="J222" s="715"/>
      <c r="K222" s="716"/>
      <c r="L222" s="717"/>
      <c r="R222"/>
      <c r="S222"/>
    </row>
    <row r="223" spans="1:19" ht="45">
      <c r="A223" s="396" t="s">
        <v>401</v>
      </c>
      <c r="B223" s="63">
        <v>2</v>
      </c>
      <c r="C223" s="63">
        <v>8</v>
      </c>
      <c r="D223" s="303">
        <v>65</v>
      </c>
      <c r="E223" s="85">
        <f t="shared" si="33"/>
        <v>2.2113638026311735</v>
      </c>
      <c r="F223" s="85">
        <f t="shared" si="32"/>
        <v>2.3356804038245178</v>
      </c>
      <c r="G223" s="63">
        <v>10</v>
      </c>
      <c r="H223" s="63">
        <v>5</v>
      </c>
      <c r="I223" s="303">
        <v>70</v>
      </c>
      <c r="J223" s="715"/>
      <c r="K223" s="716"/>
      <c r="L223" s="717"/>
      <c r="R223"/>
      <c r="S223"/>
    </row>
    <row r="224" spans="1:19" ht="45">
      <c r="A224" s="396" t="s">
        <v>402</v>
      </c>
      <c r="B224" s="63">
        <v>3</v>
      </c>
      <c r="C224" s="63">
        <v>8</v>
      </c>
      <c r="D224" s="303">
        <v>65</v>
      </c>
      <c r="E224" s="85">
        <f t="shared" si="33"/>
        <v>2.2113638026311735</v>
      </c>
      <c r="F224" s="85">
        <f t="shared" si="32"/>
        <v>2.3356804038245178</v>
      </c>
      <c r="G224" s="63">
        <v>4</v>
      </c>
      <c r="H224" s="63">
        <v>5</v>
      </c>
      <c r="I224" s="303">
        <v>70</v>
      </c>
      <c r="J224" s="715"/>
      <c r="K224" s="716"/>
      <c r="L224" s="717"/>
      <c r="R224"/>
      <c r="S224"/>
    </row>
    <row r="225" spans="1:19" ht="45">
      <c r="A225" s="396" t="s">
        <v>403</v>
      </c>
      <c r="B225" s="63">
        <v>3</v>
      </c>
      <c r="C225" s="63">
        <v>8</v>
      </c>
      <c r="D225" s="303">
        <v>65</v>
      </c>
      <c r="E225" s="85">
        <f t="shared" si="33"/>
        <v>2.2113638026311735</v>
      </c>
      <c r="F225" s="85">
        <f t="shared" si="32"/>
        <v>2.3356804038245178</v>
      </c>
      <c r="G225" s="63">
        <v>8</v>
      </c>
      <c r="H225" s="63">
        <v>5</v>
      </c>
      <c r="I225" s="303">
        <v>70</v>
      </c>
      <c r="J225" s="715"/>
      <c r="K225" s="716"/>
      <c r="L225" s="717"/>
      <c r="R225"/>
      <c r="S225"/>
    </row>
    <row r="226" spans="1:19" ht="45">
      <c r="A226" s="396" t="s">
        <v>404</v>
      </c>
      <c r="B226" s="63">
        <v>3</v>
      </c>
      <c r="C226" s="63">
        <v>8</v>
      </c>
      <c r="D226" s="303">
        <v>65</v>
      </c>
      <c r="E226" s="85">
        <f t="shared" si="33"/>
        <v>2.2113638026311735</v>
      </c>
      <c r="F226" s="85">
        <f t="shared" si="32"/>
        <v>2.3356804038245178</v>
      </c>
      <c r="G226" s="63">
        <v>12</v>
      </c>
      <c r="H226" s="63">
        <v>5</v>
      </c>
      <c r="I226" s="303">
        <v>70</v>
      </c>
      <c r="J226" s="715"/>
      <c r="K226" s="716"/>
      <c r="L226" s="717"/>
      <c r="R226"/>
      <c r="S226"/>
    </row>
    <row r="227" spans="1:19" ht="45">
      <c r="A227" s="396" t="s">
        <v>405</v>
      </c>
      <c r="B227" s="63">
        <v>3</v>
      </c>
      <c r="C227" s="63">
        <v>8</v>
      </c>
      <c r="D227" s="303">
        <v>65</v>
      </c>
      <c r="E227" s="85">
        <f t="shared" si="33"/>
        <v>2.2113638026311735</v>
      </c>
      <c r="F227" s="85">
        <f t="shared" si="32"/>
        <v>2.3356804038245178</v>
      </c>
      <c r="G227" s="63">
        <v>12</v>
      </c>
      <c r="H227" s="63">
        <v>5</v>
      </c>
      <c r="I227" s="303">
        <v>70</v>
      </c>
      <c r="J227" s="715"/>
      <c r="K227" s="716"/>
      <c r="L227" s="717"/>
      <c r="R227"/>
      <c r="S227"/>
    </row>
    <row r="228" spans="1:19" ht="45.75" thickBot="1">
      <c r="A228" s="438" t="s">
        <v>406</v>
      </c>
      <c r="B228" s="476">
        <v>3</v>
      </c>
      <c r="C228" s="476">
        <v>8</v>
      </c>
      <c r="D228" s="477">
        <v>65</v>
      </c>
      <c r="E228" s="478">
        <f t="shared" si="33"/>
        <v>2.2113638026311735</v>
      </c>
      <c r="F228" s="478">
        <f t="shared" si="32"/>
        <v>2.3356804038245178</v>
      </c>
      <c r="G228" s="476">
        <v>12</v>
      </c>
      <c r="H228" s="476">
        <v>5</v>
      </c>
      <c r="I228" s="477">
        <v>70</v>
      </c>
      <c r="J228" s="747"/>
      <c r="K228" s="748"/>
      <c r="L228" s="749"/>
      <c r="R228"/>
      <c r="S228"/>
    </row>
    <row r="229" spans="1:19" ht="45.75" thickTop="1">
      <c r="A229" s="411" t="s">
        <v>407</v>
      </c>
      <c r="B229" s="451">
        <v>1</v>
      </c>
      <c r="C229" s="451">
        <v>5</v>
      </c>
      <c r="D229" s="452">
        <v>65</v>
      </c>
      <c r="E229" s="85">
        <f t="shared" si="33"/>
        <v>1.7482365878913895</v>
      </c>
      <c r="F229" s="453">
        <f>MIN($B$49*$D229*$B$48/1000,(2.3*SQRT($B$47*$B$49*$B$48))/1000+(E229/4),$B$49*$D229*$B$48*(SQRT(2+4*$B$47/($B$49*$D229^2*$B$48))-1)/1000+E229/4)</f>
        <v>2.2198986001395715</v>
      </c>
      <c r="G229" s="451">
        <v>2</v>
      </c>
      <c r="H229" s="451">
        <v>5</v>
      </c>
      <c r="I229" s="452">
        <v>70</v>
      </c>
      <c r="J229" s="453">
        <f>(0.3*0.52*SQRT($H229)*I229^0.9*$B$46^0.8)/1000</f>
        <v>1.8688154683555778</v>
      </c>
      <c r="K229" s="453">
        <f>MIN($C$49*$I229*$C$48/1000,(2.3*SQRT($C$47*$C$49*$C$48))/1000+(J229/4),$C$49*$I229*$C$49*(SQRT(2+4*$C$47/($C$49*$I229^2*$C$48))-1)/1000+J229/4)</f>
        <v>1.4223746078391131</v>
      </c>
      <c r="L229" s="453">
        <f>B229*F229+G229*K229</f>
        <v>5.0646478158177981</v>
      </c>
      <c r="R229"/>
      <c r="S229"/>
    </row>
    <row r="230" spans="1:19" ht="45">
      <c r="A230" s="411" t="s">
        <v>408</v>
      </c>
      <c r="B230" s="304">
        <v>1</v>
      </c>
      <c r="C230" s="304">
        <v>5</v>
      </c>
      <c r="D230" s="407">
        <v>65</v>
      </c>
      <c r="E230" s="85">
        <f>($E$231*0.52*SQRT($C230)*D230^0.9*$B$198^0.8)/1000</f>
        <v>1.7482365878913895</v>
      </c>
      <c r="F230" s="447">
        <f>MIN($B$49*$D230*$B$48/1000,(2.3*SQRT($B$47*$B$49*$B$48))/1000+(E230/4),$B$49*$D230*$B$48*(SQRT(2+4*$B$47/($B$49*$D230^2*$B$48))-1)/1000+E230/4)</f>
        <v>2.2198986001395715</v>
      </c>
      <c r="G230" s="304">
        <v>2</v>
      </c>
      <c r="H230" s="304">
        <v>5</v>
      </c>
      <c r="I230" s="407">
        <v>70</v>
      </c>
      <c r="J230" s="447">
        <f>(0.3*0.52*SQRT($H230)*I230^0.9*$B$46^0.8)/1000</f>
        <v>1.8688154683555778</v>
      </c>
      <c r="K230" s="447">
        <f>MIN($C$49*$I230*$C$48/1000,(2.3*SQRT($C$47*$C$49*$C$48))/1000+(J230/4),$C$49*$I230*$C$49*(SQRT(2+4*$C$47/($C$49*$I230^2*$C$48))-1)/1000+J230/4)</f>
        <v>1.4223746078391131</v>
      </c>
      <c r="L230" s="447">
        <f>B230*F230+G230*K230</f>
        <v>5.0646478158177981</v>
      </c>
      <c r="R230"/>
      <c r="S230"/>
    </row>
    <row r="231" spans="1:19">
      <c r="A231" s="91"/>
      <c r="D231" s="23" t="s">
        <v>308</v>
      </c>
      <c r="E231" s="430">
        <v>0.3</v>
      </c>
      <c r="N231" t="s">
        <v>171</v>
      </c>
      <c r="O231" t="s">
        <v>172</v>
      </c>
      <c r="P231" s="2" t="s">
        <v>187</v>
      </c>
      <c r="Q231" s="2" t="s">
        <v>187</v>
      </c>
      <c r="R231"/>
      <c r="S231"/>
    </row>
    <row r="232" spans="1:19">
      <c r="A232" s="3"/>
      <c r="N232" t="s">
        <v>175</v>
      </c>
      <c r="O232" t="s">
        <v>176</v>
      </c>
      <c r="P232" t="s">
        <v>177</v>
      </c>
      <c r="Q232" t="s">
        <v>178</v>
      </c>
      <c r="R232"/>
      <c r="S232"/>
    </row>
    <row r="233" spans="1:19" ht="18">
      <c r="A233" s="4" t="s">
        <v>2</v>
      </c>
      <c r="B233" s="5" t="s">
        <v>169</v>
      </c>
      <c r="C233" s="5" t="s">
        <v>154</v>
      </c>
      <c r="D233" s="5" t="s">
        <v>159</v>
      </c>
      <c r="E233" s="5" t="s">
        <v>179</v>
      </c>
      <c r="F233" s="5" t="s">
        <v>157</v>
      </c>
      <c r="G233" s="5" t="s">
        <v>180</v>
      </c>
      <c r="H233" s="5" t="s">
        <v>181</v>
      </c>
      <c r="I233" s="5" t="s">
        <v>182</v>
      </c>
      <c r="J233" s="165"/>
      <c r="K233" s="165"/>
      <c r="L233" s="165"/>
      <c r="N233" s="5" t="s">
        <v>181</v>
      </c>
      <c r="O233" s="5" t="s">
        <v>184</v>
      </c>
      <c r="P233" s="5" t="s">
        <v>184</v>
      </c>
      <c r="Q233" s="5" t="s">
        <v>184</v>
      </c>
      <c r="R233"/>
      <c r="S233"/>
    </row>
    <row r="234" spans="1:19">
      <c r="A234" s="8"/>
      <c r="B234" s="62" t="s">
        <v>17</v>
      </c>
      <c r="C234" s="9" t="s">
        <v>19</v>
      </c>
      <c r="D234" s="9" t="s">
        <v>78</v>
      </c>
      <c r="E234" s="9" t="s">
        <v>78</v>
      </c>
      <c r="F234" s="9" t="s">
        <v>18</v>
      </c>
      <c r="G234" s="9" t="s">
        <v>17</v>
      </c>
      <c r="H234" s="9" t="s">
        <v>18</v>
      </c>
      <c r="I234" s="9" t="s">
        <v>17</v>
      </c>
      <c r="J234" s="165"/>
      <c r="K234" s="165"/>
      <c r="L234" s="165"/>
      <c r="N234" s="9" t="s">
        <v>18</v>
      </c>
      <c r="O234" s="9" t="s">
        <v>18</v>
      </c>
      <c r="P234" s="9" t="s">
        <v>18</v>
      </c>
      <c r="Q234" s="9" t="s">
        <v>18</v>
      </c>
      <c r="R234"/>
      <c r="S234"/>
    </row>
    <row r="235" spans="1:19" ht="43.9" customHeight="1">
      <c r="A235" s="396" t="s">
        <v>385</v>
      </c>
      <c r="B235" s="753" t="s">
        <v>170</v>
      </c>
      <c r="C235" s="397">
        <v>2.8</v>
      </c>
      <c r="D235" s="398">
        <v>29</v>
      </c>
      <c r="E235" s="432">
        <v>43</v>
      </c>
      <c r="F235" s="433">
        <v>0</v>
      </c>
      <c r="G235" s="303">
        <f t="shared" ref="G235:G255" si="34">$F207/SQRT((1/$C235+F235/$D235)^2+(F235/$E235)^2)</f>
        <v>6.5399051307086493</v>
      </c>
      <c r="H235" s="433">
        <v>73</v>
      </c>
      <c r="I235" s="434">
        <f t="shared" ref="I235:I256" si="35">$F207/SQRT((1/$C235+H235/$D235)^2+(H235/$E235)^2)</f>
        <v>0.69966362556761941</v>
      </c>
      <c r="J235" s="100"/>
      <c r="K235" s="100"/>
      <c r="L235" s="100"/>
      <c r="N235" s="433">
        <v>73</v>
      </c>
      <c r="O235" s="433">
        <f>21+10+16+36/2</f>
        <v>65</v>
      </c>
      <c r="P235" s="433">
        <f>21+10+19+16/2</f>
        <v>58</v>
      </c>
      <c r="Q235" s="433">
        <f>21+10+19+52/2</f>
        <v>76</v>
      </c>
      <c r="R235"/>
      <c r="S235"/>
    </row>
    <row r="236" spans="1:19" ht="45">
      <c r="A236" s="396" t="s">
        <v>386</v>
      </c>
      <c r="B236" s="754"/>
      <c r="C236" s="397">
        <v>3.8</v>
      </c>
      <c r="D236" s="398">
        <v>42</v>
      </c>
      <c r="E236" s="432">
        <v>81</v>
      </c>
      <c r="F236" s="433">
        <v>0</v>
      </c>
      <c r="G236" s="303">
        <f t="shared" si="34"/>
        <v>8.8755855345331689</v>
      </c>
      <c r="H236" s="433">
        <v>83</v>
      </c>
      <c r="I236" s="434">
        <f t="shared" si="35"/>
        <v>0.94843965605745983</v>
      </c>
      <c r="J236" s="100"/>
      <c r="K236" s="100"/>
      <c r="L236" s="100"/>
      <c r="N236" s="433">
        <v>83</v>
      </c>
      <c r="O236" s="433">
        <f>31+10+16+36/2</f>
        <v>75</v>
      </c>
      <c r="P236" s="433">
        <f>31+10+19+16/2</f>
        <v>68</v>
      </c>
      <c r="Q236" s="433">
        <f>31+10+19+52/2</f>
        <v>86</v>
      </c>
      <c r="R236"/>
      <c r="S236"/>
    </row>
    <row r="237" spans="1:19" ht="45">
      <c r="A237" s="396" t="s">
        <v>387</v>
      </c>
      <c r="B237" s="754"/>
      <c r="C237" s="397">
        <v>5.6</v>
      </c>
      <c r="D237" s="398">
        <v>72</v>
      </c>
      <c r="E237" s="432">
        <v>212</v>
      </c>
      <c r="F237" s="433">
        <v>0</v>
      </c>
      <c r="G237" s="303">
        <f t="shared" si="34"/>
        <v>13.079810261417299</v>
      </c>
      <c r="H237" s="433">
        <v>93</v>
      </c>
      <c r="I237" s="434">
        <f t="shared" si="35"/>
        <v>1.5223220596940228</v>
      </c>
      <c r="J237" s="100"/>
      <c r="K237" s="100"/>
      <c r="L237" s="100"/>
      <c r="N237" s="433">
        <v>93</v>
      </c>
      <c r="O237" s="433">
        <f>41+10+16+36/2</f>
        <v>85</v>
      </c>
      <c r="P237" s="433">
        <f>41+10+19+16/2</f>
        <v>78</v>
      </c>
      <c r="Q237" s="433">
        <f>41+10+19+52/2</f>
        <v>96</v>
      </c>
      <c r="R237"/>
      <c r="S237"/>
    </row>
    <row r="238" spans="1:19" ht="45">
      <c r="A238" s="396" t="s">
        <v>388</v>
      </c>
      <c r="B238" s="754"/>
      <c r="C238" s="397">
        <v>7.3</v>
      </c>
      <c r="D238" s="398">
        <v>109</v>
      </c>
      <c r="E238" s="432">
        <v>433</v>
      </c>
      <c r="F238" s="433">
        <v>0</v>
      </c>
      <c r="G238" s="303">
        <f t="shared" si="34"/>
        <v>17.050466947918981</v>
      </c>
      <c r="H238" s="433">
        <v>103</v>
      </c>
      <c r="I238" s="434">
        <f t="shared" si="35"/>
        <v>2.1084306822776826</v>
      </c>
      <c r="J238" s="100"/>
      <c r="K238" s="100"/>
      <c r="L238" s="100"/>
      <c r="N238" s="433">
        <v>103</v>
      </c>
      <c r="O238" s="433">
        <f>51+10+16+36/2</f>
        <v>95</v>
      </c>
      <c r="P238" s="433">
        <f>51+10+19+16/2</f>
        <v>88</v>
      </c>
      <c r="Q238" s="433">
        <f>51+10+19+52/2</f>
        <v>106</v>
      </c>
      <c r="R238"/>
      <c r="S238"/>
    </row>
    <row r="239" spans="1:19" ht="45">
      <c r="A239" s="396" t="s">
        <v>389</v>
      </c>
      <c r="B239" s="754"/>
      <c r="C239" s="397">
        <v>9.1</v>
      </c>
      <c r="D239" s="398">
        <v>154</v>
      </c>
      <c r="E239" s="432">
        <v>767</v>
      </c>
      <c r="F239" s="433">
        <v>0</v>
      </c>
      <c r="G239" s="303">
        <f t="shared" si="34"/>
        <v>21.254691674803112</v>
      </c>
      <c r="H239" s="433">
        <v>113</v>
      </c>
      <c r="I239" s="434">
        <f t="shared" si="35"/>
        <v>2.7272490675802317</v>
      </c>
      <c r="J239" s="100"/>
      <c r="K239" s="100"/>
      <c r="L239" s="100"/>
      <c r="N239" s="433">
        <v>113</v>
      </c>
      <c r="O239" s="433">
        <f>61+10+16+36/2</f>
        <v>105</v>
      </c>
      <c r="P239" s="433">
        <f>61+10+19+16/2</f>
        <v>98</v>
      </c>
      <c r="Q239" s="433">
        <f>61+10+19+52/2</f>
        <v>116</v>
      </c>
      <c r="R239"/>
      <c r="S239"/>
    </row>
    <row r="240" spans="1:19" ht="45">
      <c r="A240" s="396" t="s">
        <v>390</v>
      </c>
      <c r="B240" s="754"/>
      <c r="C240" s="397">
        <v>10.9</v>
      </c>
      <c r="D240" s="398">
        <v>208</v>
      </c>
      <c r="E240" s="432">
        <v>1241</v>
      </c>
      <c r="F240" s="433">
        <v>0</v>
      </c>
      <c r="G240" s="303">
        <f t="shared" si="34"/>
        <v>25.458916401687247</v>
      </c>
      <c r="H240" s="433">
        <v>123</v>
      </c>
      <c r="I240" s="434">
        <f t="shared" si="35"/>
        <v>3.383855678405205</v>
      </c>
      <c r="J240" s="100"/>
      <c r="K240" s="100"/>
      <c r="L240" s="100"/>
      <c r="N240" s="433">
        <v>123</v>
      </c>
      <c r="O240" s="433">
        <f>71+10+16+36/2</f>
        <v>115</v>
      </c>
      <c r="P240" s="433">
        <f>71+10+19+16/2</f>
        <v>108</v>
      </c>
      <c r="Q240" s="433">
        <f>71+10+19+52/2</f>
        <v>126</v>
      </c>
      <c r="R240"/>
      <c r="S240"/>
    </row>
    <row r="241" spans="1:19" ht="45">
      <c r="A241" s="396" t="s">
        <v>391</v>
      </c>
      <c r="B241" s="754"/>
      <c r="C241" s="397">
        <v>6.6</v>
      </c>
      <c r="D241" s="398">
        <v>182</v>
      </c>
      <c r="E241" s="432">
        <v>1140</v>
      </c>
      <c r="F241" s="433">
        <v>0</v>
      </c>
      <c r="G241" s="303">
        <f t="shared" si="34"/>
        <v>15.415490665241817</v>
      </c>
      <c r="H241" s="433">
        <v>118</v>
      </c>
      <c r="I241" s="434">
        <f t="shared" si="35"/>
        <v>2.8959392357891027</v>
      </c>
      <c r="J241" s="100"/>
      <c r="K241" s="100"/>
      <c r="L241" s="100"/>
      <c r="N241" s="433">
        <v>118</v>
      </c>
      <c r="O241" s="433">
        <f>66+10+16+36/2</f>
        <v>110</v>
      </c>
      <c r="P241" s="433">
        <f>66+10+19+16/2</f>
        <v>103</v>
      </c>
      <c r="Q241" s="433">
        <f>66+10+19+52/2</f>
        <v>121</v>
      </c>
      <c r="R241"/>
      <c r="S241"/>
    </row>
    <row r="242" spans="1:19" ht="45">
      <c r="A242" s="396" t="s">
        <v>392</v>
      </c>
      <c r="B242" s="754"/>
      <c r="C242" s="397">
        <v>10.1</v>
      </c>
      <c r="D242" s="398">
        <v>319</v>
      </c>
      <c r="E242" s="432">
        <v>2603</v>
      </c>
      <c r="F242" s="433">
        <v>0</v>
      </c>
      <c r="G242" s="303">
        <f t="shared" si="34"/>
        <v>23.590372078627627</v>
      </c>
      <c r="H242" s="433">
        <v>139</v>
      </c>
      <c r="I242" s="434">
        <f t="shared" si="35"/>
        <v>4.3462101466486533</v>
      </c>
      <c r="J242" s="100"/>
      <c r="K242" s="100"/>
      <c r="L242" s="100"/>
      <c r="N242" s="433">
        <v>139</v>
      </c>
      <c r="O242" s="433">
        <f>87+10+16+36/2</f>
        <v>131</v>
      </c>
      <c r="P242" s="433">
        <f>87+10+19+16/2</f>
        <v>124</v>
      </c>
      <c r="Q242" s="433">
        <f>87+10+19+52/2</f>
        <v>142</v>
      </c>
      <c r="R242"/>
      <c r="S242"/>
    </row>
    <row r="243" spans="1:19" ht="45">
      <c r="A243" s="396" t="s">
        <v>393</v>
      </c>
      <c r="B243" s="754"/>
      <c r="C243" s="397">
        <v>13.7</v>
      </c>
      <c r="D243" s="398">
        <v>486</v>
      </c>
      <c r="E243" s="432">
        <v>4918</v>
      </c>
      <c r="F243" s="433">
        <v>0</v>
      </c>
      <c r="G243" s="303">
        <f t="shared" si="34"/>
        <v>31.99882153239589</v>
      </c>
      <c r="H243" s="433">
        <v>162</v>
      </c>
      <c r="I243" s="434">
        <f t="shared" si="35"/>
        <v>5.7294947405109848</v>
      </c>
      <c r="J243" s="100"/>
      <c r="K243" s="100"/>
      <c r="L243" s="100"/>
      <c r="N243" s="433">
        <v>162</v>
      </c>
      <c r="O243" s="433">
        <f>110+10+16+36/2</f>
        <v>154</v>
      </c>
      <c r="P243" s="433">
        <f>110+10+19+16/2</f>
        <v>147</v>
      </c>
      <c r="Q243" s="433">
        <f>110+10+19+52/2</f>
        <v>165</v>
      </c>
      <c r="R243"/>
      <c r="S243"/>
    </row>
    <row r="244" spans="1:19" ht="45">
      <c r="A244" s="396" t="s">
        <v>394</v>
      </c>
      <c r="B244" s="754"/>
      <c r="C244" s="397">
        <v>13.7</v>
      </c>
      <c r="D244" s="398">
        <v>486</v>
      </c>
      <c r="E244" s="432">
        <v>4918</v>
      </c>
      <c r="F244" s="433">
        <v>0</v>
      </c>
      <c r="G244" s="303">
        <f t="shared" si="34"/>
        <v>31.99882153239589</v>
      </c>
      <c r="H244" s="154">
        <f>53/2+16+10+130</f>
        <v>182.5</v>
      </c>
      <c r="I244" s="434">
        <f t="shared" si="35"/>
        <v>5.189943829273024</v>
      </c>
      <c r="J244" s="100"/>
      <c r="K244" s="100"/>
      <c r="L244" s="100"/>
      <c r="N244" s="437"/>
      <c r="O244" s="437"/>
      <c r="P244" s="437"/>
      <c r="Q244" s="437"/>
      <c r="R244"/>
      <c r="S244"/>
    </row>
    <row r="245" spans="1:19" ht="45.75" thickBot="1">
      <c r="A245" s="438" t="s">
        <v>395</v>
      </c>
      <c r="B245" s="755"/>
      <c r="C245" s="441">
        <v>13.7</v>
      </c>
      <c r="D245" s="442">
        <v>486</v>
      </c>
      <c r="E245" s="482">
        <v>4918</v>
      </c>
      <c r="F245" s="483">
        <v>0</v>
      </c>
      <c r="G245" s="477">
        <f t="shared" si="34"/>
        <v>31.99882153239589</v>
      </c>
      <c r="H245" s="495">
        <f>53/2+16+10+150</f>
        <v>202.5</v>
      </c>
      <c r="I245" s="484">
        <f t="shared" si="35"/>
        <v>4.7532350477089675</v>
      </c>
      <c r="J245" s="100"/>
      <c r="K245" s="100"/>
      <c r="L245" s="100"/>
      <c r="N245" s="437"/>
      <c r="O245" s="437"/>
      <c r="P245" s="437"/>
      <c r="Q245" s="437"/>
      <c r="R245"/>
      <c r="S245"/>
    </row>
    <row r="246" spans="1:19" ht="47.45" customHeight="1" thickTop="1">
      <c r="A246" s="411" t="s">
        <v>396</v>
      </c>
      <c r="B246" s="741" t="s">
        <v>170</v>
      </c>
      <c r="C246" s="412">
        <v>2.8</v>
      </c>
      <c r="D246" s="413">
        <v>26</v>
      </c>
      <c r="E246" s="485">
        <v>51</v>
      </c>
      <c r="F246" s="486">
        <v>0</v>
      </c>
      <c r="G246" s="420">
        <f t="shared" si="34"/>
        <v>6.5399051307086493</v>
      </c>
      <c r="H246" s="486">
        <v>0</v>
      </c>
      <c r="I246" s="487">
        <f t="shared" si="35"/>
        <v>6.5399051307086493</v>
      </c>
      <c r="J246" s="100"/>
      <c r="K246" s="100"/>
      <c r="L246" s="100"/>
      <c r="N246" s="437"/>
      <c r="O246" s="437"/>
      <c r="P246" s="437"/>
      <c r="Q246" s="437"/>
      <c r="R246"/>
      <c r="S246"/>
    </row>
    <row r="247" spans="1:19" ht="45">
      <c r="A247" s="396" t="s">
        <v>397</v>
      </c>
      <c r="B247" s="722"/>
      <c r="C247" s="397">
        <v>3.8</v>
      </c>
      <c r="D247" s="398">
        <v>46</v>
      </c>
      <c r="E247" s="432">
        <v>131</v>
      </c>
      <c r="F247" s="433">
        <v>0</v>
      </c>
      <c r="G247" s="303">
        <f t="shared" si="34"/>
        <v>8.8755855345331689</v>
      </c>
      <c r="H247" s="433">
        <v>0</v>
      </c>
      <c r="I247" s="434">
        <f t="shared" si="35"/>
        <v>8.8755855345331689</v>
      </c>
      <c r="J247" s="100"/>
      <c r="K247" s="100"/>
      <c r="L247" s="100"/>
      <c r="N247" s="437"/>
      <c r="O247" s="437"/>
      <c r="P247" s="437"/>
      <c r="Q247" s="437"/>
      <c r="R247"/>
      <c r="S247"/>
    </row>
    <row r="248" spans="1:19" ht="45">
      <c r="A248" s="396" t="s">
        <v>398</v>
      </c>
      <c r="B248" s="722"/>
      <c r="C248" s="397">
        <v>5.6</v>
      </c>
      <c r="D248" s="398">
        <v>74</v>
      </c>
      <c r="E248" s="432">
        <v>307</v>
      </c>
      <c r="F248" s="433">
        <v>0</v>
      </c>
      <c r="G248" s="303">
        <f t="shared" si="34"/>
        <v>13.079810261417299</v>
      </c>
      <c r="H248" s="433">
        <v>0</v>
      </c>
      <c r="I248" s="434">
        <f t="shared" si="35"/>
        <v>13.079810261417299</v>
      </c>
      <c r="J248" s="100"/>
      <c r="K248" s="100"/>
      <c r="L248" s="100"/>
      <c r="N248" s="437"/>
      <c r="O248" s="437"/>
      <c r="P248" s="437"/>
      <c r="Q248" s="437"/>
      <c r="R248"/>
      <c r="S248"/>
    </row>
    <row r="249" spans="1:19" ht="45">
      <c r="A249" s="396" t="s">
        <v>399</v>
      </c>
      <c r="B249" s="722"/>
      <c r="C249" s="397">
        <v>7.3</v>
      </c>
      <c r="D249" s="398">
        <v>110</v>
      </c>
      <c r="E249" s="432">
        <v>595</v>
      </c>
      <c r="F249" s="433">
        <v>0</v>
      </c>
      <c r="G249" s="303">
        <f t="shared" si="34"/>
        <v>17.050466947918981</v>
      </c>
      <c r="H249" s="433">
        <v>0</v>
      </c>
      <c r="I249" s="434">
        <f t="shared" si="35"/>
        <v>17.050466947918981</v>
      </c>
      <c r="J249" s="100"/>
      <c r="K249" s="100"/>
      <c r="L249" s="100"/>
      <c r="N249" s="437"/>
      <c r="O249" s="437"/>
      <c r="P249" s="437"/>
      <c r="Q249" s="437"/>
      <c r="R249"/>
      <c r="S249"/>
    </row>
    <row r="250" spans="1:19" ht="45">
      <c r="A250" s="396" t="s">
        <v>400</v>
      </c>
      <c r="B250" s="722"/>
      <c r="C250" s="397">
        <v>9.1</v>
      </c>
      <c r="D250" s="398">
        <v>153</v>
      </c>
      <c r="E250" s="432">
        <v>1025</v>
      </c>
      <c r="F250" s="433">
        <v>0</v>
      </c>
      <c r="G250" s="303">
        <f t="shared" si="34"/>
        <v>21.254691674803112</v>
      </c>
      <c r="H250" s="433">
        <v>0</v>
      </c>
      <c r="I250" s="434">
        <f t="shared" si="35"/>
        <v>21.254691674803112</v>
      </c>
      <c r="J250" s="100"/>
      <c r="K250" s="100"/>
      <c r="L250" s="100"/>
      <c r="N250" s="437"/>
      <c r="O250" s="437"/>
      <c r="P250" s="437"/>
      <c r="Q250" s="437"/>
      <c r="R250"/>
      <c r="S250"/>
    </row>
    <row r="251" spans="1:19" ht="45">
      <c r="A251" s="396" t="s">
        <v>401</v>
      </c>
      <c r="B251" s="722"/>
      <c r="C251" s="397">
        <v>10.9</v>
      </c>
      <c r="D251" s="398">
        <v>205</v>
      </c>
      <c r="E251" s="432">
        <v>1629</v>
      </c>
      <c r="F251" s="433">
        <v>0</v>
      </c>
      <c r="G251" s="303">
        <f t="shared" si="34"/>
        <v>25.458916401687247</v>
      </c>
      <c r="H251" s="433">
        <v>0</v>
      </c>
      <c r="I251" s="434">
        <f t="shared" si="35"/>
        <v>25.458916401687247</v>
      </c>
      <c r="J251" s="100"/>
      <c r="K251" s="100"/>
      <c r="L251" s="100"/>
      <c r="N251" s="437"/>
      <c r="O251" s="437"/>
      <c r="P251" s="437"/>
      <c r="Q251" s="437"/>
      <c r="R251"/>
      <c r="S251"/>
    </row>
    <row r="252" spans="1:19" ht="45">
      <c r="A252" s="396" t="s">
        <v>402</v>
      </c>
      <c r="B252" s="722"/>
      <c r="C252" s="397">
        <v>6.6</v>
      </c>
      <c r="D252" s="398">
        <v>181</v>
      </c>
      <c r="E252" s="432">
        <v>1414</v>
      </c>
      <c r="F252" s="433">
        <v>0</v>
      </c>
      <c r="G252" s="303">
        <f t="shared" si="34"/>
        <v>15.415490665241817</v>
      </c>
      <c r="H252" s="433">
        <v>0</v>
      </c>
      <c r="I252" s="434">
        <f t="shared" si="35"/>
        <v>15.415490665241817</v>
      </c>
      <c r="J252" s="100"/>
      <c r="K252" s="100"/>
      <c r="L252" s="100"/>
      <c r="N252" s="437"/>
      <c r="O252" s="437"/>
      <c r="P252" s="437"/>
      <c r="Q252" s="437"/>
      <c r="R252"/>
      <c r="S252"/>
    </row>
    <row r="253" spans="1:19" ht="45">
      <c r="A253" s="396" t="s">
        <v>403</v>
      </c>
      <c r="B253" s="722"/>
      <c r="C253" s="397">
        <v>10.1</v>
      </c>
      <c r="D253" s="398">
        <v>317</v>
      </c>
      <c r="E253" s="432">
        <v>3232</v>
      </c>
      <c r="F253" s="433">
        <v>0</v>
      </c>
      <c r="G253" s="303">
        <f t="shared" si="34"/>
        <v>23.590372078627627</v>
      </c>
      <c r="H253" s="433">
        <v>0</v>
      </c>
      <c r="I253" s="434">
        <f t="shared" si="35"/>
        <v>23.590372078627627</v>
      </c>
      <c r="J253" s="100"/>
      <c r="K253" s="100"/>
      <c r="L253" s="100"/>
      <c r="N253" s="437"/>
      <c r="O253" s="437"/>
      <c r="P253" s="437"/>
      <c r="Q253" s="437"/>
      <c r="R253"/>
      <c r="S253"/>
    </row>
    <row r="254" spans="1:19" ht="45">
      <c r="A254" s="396" t="s">
        <v>404</v>
      </c>
      <c r="B254" s="722"/>
      <c r="C254" s="397">
        <v>13.7</v>
      </c>
      <c r="D254" s="398">
        <v>483</v>
      </c>
      <c r="E254" s="432">
        <v>6114</v>
      </c>
      <c r="F254" s="433">
        <v>0</v>
      </c>
      <c r="G254" s="303">
        <f t="shared" si="34"/>
        <v>31.99882153239589</v>
      </c>
      <c r="H254" s="433">
        <v>0</v>
      </c>
      <c r="I254" s="434">
        <f t="shared" si="35"/>
        <v>31.99882153239589</v>
      </c>
      <c r="J254" s="100"/>
      <c r="K254" s="100"/>
      <c r="L254" s="100"/>
      <c r="N254" s="437"/>
      <c r="O254" s="437"/>
      <c r="P254" s="437"/>
      <c r="Q254" s="437"/>
      <c r="R254"/>
      <c r="S254"/>
    </row>
    <row r="255" spans="1:19" ht="45">
      <c r="A255" s="396" t="s">
        <v>405</v>
      </c>
      <c r="B255" s="722"/>
      <c r="C255" s="397">
        <v>13.7</v>
      </c>
      <c r="D255" s="398">
        <v>483</v>
      </c>
      <c r="E255" s="432">
        <v>6114</v>
      </c>
      <c r="F255" s="433">
        <v>0</v>
      </c>
      <c r="G255" s="303">
        <f t="shared" si="34"/>
        <v>31.99882153239589</v>
      </c>
      <c r="H255" s="433">
        <v>0</v>
      </c>
      <c r="I255" s="434">
        <f t="shared" si="35"/>
        <v>31.99882153239589</v>
      </c>
      <c r="J255" s="100"/>
      <c r="K255" s="100"/>
      <c r="L255" s="100"/>
      <c r="N255" s="437"/>
      <c r="O255" s="437"/>
      <c r="P255" s="437"/>
      <c r="Q255" s="437"/>
      <c r="R255"/>
      <c r="S255"/>
    </row>
    <row r="256" spans="1:19" ht="45.75" thickBot="1">
      <c r="A256" s="438" t="s">
        <v>406</v>
      </c>
      <c r="B256" s="722"/>
      <c r="C256" s="441">
        <v>13.7</v>
      </c>
      <c r="D256" s="442">
        <v>483</v>
      </c>
      <c r="E256" s="482">
        <v>6114</v>
      </c>
      <c r="F256" s="483">
        <v>0</v>
      </c>
      <c r="G256" s="477">
        <f>$F228/SQRT((1/$C256+F256/$D256)^2+(F256/$E256)^2)</f>
        <v>31.99882153239589</v>
      </c>
      <c r="H256" s="483">
        <v>0</v>
      </c>
      <c r="I256" s="484">
        <f t="shared" si="35"/>
        <v>31.99882153239589</v>
      </c>
      <c r="J256" s="100"/>
      <c r="K256" s="100"/>
      <c r="L256" s="100"/>
      <c r="N256" s="437"/>
      <c r="O256" s="437"/>
      <c r="P256" s="437"/>
      <c r="Q256" s="437"/>
      <c r="R256"/>
      <c r="S256"/>
    </row>
    <row r="257" spans="1:19" ht="45.75" thickTop="1">
      <c r="A257" s="411" t="s">
        <v>407</v>
      </c>
      <c r="B257" s="722"/>
      <c r="C257" s="412">
        <v>2.7</v>
      </c>
      <c r="D257" s="413">
        <v>23</v>
      </c>
      <c r="E257" s="485">
        <v>0</v>
      </c>
      <c r="F257" s="486">
        <v>0</v>
      </c>
      <c r="G257" s="420">
        <f>$F229/SQRT((1/$C257+F257/$D257)^2)</f>
        <v>5.9937262203768435</v>
      </c>
      <c r="H257" s="486">
        <v>0</v>
      </c>
      <c r="I257" s="487">
        <f>$F229/SQRT((1/$C257+H257/$D257)^2)</f>
        <v>5.9937262203768435</v>
      </c>
      <c r="J257" s="100"/>
      <c r="K257" s="100"/>
      <c r="L257" s="100"/>
      <c r="N257" s="437"/>
      <c r="O257" s="437"/>
      <c r="P257" s="437"/>
      <c r="Q257" s="437"/>
      <c r="R257"/>
      <c r="S257"/>
    </row>
    <row r="258" spans="1:19" ht="45">
      <c r="A258" s="411" t="s">
        <v>408</v>
      </c>
      <c r="B258" s="723"/>
      <c r="C258" s="397">
        <v>2.7</v>
      </c>
      <c r="D258" s="398">
        <v>25</v>
      </c>
      <c r="E258" s="432">
        <v>0</v>
      </c>
      <c r="F258" s="433">
        <v>0</v>
      </c>
      <c r="G258" s="303">
        <f>$F230/SQRT((1/$C258+F258/$D258)^2)</f>
        <v>5.9937262203768435</v>
      </c>
      <c r="H258" s="433">
        <v>0</v>
      </c>
      <c r="I258" s="434">
        <f>$F230/SQRT((1/$C258+H258/$D258)^2)</f>
        <v>5.9937262203768435</v>
      </c>
      <c r="J258" s="100"/>
      <c r="K258" s="100"/>
      <c r="L258" s="100"/>
      <c r="N258" s="437"/>
      <c r="O258" s="437"/>
      <c r="P258" s="437"/>
      <c r="Q258" s="437"/>
      <c r="R258"/>
      <c r="S258"/>
    </row>
    <row r="259" spans="1:19">
      <c r="A259" s="3"/>
      <c r="R259"/>
      <c r="S259"/>
    </row>
    <row r="260" spans="1:19">
      <c r="A260" s="3"/>
      <c r="R260"/>
      <c r="S260"/>
    </row>
    <row r="261" spans="1:19" ht="18">
      <c r="A261" s="4" t="s">
        <v>2</v>
      </c>
      <c r="B261" s="5" t="s">
        <v>43</v>
      </c>
      <c r="C261" s="5" t="s">
        <v>9</v>
      </c>
      <c r="D261" s="5" t="s">
        <v>44</v>
      </c>
      <c r="E261" s="5" t="s">
        <v>69</v>
      </c>
      <c r="F261" s="5" t="s">
        <v>70</v>
      </c>
      <c r="G261" s="5" t="s">
        <v>43</v>
      </c>
      <c r="H261" s="5" t="s">
        <v>9</v>
      </c>
      <c r="I261" s="5" t="s">
        <v>44</v>
      </c>
      <c r="J261" s="5" t="s">
        <v>69</v>
      </c>
      <c r="K261" s="5" t="s">
        <v>70</v>
      </c>
      <c r="L261" s="5" t="s">
        <v>185</v>
      </c>
      <c r="R261"/>
      <c r="S261"/>
    </row>
    <row r="262" spans="1:19">
      <c r="A262" s="8"/>
      <c r="B262" s="9" t="s">
        <v>19</v>
      </c>
      <c r="C262" s="9" t="s">
        <v>18</v>
      </c>
      <c r="D262" s="9" t="s">
        <v>18</v>
      </c>
      <c r="E262" s="9" t="s">
        <v>17</v>
      </c>
      <c r="F262" s="9" t="s">
        <v>17</v>
      </c>
      <c r="G262" s="9" t="s">
        <v>19</v>
      </c>
      <c r="H262" s="9" t="s">
        <v>18</v>
      </c>
      <c r="I262" s="9" t="s">
        <v>18</v>
      </c>
      <c r="J262" s="9" t="s">
        <v>17</v>
      </c>
      <c r="K262" s="9" t="s">
        <v>17</v>
      </c>
      <c r="L262" s="62" t="s">
        <v>17</v>
      </c>
      <c r="R262"/>
      <c r="S262"/>
    </row>
    <row r="263" spans="1:19" ht="45">
      <c r="A263" s="396" t="s">
        <v>385</v>
      </c>
      <c r="B263" s="63">
        <v>1</v>
      </c>
      <c r="C263" s="63">
        <v>8</v>
      </c>
      <c r="D263" s="303">
        <v>35</v>
      </c>
      <c r="E263" s="85">
        <f>(0.52*SQRT($C263)*D263^0.9*$B$198^0.8)/1000</f>
        <v>4.2225826668958426</v>
      </c>
      <c r="F263" s="85">
        <f t="shared" ref="F263:F284" si="36">MIN(2.3*SQRT($B$199*$B$202*$B$200)/1000+(E263/4),$B$202*$B$200*D263/1000,$B$202*$B$200*D263/1000*(SQRT(2+4*$B$199/($B$202*$B$200*D263^2))-1)+E263/4)</f>
        <v>3.5986908599833538</v>
      </c>
      <c r="G263" s="63">
        <v>2</v>
      </c>
      <c r="H263" s="63">
        <v>5</v>
      </c>
      <c r="I263" s="303">
        <v>45</v>
      </c>
      <c r="J263" s="724" t="s">
        <v>170</v>
      </c>
      <c r="K263" s="725"/>
      <c r="L263" s="726"/>
      <c r="R263"/>
      <c r="S263"/>
    </row>
    <row r="264" spans="1:19" ht="45">
      <c r="A264" s="396" t="s">
        <v>386</v>
      </c>
      <c r="B264" s="63">
        <v>2</v>
      </c>
      <c r="C264" s="63">
        <v>8</v>
      </c>
      <c r="D264" s="303">
        <v>35</v>
      </c>
      <c r="E264" s="85">
        <f t="shared" ref="E264:E284" si="37">(0.52*SQRT($C264)*D264^0.9*$B$198^0.8)/1000</f>
        <v>4.2225826668958426</v>
      </c>
      <c r="F264" s="85">
        <f t="shared" si="36"/>
        <v>3.5986908599833538</v>
      </c>
      <c r="G264" s="63">
        <v>2</v>
      </c>
      <c r="H264" s="63">
        <v>5</v>
      </c>
      <c r="I264" s="303">
        <v>45</v>
      </c>
      <c r="J264" s="727"/>
      <c r="K264" s="728"/>
      <c r="L264" s="729"/>
      <c r="R264"/>
      <c r="S264"/>
    </row>
    <row r="265" spans="1:19" ht="45">
      <c r="A265" s="396" t="s">
        <v>387</v>
      </c>
      <c r="B265" s="63">
        <v>2</v>
      </c>
      <c r="C265" s="63">
        <v>8</v>
      </c>
      <c r="D265" s="303">
        <v>35</v>
      </c>
      <c r="E265" s="85">
        <f t="shared" si="37"/>
        <v>4.2225826668958426</v>
      </c>
      <c r="F265" s="85">
        <f t="shared" si="36"/>
        <v>3.5986908599833538</v>
      </c>
      <c r="G265" s="63">
        <v>4</v>
      </c>
      <c r="H265" s="63">
        <v>5</v>
      </c>
      <c r="I265" s="303">
        <v>45</v>
      </c>
      <c r="J265" s="727"/>
      <c r="K265" s="728"/>
      <c r="L265" s="729"/>
      <c r="R265"/>
      <c r="S265"/>
    </row>
    <row r="266" spans="1:19" ht="45">
      <c r="A266" s="396" t="s">
        <v>388</v>
      </c>
      <c r="B266" s="63">
        <v>2</v>
      </c>
      <c r="C266" s="63">
        <v>8</v>
      </c>
      <c r="D266" s="303">
        <v>35</v>
      </c>
      <c r="E266" s="85">
        <f t="shared" si="37"/>
        <v>4.2225826668958426</v>
      </c>
      <c r="F266" s="85">
        <f t="shared" si="36"/>
        <v>3.5986908599833538</v>
      </c>
      <c r="G266" s="63">
        <v>6</v>
      </c>
      <c r="H266" s="63">
        <v>5</v>
      </c>
      <c r="I266" s="303">
        <v>45</v>
      </c>
      <c r="J266" s="727"/>
      <c r="K266" s="728"/>
      <c r="L266" s="729"/>
      <c r="R266"/>
      <c r="S266"/>
    </row>
    <row r="267" spans="1:19" ht="45">
      <c r="A267" s="396" t="s">
        <v>389</v>
      </c>
      <c r="B267" s="63">
        <v>2</v>
      </c>
      <c r="C267" s="63">
        <v>8</v>
      </c>
      <c r="D267" s="303">
        <v>35</v>
      </c>
      <c r="E267" s="85">
        <f t="shared" si="37"/>
        <v>4.2225826668958426</v>
      </c>
      <c r="F267" s="85">
        <f t="shared" si="36"/>
        <v>3.5986908599833538</v>
      </c>
      <c r="G267" s="63">
        <v>8</v>
      </c>
      <c r="H267" s="63">
        <v>5</v>
      </c>
      <c r="I267" s="303">
        <v>45</v>
      </c>
      <c r="J267" s="727"/>
      <c r="K267" s="728"/>
      <c r="L267" s="729"/>
      <c r="R267"/>
      <c r="S267"/>
    </row>
    <row r="268" spans="1:19" ht="45">
      <c r="A268" s="396" t="s">
        <v>390</v>
      </c>
      <c r="B268" s="63">
        <v>2</v>
      </c>
      <c r="C268" s="63">
        <v>8</v>
      </c>
      <c r="D268" s="303">
        <v>35</v>
      </c>
      <c r="E268" s="85">
        <f t="shared" si="37"/>
        <v>4.2225826668958426</v>
      </c>
      <c r="F268" s="85">
        <f t="shared" si="36"/>
        <v>3.5986908599833538</v>
      </c>
      <c r="G268" s="63">
        <v>10</v>
      </c>
      <c r="H268" s="63">
        <v>5</v>
      </c>
      <c r="I268" s="303">
        <v>45</v>
      </c>
      <c r="J268" s="727"/>
      <c r="K268" s="728"/>
      <c r="L268" s="729"/>
      <c r="R268"/>
      <c r="S268"/>
    </row>
    <row r="269" spans="1:19" ht="45">
      <c r="A269" s="396" t="s">
        <v>391</v>
      </c>
      <c r="B269" s="63">
        <v>3</v>
      </c>
      <c r="C269" s="63">
        <v>8</v>
      </c>
      <c r="D269" s="303">
        <v>35</v>
      </c>
      <c r="E269" s="85">
        <f t="shared" si="37"/>
        <v>4.2225826668958426</v>
      </c>
      <c r="F269" s="85">
        <f t="shared" si="36"/>
        <v>3.5986908599833538</v>
      </c>
      <c r="G269" s="63">
        <v>4</v>
      </c>
      <c r="H269" s="63">
        <v>5</v>
      </c>
      <c r="I269" s="303">
        <v>45</v>
      </c>
      <c r="J269" s="727"/>
      <c r="K269" s="728"/>
      <c r="L269" s="729"/>
      <c r="R269"/>
      <c r="S269"/>
    </row>
    <row r="270" spans="1:19" ht="45">
      <c r="A270" s="396" t="s">
        <v>392</v>
      </c>
      <c r="B270" s="63">
        <v>3</v>
      </c>
      <c r="C270" s="63">
        <v>8</v>
      </c>
      <c r="D270" s="303">
        <v>35</v>
      </c>
      <c r="E270" s="85">
        <f t="shared" si="37"/>
        <v>4.2225826668958426</v>
      </c>
      <c r="F270" s="85">
        <f t="shared" si="36"/>
        <v>3.5986908599833538</v>
      </c>
      <c r="G270" s="63">
        <v>8</v>
      </c>
      <c r="H270" s="63">
        <v>5</v>
      </c>
      <c r="I270" s="303">
        <v>45</v>
      </c>
      <c r="J270" s="727"/>
      <c r="K270" s="728"/>
      <c r="L270" s="729"/>
      <c r="R270"/>
      <c r="S270"/>
    </row>
    <row r="271" spans="1:19" ht="45">
      <c r="A271" s="396" t="s">
        <v>393</v>
      </c>
      <c r="B271" s="63">
        <v>3</v>
      </c>
      <c r="C271" s="63">
        <v>8</v>
      </c>
      <c r="D271" s="303">
        <v>35</v>
      </c>
      <c r="E271" s="85">
        <f t="shared" si="37"/>
        <v>4.2225826668958426</v>
      </c>
      <c r="F271" s="85">
        <f t="shared" si="36"/>
        <v>3.5986908599833538</v>
      </c>
      <c r="G271" s="63">
        <v>12</v>
      </c>
      <c r="H271" s="63">
        <v>5</v>
      </c>
      <c r="I271" s="303">
        <v>45</v>
      </c>
      <c r="J271" s="727"/>
      <c r="K271" s="728"/>
      <c r="L271" s="729"/>
      <c r="R271"/>
      <c r="S271"/>
    </row>
    <row r="272" spans="1:19" ht="45">
      <c r="A272" s="396" t="s">
        <v>394</v>
      </c>
      <c r="B272" s="63">
        <v>3</v>
      </c>
      <c r="C272" s="63">
        <v>8</v>
      </c>
      <c r="D272" s="303">
        <v>35</v>
      </c>
      <c r="E272" s="85">
        <f t="shared" si="37"/>
        <v>4.2225826668958426</v>
      </c>
      <c r="F272" s="85">
        <f t="shared" si="36"/>
        <v>3.5986908599833538</v>
      </c>
      <c r="G272" s="63">
        <v>16</v>
      </c>
      <c r="H272" s="63">
        <v>5</v>
      </c>
      <c r="I272" s="303">
        <v>45</v>
      </c>
      <c r="J272" s="727"/>
      <c r="K272" s="728"/>
      <c r="L272" s="729"/>
      <c r="R272"/>
      <c r="S272"/>
    </row>
    <row r="273" spans="1:19" ht="45.75" thickBot="1">
      <c r="A273" s="438" t="s">
        <v>395</v>
      </c>
      <c r="B273" s="476">
        <v>3</v>
      </c>
      <c r="C273" s="476">
        <v>8</v>
      </c>
      <c r="D273" s="477">
        <v>35</v>
      </c>
      <c r="E273" s="478">
        <f t="shared" si="37"/>
        <v>4.2225826668958426</v>
      </c>
      <c r="F273" s="478">
        <f t="shared" si="36"/>
        <v>3.5986908599833538</v>
      </c>
      <c r="G273" s="476">
        <v>20</v>
      </c>
      <c r="H273" s="476">
        <v>5</v>
      </c>
      <c r="I273" s="477">
        <v>45</v>
      </c>
      <c r="J273" s="744"/>
      <c r="K273" s="745"/>
      <c r="L273" s="746"/>
      <c r="R273"/>
      <c r="S273"/>
    </row>
    <row r="274" spans="1:19" ht="45.75" thickTop="1">
      <c r="A274" s="411" t="s">
        <v>396</v>
      </c>
      <c r="B274" s="421">
        <v>1</v>
      </c>
      <c r="C274" s="421">
        <v>8</v>
      </c>
      <c r="D274" s="420">
        <v>35</v>
      </c>
      <c r="E274" s="488">
        <f>(0.52*SQRT($C274)*D274^0.9*$B$198^0.8)/1000</f>
        <v>4.2225826668958426</v>
      </c>
      <c r="F274" s="488">
        <f t="shared" si="36"/>
        <v>3.5986908599833538</v>
      </c>
      <c r="G274" s="421">
        <v>2</v>
      </c>
      <c r="H274" s="421">
        <v>5</v>
      </c>
      <c r="I274" s="420">
        <v>45</v>
      </c>
      <c r="J274" s="727" t="s">
        <v>170</v>
      </c>
      <c r="K274" s="728"/>
      <c r="L274" s="729"/>
      <c r="R274"/>
      <c r="S274"/>
    </row>
    <row r="275" spans="1:19" ht="45">
      <c r="A275" s="396" t="s">
        <v>397</v>
      </c>
      <c r="B275" s="63">
        <v>2</v>
      </c>
      <c r="C275" s="63">
        <v>8</v>
      </c>
      <c r="D275" s="303">
        <v>35</v>
      </c>
      <c r="E275" s="85">
        <f t="shared" si="37"/>
        <v>4.2225826668958426</v>
      </c>
      <c r="F275" s="85">
        <f t="shared" si="36"/>
        <v>3.5986908599833538</v>
      </c>
      <c r="G275" s="63">
        <v>2</v>
      </c>
      <c r="H275" s="63">
        <v>5</v>
      </c>
      <c r="I275" s="303">
        <v>45</v>
      </c>
      <c r="J275" s="727"/>
      <c r="K275" s="728"/>
      <c r="L275" s="729"/>
      <c r="R275"/>
      <c r="S275"/>
    </row>
    <row r="276" spans="1:19" ht="45">
      <c r="A276" s="396" t="s">
        <v>398</v>
      </c>
      <c r="B276" s="63">
        <v>2</v>
      </c>
      <c r="C276" s="63">
        <v>8</v>
      </c>
      <c r="D276" s="303">
        <v>35</v>
      </c>
      <c r="E276" s="85">
        <f t="shared" si="37"/>
        <v>4.2225826668958426</v>
      </c>
      <c r="F276" s="85">
        <f t="shared" si="36"/>
        <v>3.5986908599833538</v>
      </c>
      <c r="G276" s="63">
        <v>4</v>
      </c>
      <c r="H276" s="63">
        <v>5</v>
      </c>
      <c r="I276" s="303">
        <v>45</v>
      </c>
      <c r="J276" s="727"/>
      <c r="K276" s="728"/>
      <c r="L276" s="729"/>
      <c r="R276"/>
      <c r="S276"/>
    </row>
    <row r="277" spans="1:19" ht="45">
      <c r="A277" s="396" t="s">
        <v>399</v>
      </c>
      <c r="B277" s="63">
        <v>2</v>
      </c>
      <c r="C277" s="63">
        <v>8</v>
      </c>
      <c r="D277" s="303">
        <v>35</v>
      </c>
      <c r="E277" s="85">
        <f t="shared" si="37"/>
        <v>4.2225826668958426</v>
      </c>
      <c r="F277" s="85">
        <f t="shared" si="36"/>
        <v>3.5986908599833538</v>
      </c>
      <c r="G277" s="63">
        <v>6</v>
      </c>
      <c r="H277" s="63">
        <v>5</v>
      </c>
      <c r="I277" s="303">
        <v>45</v>
      </c>
      <c r="J277" s="727"/>
      <c r="K277" s="728"/>
      <c r="L277" s="729"/>
      <c r="R277"/>
      <c r="S277"/>
    </row>
    <row r="278" spans="1:19" ht="45">
      <c r="A278" s="396" t="s">
        <v>400</v>
      </c>
      <c r="B278" s="63">
        <v>2</v>
      </c>
      <c r="C278" s="63">
        <v>8</v>
      </c>
      <c r="D278" s="303">
        <v>35</v>
      </c>
      <c r="E278" s="85">
        <f t="shared" si="37"/>
        <v>4.2225826668958426</v>
      </c>
      <c r="F278" s="85">
        <f t="shared" si="36"/>
        <v>3.5986908599833538</v>
      </c>
      <c r="G278" s="63">
        <v>8</v>
      </c>
      <c r="H278" s="63">
        <v>5</v>
      </c>
      <c r="I278" s="303">
        <v>45</v>
      </c>
      <c r="J278" s="727"/>
      <c r="K278" s="728"/>
      <c r="L278" s="729"/>
      <c r="R278"/>
      <c r="S278"/>
    </row>
    <row r="279" spans="1:19" ht="45">
      <c r="A279" s="396" t="s">
        <v>401</v>
      </c>
      <c r="B279" s="63">
        <v>2</v>
      </c>
      <c r="C279" s="63">
        <v>8</v>
      </c>
      <c r="D279" s="303">
        <v>35</v>
      </c>
      <c r="E279" s="85">
        <f t="shared" si="37"/>
        <v>4.2225826668958426</v>
      </c>
      <c r="F279" s="85">
        <f t="shared" si="36"/>
        <v>3.5986908599833538</v>
      </c>
      <c r="G279" s="63">
        <v>10</v>
      </c>
      <c r="H279" s="63">
        <v>5</v>
      </c>
      <c r="I279" s="303">
        <v>45</v>
      </c>
      <c r="J279" s="727"/>
      <c r="K279" s="728"/>
      <c r="L279" s="729"/>
      <c r="R279"/>
      <c r="S279"/>
    </row>
    <row r="280" spans="1:19" ht="45">
      <c r="A280" s="396" t="s">
        <v>402</v>
      </c>
      <c r="B280" s="63">
        <v>3</v>
      </c>
      <c r="C280" s="63">
        <v>8</v>
      </c>
      <c r="D280" s="303">
        <v>35</v>
      </c>
      <c r="E280" s="85">
        <f t="shared" si="37"/>
        <v>4.2225826668958426</v>
      </c>
      <c r="F280" s="85">
        <f t="shared" si="36"/>
        <v>3.5986908599833538</v>
      </c>
      <c r="G280" s="63">
        <v>4</v>
      </c>
      <c r="H280" s="63">
        <v>5</v>
      </c>
      <c r="I280" s="303">
        <v>45</v>
      </c>
      <c r="J280" s="727"/>
      <c r="K280" s="728"/>
      <c r="L280" s="729"/>
      <c r="R280"/>
      <c r="S280"/>
    </row>
    <row r="281" spans="1:19" ht="45">
      <c r="A281" s="396" t="s">
        <v>403</v>
      </c>
      <c r="B281" s="63">
        <v>3</v>
      </c>
      <c r="C281" s="63">
        <v>8</v>
      </c>
      <c r="D281" s="303">
        <v>35</v>
      </c>
      <c r="E281" s="85">
        <f t="shared" si="37"/>
        <v>4.2225826668958426</v>
      </c>
      <c r="F281" s="85">
        <f t="shared" si="36"/>
        <v>3.5986908599833538</v>
      </c>
      <c r="G281" s="63">
        <v>8</v>
      </c>
      <c r="H281" s="63">
        <v>5</v>
      </c>
      <c r="I281" s="303">
        <v>45</v>
      </c>
      <c r="J281" s="727"/>
      <c r="K281" s="728"/>
      <c r="L281" s="729"/>
      <c r="R281"/>
      <c r="S281"/>
    </row>
    <row r="282" spans="1:19" ht="45">
      <c r="A282" s="396" t="s">
        <v>404</v>
      </c>
      <c r="B282" s="63">
        <v>3</v>
      </c>
      <c r="C282" s="63">
        <v>8</v>
      </c>
      <c r="D282" s="303">
        <v>35</v>
      </c>
      <c r="E282" s="85">
        <f t="shared" si="37"/>
        <v>4.2225826668958426</v>
      </c>
      <c r="F282" s="85">
        <f t="shared" si="36"/>
        <v>3.5986908599833538</v>
      </c>
      <c r="G282" s="63">
        <v>12</v>
      </c>
      <c r="H282" s="63">
        <v>5</v>
      </c>
      <c r="I282" s="303">
        <v>45</v>
      </c>
      <c r="J282" s="727"/>
      <c r="K282" s="728"/>
      <c r="L282" s="729"/>
      <c r="R282"/>
      <c r="S282"/>
    </row>
    <row r="283" spans="1:19" ht="45">
      <c r="A283" s="396" t="s">
        <v>405</v>
      </c>
      <c r="B283" s="63">
        <v>3</v>
      </c>
      <c r="C283" s="63">
        <v>8</v>
      </c>
      <c r="D283" s="303">
        <v>35</v>
      </c>
      <c r="E283" s="85">
        <f t="shared" si="37"/>
        <v>4.2225826668958426</v>
      </c>
      <c r="F283" s="85">
        <f t="shared" si="36"/>
        <v>3.5986908599833538</v>
      </c>
      <c r="G283" s="63">
        <v>16</v>
      </c>
      <c r="H283" s="63">
        <v>5</v>
      </c>
      <c r="I283" s="303">
        <v>45</v>
      </c>
      <c r="J283" s="727"/>
      <c r="K283" s="728"/>
      <c r="L283" s="729"/>
      <c r="R283"/>
      <c r="S283"/>
    </row>
    <row r="284" spans="1:19" ht="45.75" thickBot="1">
      <c r="A284" s="438" t="s">
        <v>406</v>
      </c>
      <c r="B284" s="476">
        <v>3</v>
      </c>
      <c r="C284" s="476">
        <v>8</v>
      </c>
      <c r="D284" s="477">
        <v>35</v>
      </c>
      <c r="E284" s="478">
        <f t="shared" si="37"/>
        <v>4.2225826668958426</v>
      </c>
      <c r="F284" s="478">
        <f t="shared" si="36"/>
        <v>3.5986908599833538</v>
      </c>
      <c r="G284" s="476">
        <v>20</v>
      </c>
      <c r="H284" s="476">
        <v>5</v>
      </c>
      <c r="I284" s="477">
        <v>45</v>
      </c>
      <c r="J284" s="744"/>
      <c r="K284" s="745"/>
      <c r="L284" s="746"/>
      <c r="R284"/>
      <c r="S284"/>
    </row>
    <row r="285" spans="1:19" ht="45.75" thickTop="1">
      <c r="A285" s="411" t="s">
        <v>407</v>
      </c>
      <c r="B285" s="451">
        <v>1</v>
      </c>
      <c r="C285" s="451">
        <v>5</v>
      </c>
      <c r="D285" s="452">
        <v>35</v>
      </c>
      <c r="E285" s="488">
        <f>($E$231*0.52*SQRT($C285)*D285^0.9*$B$198^0.8)/1000</f>
        <v>1.0014734126804203</v>
      </c>
      <c r="F285" s="453">
        <f>MIN($B$49*$D285*$B$48/1000,(2.3*SQRT($B$47*$B$49*$B$48))/1000+(E285/4),$B$49*$D285*$B$48*(SQRT(2+4*$B$47/($B$49*$D285^2*$B$48))-1)/1000+E285/4)</f>
        <v>1.5900016465162135</v>
      </c>
      <c r="G285" s="451">
        <v>2</v>
      </c>
      <c r="H285" s="451">
        <v>5</v>
      </c>
      <c r="I285" s="452">
        <v>45</v>
      </c>
      <c r="J285" s="453">
        <f>(0.3*0.52*SQRT($H285)*I285^0.9*$B$46^0.8)/1000</f>
        <v>1.2556524446697936</v>
      </c>
      <c r="K285" s="453">
        <f>MIN($C$49*$I285*$C$48/1000,(2.3*SQRT($C$47*$C$49*$C$48))/1000+(J285/4),$C$49*$I285*$C$49*(SQRT(2+4*$C$47/($C$49*$I285^2*$C$48))-1)/1000+J285/4)</f>
        <v>1.269083851917667</v>
      </c>
      <c r="L285" s="453">
        <f>B285*F285+G285*K285</f>
        <v>4.1281693503515475</v>
      </c>
      <c r="R285"/>
      <c r="S285"/>
    </row>
    <row r="286" spans="1:19" ht="45">
      <c r="A286" s="411" t="s">
        <v>408</v>
      </c>
      <c r="B286" s="304">
        <v>1</v>
      </c>
      <c r="C286" s="304">
        <v>5</v>
      </c>
      <c r="D286" s="407">
        <v>35</v>
      </c>
      <c r="E286" s="85">
        <f>($E$231*0.52*SQRT($C286)*D286^0.9*$B$198^0.8)/1000</f>
        <v>1.0014734126804203</v>
      </c>
      <c r="F286" s="447">
        <f>MIN($B$49*$D286*$B$48/1000,(2.3*SQRT($B$47*$B$49*$B$48))/1000+(E286/4),$B$49*$D286*$B$48*(SQRT(2+4*$B$47/($B$49*$D286^2*$B$48))-1)/1000+E286/4)</f>
        <v>1.5900016465162135</v>
      </c>
      <c r="G286" s="304">
        <v>2</v>
      </c>
      <c r="H286" s="304">
        <v>5</v>
      </c>
      <c r="I286" s="407">
        <v>45</v>
      </c>
      <c r="J286" s="447">
        <f>(0.3*0.52*SQRT($H286)*I286^0.9*$B$46^0.8)/1000</f>
        <v>1.2556524446697936</v>
      </c>
      <c r="K286" s="447">
        <f>MIN($C$49*$I286*$C$48/1000,(2.3*SQRT($C$47*$C$49*$C$48))/1000+(J286/4),$C$49*$I286*$C$49*(SQRT(2+4*$C$47/($C$49*$I286^2*$C$48))-1)/1000+J286/4)</f>
        <v>1.269083851917667</v>
      </c>
      <c r="L286" s="447">
        <f>B286*F286+G286*K286</f>
        <v>4.1281693503515475</v>
      </c>
      <c r="N286" t="s">
        <v>171</v>
      </c>
      <c r="O286" t="s">
        <v>172</v>
      </c>
      <c r="P286" s="2" t="s">
        <v>173</v>
      </c>
      <c r="Q286" s="2" t="s">
        <v>174</v>
      </c>
      <c r="R286"/>
      <c r="S286"/>
    </row>
    <row r="287" spans="1:19">
      <c r="A287" s="3"/>
      <c r="N287" t="s">
        <v>186</v>
      </c>
      <c r="O287" t="s">
        <v>186</v>
      </c>
      <c r="P287" s="2" t="s">
        <v>187</v>
      </c>
      <c r="Q287" s="2" t="s">
        <v>187</v>
      </c>
      <c r="R287"/>
      <c r="S287"/>
    </row>
    <row r="288" spans="1:19">
      <c r="A288" s="3"/>
      <c r="N288" t="s">
        <v>175</v>
      </c>
      <c r="O288" t="s">
        <v>176</v>
      </c>
      <c r="P288" t="s">
        <v>177</v>
      </c>
      <c r="Q288" t="s">
        <v>178</v>
      </c>
      <c r="R288"/>
      <c r="S288"/>
    </row>
    <row r="289" spans="1:19" ht="18">
      <c r="A289" s="4" t="s">
        <v>2</v>
      </c>
      <c r="B289" s="5" t="s">
        <v>185</v>
      </c>
      <c r="C289" s="5" t="s">
        <v>188</v>
      </c>
      <c r="D289" s="5" t="s">
        <v>154</v>
      </c>
      <c r="E289" s="5" t="s">
        <v>159</v>
      </c>
      <c r="F289" s="5" t="s">
        <v>179</v>
      </c>
      <c r="G289" s="5" t="s">
        <v>160</v>
      </c>
      <c r="H289" s="5" t="s">
        <v>161</v>
      </c>
      <c r="I289" s="5" t="s">
        <v>189</v>
      </c>
      <c r="J289" s="5" t="s">
        <v>184</v>
      </c>
      <c r="K289" s="5" t="s">
        <v>190</v>
      </c>
      <c r="N289" s="5" t="s">
        <v>181</v>
      </c>
      <c r="O289" s="5" t="s">
        <v>184</v>
      </c>
      <c r="P289" s="5" t="s">
        <v>184</v>
      </c>
      <c r="Q289" s="5" t="s">
        <v>184</v>
      </c>
      <c r="R289"/>
      <c r="S289"/>
    </row>
    <row r="290" spans="1:19">
      <c r="A290" s="8"/>
      <c r="B290" s="62" t="s">
        <v>17</v>
      </c>
      <c r="C290" s="9" t="s">
        <v>17</v>
      </c>
      <c r="D290" s="9" t="s">
        <v>19</v>
      </c>
      <c r="E290" s="9" t="s">
        <v>78</v>
      </c>
      <c r="F290" s="9" t="s">
        <v>78</v>
      </c>
      <c r="G290" s="9" t="s">
        <v>78</v>
      </c>
      <c r="H290" s="9" t="s">
        <v>18</v>
      </c>
      <c r="I290" s="9" t="s">
        <v>17</v>
      </c>
      <c r="J290" s="9" t="s">
        <v>18</v>
      </c>
      <c r="K290" s="9" t="s">
        <v>17</v>
      </c>
      <c r="N290" s="9" t="s">
        <v>18</v>
      </c>
      <c r="O290" s="9" t="s">
        <v>18</v>
      </c>
      <c r="P290" s="9" t="s">
        <v>18</v>
      </c>
      <c r="Q290" s="9" t="s">
        <v>18</v>
      </c>
      <c r="R290"/>
      <c r="S290"/>
    </row>
    <row r="291" spans="1:19" ht="46.15" customHeight="1">
      <c r="A291" s="396" t="s">
        <v>385</v>
      </c>
      <c r="B291" s="699" t="s">
        <v>170</v>
      </c>
      <c r="C291" s="700"/>
      <c r="D291" s="397">
        <v>2.8</v>
      </c>
      <c r="E291" s="398">
        <v>29</v>
      </c>
      <c r="F291" s="432">
        <v>43</v>
      </c>
      <c r="G291" s="85">
        <v>7.28</v>
      </c>
      <c r="H291" s="433">
        <v>0</v>
      </c>
      <c r="I291" s="308">
        <f t="shared" ref="I291:I312" si="38">$F263/SQRT((1/$D291+H291/$E291)^2+(H291/$F291)^2+(F263/(G291*E263))^2)</f>
        <v>9.5750598206072546</v>
      </c>
      <c r="J291" s="433">
        <v>73</v>
      </c>
      <c r="K291" s="303">
        <f t="shared" ref="K291:K312" si="39">$F263/SQRT((1/$D291+J291/$E291)^2+(J291/$F291)^2+(F263/(G291*E263))^2)</f>
        <v>1.0773418837428164</v>
      </c>
      <c r="N291" s="152">
        <v>73</v>
      </c>
      <c r="O291" s="152">
        <f>21+10+16+36/2</f>
        <v>65</v>
      </c>
      <c r="P291" s="152">
        <f>21+10+19+16/2</f>
        <v>58</v>
      </c>
      <c r="Q291" s="152">
        <f>21+10+19+52/2</f>
        <v>76</v>
      </c>
      <c r="R291"/>
      <c r="S291"/>
    </row>
    <row r="292" spans="1:19" ht="45">
      <c r="A292" s="396" t="s">
        <v>386</v>
      </c>
      <c r="B292" s="701"/>
      <c r="C292" s="702"/>
      <c r="D292" s="397">
        <v>3.8</v>
      </c>
      <c r="E292" s="398">
        <v>42</v>
      </c>
      <c r="F292" s="432">
        <v>81</v>
      </c>
      <c r="G292" s="85">
        <v>8.61</v>
      </c>
      <c r="H292" s="433">
        <v>0</v>
      </c>
      <c r="I292" s="308">
        <f t="shared" si="38"/>
        <v>12.799531425496344</v>
      </c>
      <c r="J292" s="433">
        <v>83</v>
      </c>
      <c r="K292" s="303">
        <f t="shared" si="39"/>
        <v>1.4601258847978573</v>
      </c>
      <c r="N292" s="152">
        <v>83</v>
      </c>
      <c r="O292" s="152">
        <f>31+10+16+36/2</f>
        <v>75</v>
      </c>
      <c r="P292" s="152">
        <f>31+10+19+16/2</f>
        <v>68</v>
      </c>
      <c r="Q292" s="152">
        <f>31+10+19+52/2</f>
        <v>86</v>
      </c>
      <c r="R292"/>
      <c r="S292"/>
    </row>
    <row r="293" spans="1:19" ht="45">
      <c r="A293" s="396" t="s">
        <v>387</v>
      </c>
      <c r="B293" s="701"/>
      <c r="C293" s="702"/>
      <c r="D293" s="397">
        <v>5.6</v>
      </c>
      <c r="E293" s="398">
        <v>72</v>
      </c>
      <c r="F293" s="432">
        <v>212</v>
      </c>
      <c r="G293" s="85">
        <v>14.6</v>
      </c>
      <c r="H293" s="433">
        <v>0</v>
      </c>
      <c r="I293" s="308">
        <f t="shared" si="38"/>
        <v>19.155204983288076</v>
      </c>
      <c r="J293" s="433">
        <v>93</v>
      </c>
      <c r="K293" s="303">
        <f t="shared" si="39"/>
        <v>2.343816325561825</v>
      </c>
      <c r="N293" s="152">
        <v>93</v>
      </c>
      <c r="O293" s="152">
        <f>41+10+16+36/2</f>
        <v>85</v>
      </c>
      <c r="P293" s="152">
        <f>41+10+19+16/2</f>
        <v>78</v>
      </c>
      <c r="Q293" s="152">
        <f>41+10+19+52/2</f>
        <v>96</v>
      </c>
      <c r="R293"/>
      <c r="S293"/>
    </row>
    <row r="294" spans="1:19" ht="45">
      <c r="A294" s="396" t="s">
        <v>388</v>
      </c>
      <c r="B294" s="701"/>
      <c r="C294" s="702"/>
      <c r="D294" s="397">
        <v>7.3</v>
      </c>
      <c r="E294" s="398">
        <v>109</v>
      </c>
      <c r="F294" s="432">
        <v>433</v>
      </c>
      <c r="G294" s="85">
        <v>20.5</v>
      </c>
      <c r="H294" s="433">
        <v>0</v>
      </c>
      <c r="I294" s="308">
        <f t="shared" si="38"/>
        <v>25.138289776898255</v>
      </c>
      <c r="J294" s="433">
        <v>103</v>
      </c>
      <c r="K294" s="303">
        <f t="shared" si="39"/>
        <v>3.2462715282357855</v>
      </c>
      <c r="N294" s="152">
        <v>103</v>
      </c>
      <c r="O294" s="152">
        <f>51+10+16+36/2</f>
        <v>95</v>
      </c>
      <c r="P294" s="152">
        <f>51+10+19+16/2</f>
        <v>88</v>
      </c>
      <c r="Q294" s="152">
        <f>51+10+19+52/2</f>
        <v>106</v>
      </c>
      <c r="R294"/>
      <c r="S294"/>
    </row>
    <row r="295" spans="1:19" ht="45">
      <c r="A295" s="396" t="s">
        <v>389</v>
      </c>
      <c r="B295" s="701"/>
      <c r="C295" s="702"/>
      <c r="D295" s="397">
        <v>9.1</v>
      </c>
      <c r="E295" s="398">
        <v>154</v>
      </c>
      <c r="F295" s="432">
        <v>767</v>
      </c>
      <c r="G295" s="85">
        <v>26.4</v>
      </c>
      <c r="H295" s="433">
        <v>0</v>
      </c>
      <c r="I295" s="308">
        <f t="shared" si="38"/>
        <v>31.420360726476584</v>
      </c>
      <c r="J295" s="433">
        <v>113</v>
      </c>
      <c r="K295" s="303">
        <f t="shared" si="39"/>
        <v>4.1990167926003492</v>
      </c>
      <c r="N295" s="152">
        <v>113</v>
      </c>
      <c r="O295" s="152">
        <f>61+10+16+36/2</f>
        <v>105</v>
      </c>
      <c r="P295" s="152">
        <f>61+10+19+16/2</f>
        <v>98</v>
      </c>
      <c r="Q295" s="152">
        <f>61+10+19+52/2</f>
        <v>116</v>
      </c>
      <c r="R295"/>
      <c r="S295"/>
    </row>
    <row r="296" spans="1:19" ht="45">
      <c r="A296" s="396" t="s">
        <v>390</v>
      </c>
      <c r="B296" s="701"/>
      <c r="C296" s="702"/>
      <c r="D296" s="397">
        <v>10.9</v>
      </c>
      <c r="E296" s="398">
        <v>208</v>
      </c>
      <c r="F296" s="432">
        <v>1241</v>
      </c>
      <c r="G296" s="85">
        <v>32.4</v>
      </c>
      <c r="H296" s="433">
        <v>0</v>
      </c>
      <c r="I296" s="308">
        <f t="shared" si="38"/>
        <v>37.706512457973133</v>
      </c>
      <c r="J296" s="433">
        <v>123</v>
      </c>
      <c r="K296" s="303">
        <f t="shared" si="39"/>
        <v>5.2098813632303296</v>
      </c>
      <c r="N296" s="152">
        <v>123</v>
      </c>
      <c r="O296" s="152">
        <f>71+10+16+36/2</f>
        <v>115</v>
      </c>
      <c r="P296" s="152">
        <f>71+10+19+16/2</f>
        <v>108</v>
      </c>
      <c r="Q296" s="152">
        <f>71+10+19+52/2</f>
        <v>126</v>
      </c>
    </row>
    <row r="297" spans="1:19" ht="45">
      <c r="A297" s="396" t="s">
        <v>391</v>
      </c>
      <c r="B297" s="701"/>
      <c r="C297" s="702"/>
      <c r="D297" s="397">
        <v>6.6</v>
      </c>
      <c r="E297" s="398">
        <v>182</v>
      </c>
      <c r="F297" s="432">
        <v>1140</v>
      </c>
      <c r="G297" s="85">
        <v>15.9</v>
      </c>
      <c r="H297" s="433">
        <v>0</v>
      </c>
      <c r="I297" s="308">
        <f t="shared" si="38"/>
        <v>22.391516755529722</v>
      </c>
      <c r="J297" s="433">
        <v>118</v>
      </c>
      <c r="K297" s="303">
        <f t="shared" si="39"/>
        <v>4.4520867950019305</v>
      </c>
      <c r="N297" s="152">
        <v>118</v>
      </c>
      <c r="O297" s="152">
        <f>66+10+16+36/2</f>
        <v>110</v>
      </c>
      <c r="P297" s="152">
        <f>66+10+19+16/2</f>
        <v>103</v>
      </c>
      <c r="Q297" s="152">
        <f>66+10+19+52/2</f>
        <v>121</v>
      </c>
    </row>
    <row r="298" spans="1:19" ht="45">
      <c r="A298" s="396" t="s">
        <v>392</v>
      </c>
      <c r="B298" s="701"/>
      <c r="C298" s="702"/>
      <c r="D298" s="397">
        <v>10.1</v>
      </c>
      <c r="E298" s="398">
        <v>319</v>
      </c>
      <c r="F298" s="432">
        <v>2603</v>
      </c>
      <c r="G298" s="85">
        <v>27.8</v>
      </c>
      <c r="H298" s="433">
        <v>0</v>
      </c>
      <c r="I298" s="308">
        <f t="shared" si="38"/>
        <v>34.720522818787899</v>
      </c>
      <c r="J298" s="433">
        <v>139</v>
      </c>
      <c r="K298" s="303">
        <f t="shared" si="39"/>
        <v>6.6855380114436862</v>
      </c>
      <c r="N298" s="152">
        <v>139</v>
      </c>
      <c r="O298" s="152">
        <f>87+10+16+36/2</f>
        <v>131</v>
      </c>
      <c r="P298" s="152">
        <f>87+10+19+16/2</f>
        <v>124</v>
      </c>
      <c r="Q298" s="152">
        <f>87+10+19+52/2</f>
        <v>142</v>
      </c>
    </row>
    <row r="299" spans="1:19" ht="45">
      <c r="A299" s="396" t="s">
        <v>393</v>
      </c>
      <c r="B299" s="701"/>
      <c r="C299" s="702"/>
      <c r="D299" s="397">
        <v>13.7</v>
      </c>
      <c r="E299" s="398">
        <v>486</v>
      </c>
      <c r="F299" s="432">
        <v>4918</v>
      </c>
      <c r="G299" s="85">
        <v>39.700000000000003</v>
      </c>
      <c r="H299" s="433">
        <v>0</v>
      </c>
      <c r="I299" s="308">
        <f t="shared" si="38"/>
        <v>47.298913774104406</v>
      </c>
      <c r="J299" s="433">
        <v>162</v>
      </c>
      <c r="K299" s="303">
        <f t="shared" si="39"/>
        <v>8.8154832035508512</v>
      </c>
      <c r="N299" s="154">
        <v>162</v>
      </c>
      <c r="O299" s="154">
        <f>110+10+16+36/2</f>
        <v>154</v>
      </c>
      <c r="P299" s="154">
        <f>110+10+19+16/2</f>
        <v>147</v>
      </c>
      <c r="Q299" s="154">
        <f>110+10+19+52/2</f>
        <v>165</v>
      </c>
    </row>
    <row r="300" spans="1:19" ht="45">
      <c r="A300" s="396" t="s">
        <v>394</v>
      </c>
      <c r="B300" s="701"/>
      <c r="C300" s="702"/>
      <c r="D300" s="397">
        <v>13.7</v>
      </c>
      <c r="E300" s="398">
        <v>486</v>
      </c>
      <c r="F300" s="432">
        <v>4918</v>
      </c>
      <c r="G300" s="85">
        <v>39.700000000000003</v>
      </c>
      <c r="H300" s="433">
        <v>0</v>
      </c>
      <c r="I300" s="308">
        <f t="shared" si="38"/>
        <v>47.298913774104406</v>
      </c>
      <c r="J300" s="433">
        <v>182.5</v>
      </c>
      <c r="K300" s="303">
        <f t="shared" si="39"/>
        <v>7.9873047380207698</v>
      </c>
      <c r="N300" s="154">
        <f>53/2+16+10+130</f>
        <v>182.5</v>
      </c>
      <c r="O300" s="154">
        <f>36/2+16+10+130</f>
        <v>174</v>
      </c>
      <c r="P300" s="154">
        <f>16/2+19+10+130</f>
        <v>167</v>
      </c>
      <c r="Q300" s="154">
        <f>52/2+19+10+130</f>
        <v>185</v>
      </c>
    </row>
    <row r="301" spans="1:19" ht="45.75" thickBot="1">
      <c r="A301" s="438" t="s">
        <v>395</v>
      </c>
      <c r="B301" s="756"/>
      <c r="C301" s="757"/>
      <c r="D301" s="441">
        <v>13.7</v>
      </c>
      <c r="E301" s="442">
        <v>486</v>
      </c>
      <c r="F301" s="482">
        <v>4918</v>
      </c>
      <c r="G301" s="478">
        <v>39.700000000000003</v>
      </c>
      <c r="H301" s="483">
        <v>0</v>
      </c>
      <c r="I301" s="493">
        <f t="shared" si="38"/>
        <v>47.298913774104406</v>
      </c>
      <c r="J301" s="483">
        <v>202.5</v>
      </c>
      <c r="K301" s="477">
        <f t="shared" si="39"/>
        <v>7.3165504773545376</v>
      </c>
      <c r="N301" s="154">
        <f>53/2+16+10+150</f>
        <v>202.5</v>
      </c>
      <c r="O301" s="154">
        <f>36/2+16+10+150</f>
        <v>194</v>
      </c>
      <c r="P301" s="154">
        <f>16/2+19+10+150</f>
        <v>187</v>
      </c>
      <c r="Q301" s="154">
        <f>52/2+19+10+150</f>
        <v>205</v>
      </c>
    </row>
    <row r="302" spans="1:19" ht="43.9" customHeight="1" thickTop="1">
      <c r="A302" s="411" t="s">
        <v>396</v>
      </c>
      <c r="B302" s="742" t="s">
        <v>170</v>
      </c>
      <c r="C302" s="743"/>
      <c r="D302" s="412">
        <v>2.8</v>
      </c>
      <c r="E302" s="413">
        <v>26</v>
      </c>
      <c r="F302" s="485">
        <v>51</v>
      </c>
      <c r="G302" s="488">
        <v>5.46</v>
      </c>
      <c r="H302" s="486">
        <v>0</v>
      </c>
      <c r="I302" s="494">
        <f t="shared" si="38"/>
        <v>9.2330305421811047</v>
      </c>
      <c r="J302" s="486">
        <v>0</v>
      </c>
      <c r="K302" s="420">
        <f t="shared" si="39"/>
        <v>9.2330305421811047</v>
      </c>
    </row>
    <row r="303" spans="1:19" ht="45">
      <c r="A303" s="396" t="s">
        <v>397</v>
      </c>
      <c r="B303" s="701"/>
      <c r="C303" s="702"/>
      <c r="D303" s="397">
        <v>3.8</v>
      </c>
      <c r="E303" s="398">
        <v>46</v>
      </c>
      <c r="F303" s="432">
        <v>131</v>
      </c>
      <c r="G303" s="85">
        <v>6.44</v>
      </c>
      <c r="H303" s="433">
        <v>0</v>
      </c>
      <c r="I303" s="308">
        <f t="shared" si="38"/>
        <v>12.217209267647137</v>
      </c>
      <c r="J303" s="433">
        <v>0</v>
      </c>
      <c r="K303" s="303">
        <f t="shared" si="39"/>
        <v>12.217209267647137</v>
      </c>
    </row>
    <row r="304" spans="1:19" ht="45">
      <c r="A304" s="396" t="s">
        <v>398</v>
      </c>
      <c r="B304" s="701"/>
      <c r="C304" s="702"/>
      <c r="D304" s="397">
        <v>5.6</v>
      </c>
      <c r="E304" s="398">
        <v>74</v>
      </c>
      <c r="F304" s="432">
        <v>307</v>
      </c>
      <c r="G304" s="85">
        <v>10.9</v>
      </c>
      <c r="H304" s="433">
        <v>0</v>
      </c>
      <c r="I304" s="308">
        <f t="shared" si="38"/>
        <v>18.460624437427914</v>
      </c>
      <c r="J304" s="433">
        <v>0</v>
      </c>
      <c r="K304" s="303">
        <f t="shared" si="39"/>
        <v>18.460624437427914</v>
      </c>
      <c r="N304" s="437"/>
      <c r="O304" s="437"/>
      <c r="P304" s="437"/>
      <c r="Q304" s="437"/>
    </row>
    <row r="305" spans="1:23" ht="45">
      <c r="A305" s="396" t="s">
        <v>399</v>
      </c>
      <c r="B305" s="701"/>
      <c r="C305" s="702"/>
      <c r="D305" s="397">
        <v>7.3</v>
      </c>
      <c r="E305" s="398">
        <v>110</v>
      </c>
      <c r="F305" s="432">
        <v>595</v>
      </c>
      <c r="G305" s="85">
        <v>15.4</v>
      </c>
      <c r="H305" s="433">
        <v>0</v>
      </c>
      <c r="I305" s="308">
        <f t="shared" si="38"/>
        <v>24.357853816270559</v>
      </c>
      <c r="J305" s="433">
        <v>0</v>
      </c>
      <c r="K305" s="303">
        <f t="shared" si="39"/>
        <v>24.357853816270559</v>
      </c>
      <c r="N305" s="437"/>
      <c r="O305" s="437"/>
      <c r="P305" s="437"/>
      <c r="Q305" s="437"/>
    </row>
    <row r="306" spans="1:23" ht="45">
      <c r="A306" s="396" t="s">
        <v>400</v>
      </c>
      <c r="B306" s="701"/>
      <c r="C306" s="702"/>
      <c r="D306" s="397">
        <v>9.1</v>
      </c>
      <c r="E306" s="398">
        <v>153</v>
      </c>
      <c r="F306" s="432">
        <v>1025</v>
      </c>
      <c r="G306" s="85">
        <v>19.899999999999999</v>
      </c>
      <c r="H306" s="433">
        <v>0</v>
      </c>
      <c r="I306" s="308">
        <f t="shared" si="38"/>
        <v>30.512776920174119</v>
      </c>
      <c r="J306" s="433">
        <v>0</v>
      </c>
      <c r="K306" s="303">
        <f t="shared" si="39"/>
        <v>30.512776920174119</v>
      </c>
      <c r="N306" s="437"/>
      <c r="O306" s="437"/>
      <c r="P306" s="437"/>
      <c r="Q306" s="437"/>
    </row>
    <row r="307" spans="1:23" ht="45">
      <c r="A307" s="396" t="s">
        <v>401</v>
      </c>
      <c r="B307" s="701"/>
      <c r="C307" s="702"/>
      <c r="D307" s="397">
        <v>10.9</v>
      </c>
      <c r="E307" s="398">
        <v>205</v>
      </c>
      <c r="F307" s="432">
        <v>1629</v>
      </c>
      <c r="G307" s="85">
        <v>24.4</v>
      </c>
      <c r="H307" s="433">
        <v>0</v>
      </c>
      <c r="I307" s="308">
        <f t="shared" si="38"/>
        <v>36.658825363232978</v>
      </c>
      <c r="J307" s="433">
        <v>0</v>
      </c>
      <c r="K307" s="303">
        <f t="shared" si="39"/>
        <v>36.658825363232978</v>
      </c>
      <c r="N307" s="437"/>
      <c r="O307" s="437"/>
      <c r="P307" s="437"/>
      <c r="Q307" s="437"/>
    </row>
    <row r="308" spans="1:23" ht="45">
      <c r="A308" s="396" t="s">
        <v>402</v>
      </c>
      <c r="B308" s="701"/>
      <c r="C308" s="702"/>
      <c r="D308" s="397">
        <v>6.6</v>
      </c>
      <c r="E308" s="398">
        <v>181</v>
      </c>
      <c r="F308" s="432">
        <v>1414</v>
      </c>
      <c r="G308" s="85">
        <v>11.9</v>
      </c>
      <c r="H308" s="433">
        <v>0</v>
      </c>
      <c r="I308" s="308">
        <f t="shared" si="38"/>
        <v>21.473372743639604</v>
      </c>
      <c r="J308" s="433">
        <v>0</v>
      </c>
      <c r="K308" s="303">
        <f t="shared" si="39"/>
        <v>21.473372743639604</v>
      </c>
      <c r="N308" s="437"/>
      <c r="O308" s="437"/>
      <c r="P308" s="437"/>
      <c r="Q308" s="437"/>
    </row>
    <row r="309" spans="1:23" ht="45">
      <c r="A309" s="396" t="s">
        <v>403</v>
      </c>
      <c r="B309" s="701"/>
      <c r="C309" s="702"/>
      <c r="D309" s="397">
        <v>10.1</v>
      </c>
      <c r="E309" s="398">
        <v>317</v>
      </c>
      <c r="F309" s="432">
        <v>3232</v>
      </c>
      <c r="G309" s="85">
        <v>20.9</v>
      </c>
      <c r="H309" s="433">
        <v>0</v>
      </c>
      <c r="I309" s="308">
        <f t="shared" si="38"/>
        <v>33.608033043901308</v>
      </c>
      <c r="J309" s="433">
        <v>0</v>
      </c>
      <c r="K309" s="303">
        <f t="shared" si="39"/>
        <v>33.608033043901308</v>
      </c>
      <c r="N309" s="437"/>
      <c r="O309" s="437"/>
      <c r="P309" s="437"/>
      <c r="Q309" s="437"/>
    </row>
    <row r="310" spans="1:23" ht="45">
      <c r="A310" s="396" t="s">
        <v>404</v>
      </c>
      <c r="B310" s="701"/>
      <c r="C310" s="702"/>
      <c r="D310" s="397">
        <v>13.7</v>
      </c>
      <c r="E310" s="398">
        <v>483</v>
      </c>
      <c r="F310" s="432">
        <v>6114</v>
      </c>
      <c r="G310" s="85">
        <v>29.8</v>
      </c>
      <c r="H310" s="433">
        <v>0</v>
      </c>
      <c r="I310" s="308">
        <f t="shared" si="38"/>
        <v>45.904378693838133</v>
      </c>
      <c r="J310" s="433">
        <v>0</v>
      </c>
      <c r="K310" s="303">
        <f t="shared" si="39"/>
        <v>45.904378693838133</v>
      </c>
      <c r="N310" s="437"/>
      <c r="O310" s="437"/>
      <c r="P310" s="437"/>
      <c r="Q310" s="437"/>
    </row>
    <row r="311" spans="1:23" ht="45">
      <c r="A311" s="396" t="s">
        <v>405</v>
      </c>
      <c r="B311" s="701"/>
      <c r="C311" s="702"/>
      <c r="D311" s="397">
        <v>13.7</v>
      </c>
      <c r="E311" s="398">
        <v>483</v>
      </c>
      <c r="F311" s="432">
        <v>6114</v>
      </c>
      <c r="G311" s="85">
        <v>29.8</v>
      </c>
      <c r="H311" s="433">
        <v>0</v>
      </c>
      <c r="I311" s="308">
        <f t="shared" si="38"/>
        <v>45.904378693838133</v>
      </c>
      <c r="J311" s="433">
        <v>0</v>
      </c>
      <c r="K311" s="303">
        <f t="shared" si="39"/>
        <v>45.904378693838133</v>
      </c>
      <c r="N311" s="437"/>
      <c r="O311" s="437"/>
      <c r="P311" s="437"/>
      <c r="Q311" s="437"/>
    </row>
    <row r="312" spans="1:23" ht="45.75" thickBot="1">
      <c r="A312" s="438" t="s">
        <v>406</v>
      </c>
      <c r="B312" s="701"/>
      <c r="C312" s="702"/>
      <c r="D312" s="441">
        <v>13.7</v>
      </c>
      <c r="E312" s="442">
        <v>483</v>
      </c>
      <c r="F312" s="482">
        <v>6114</v>
      </c>
      <c r="G312" s="478">
        <v>29.8</v>
      </c>
      <c r="H312" s="483">
        <v>0</v>
      </c>
      <c r="I312" s="493">
        <f t="shared" si="38"/>
        <v>45.904378693838133</v>
      </c>
      <c r="J312" s="483">
        <v>0</v>
      </c>
      <c r="K312" s="477">
        <f t="shared" si="39"/>
        <v>45.904378693838133</v>
      </c>
      <c r="N312" s="437"/>
      <c r="O312" s="437"/>
      <c r="P312" s="437"/>
      <c r="Q312" s="437"/>
    </row>
    <row r="313" spans="1:23" ht="45.75" thickTop="1">
      <c r="A313" s="411" t="s">
        <v>407</v>
      </c>
      <c r="B313" s="701"/>
      <c r="C313" s="702"/>
      <c r="D313" s="412">
        <v>2.7</v>
      </c>
      <c r="E313" s="413">
        <v>23</v>
      </c>
      <c r="F313" s="485">
        <v>0</v>
      </c>
      <c r="G313" s="488">
        <v>1.1599999999999999</v>
      </c>
      <c r="H313" s="486">
        <v>0</v>
      </c>
      <c r="I313" s="494">
        <f>$F285/SQRT((1/$D313+H313/$E313)^2+(F285/(G313*E285))^2)</f>
        <v>1.1213768528916248</v>
      </c>
      <c r="J313" s="486">
        <v>0</v>
      </c>
      <c r="K313" s="420">
        <f>$F285/SQRT((1/$D313+J313/$E313)^2+(F285/(G313*E285))^2)</f>
        <v>1.1213768528916248</v>
      </c>
      <c r="N313" s="437"/>
      <c r="O313" s="437"/>
      <c r="P313" s="437"/>
      <c r="Q313" s="437"/>
    </row>
    <row r="314" spans="1:23" ht="45">
      <c r="A314" s="411" t="s">
        <v>408</v>
      </c>
      <c r="B314" s="701"/>
      <c r="C314" s="702"/>
      <c r="D314" s="397">
        <v>2.7</v>
      </c>
      <c r="E314" s="398">
        <v>25</v>
      </c>
      <c r="F314" s="432">
        <v>0</v>
      </c>
      <c r="G314" s="85">
        <v>1.1599999999999999</v>
      </c>
      <c r="H314" s="433">
        <v>0</v>
      </c>
      <c r="I314" s="308">
        <f>$F286/SQRT((1/$D314+H314/$E314)^2+(F286/(G314*E286))^2)</f>
        <v>1.1213768528916248</v>
      </c>
      <c r="J314" s="433">
        <v>0</v>
      </c>
      <c r="K314" s="303">
        <f>$F286/SQRT((1/$D314+J314/$E314)^2+(F286/(G314*E286))^2)</f>
        <v>1.1213768528916248</v>
      </c>
      <c r="N314" s="437"/>
      <c r="O314" s="437"/>
      <c r="P314" s="437"/>
      <c r="Q314" s="437"/>
    </row>
    <row r="315" spans="1:23">
      <c r="A315" s="3"/>
    </row>
    <row r="316" spans="1:23" ht="75">
      <c r="A316" s="3"/>
      <c r="B316" s="77"/>
      <c r="E316" s="156" t="s">
        <v>191</v>
      </c>
      <c r="H316" s="157" t="s">
        <v>192</v>
      </c>
      <c r="I316" s="157" t="s">
        <v>193</v>
      </c>
    </row>
    <row r="317" spans="1:23" ht="18">
      <c r="A317" s="4" t="s">
        <v>2</v>
      </c>
      <c r="B317" s="78" t="s">
        <v>158</v>
      </c>
      <c r="C317" s="78" t="s">
        <v>164</v>
      </c>
      <c r="D317" s="78" t="s">
        <v>162</v>
      </c>
      <c r="E317" s="79" t="s">
        <v>165</v>
      </c>
      <c r="F317" s="5" t="s">
        <v>182</v>
      </c>
      <c r="G317" s="5" t="s">
        <v>190</v>
      </c>
      <c r="H317" s="79" t="s">
        <v>195</v>
      </c>
      <c r="I317" s="79" t="s">
        <v>196</v>
      </c>
      <c r="K317" s="682" t="s">
        <v>166</v>
      </c>
      <c r="L317" s="683"/>
      <c r="M317" s="683"/>
      <c r="N317" s="683"/>
      <c r="O317" s="684"/>
      <c r="P317"/>
      <c r="Q317" s="682" t="s">
        <v>194</v>
      </c>
      <c r="R317" s="683"/>
      <c r="S317" s="683"/>
      <c r="T317" s="683"/>
      <c r="U317" s="684"/>
      <c r="V317" s="682" t="s">
        <v>199</v>
      </c>
      <c r="W317" s="684"/>
    </row>
    <row r="318" spans="1:23" ht="30">
      <c r="A318" s="8"/>
      <c r="B318" s="81" t="s">
        <v>17</v>
      </c>
      <c r="C318" s="82" t="s">
        <v>17</v>
      </c>
      <c r="D318" s="82" t="s">
        <v>17</v>
      </c>
      <c r="E318" s="83" t="s">
        <v>17</v>
      </c>
      <c r="F318" s="9" t="s">
        <v>17</v>
      </c>
      <c r="G318" s="9" t="s">
        <v>17</v>
      </c>
      <c r="H318" s="83" t="s">
        <v>17</v>
      </c>
      <c r="I318" s="83" t="s">
        <v>17</v>
      </c>
      <c r="K318" s="95">
        <v>0.6</v>
      </c>
      <c r="L318" s="95">
        <v>0.7</v>
      </c>
      <c r="M318" s="95">
        <v>0.8</v>
      </c>
      <c r="N318" s="95">
        <v>0.9</v>
      </c>
      <c r="O318" s="95">
        <v>1</v>
      </c>
      <c r="P318"/>
      <c r="Q318" s="95">
        <v>0.6</v>
      </c>
      <c r="R318" s="95">
        <v>0.7</v>
      </c>
      <c r="S318" s="95">
        <v>0.8</v>
      </c>
      <c r="T318" s="95">
        <v>0.9</v>
      </c>
      <c r="U318" s="95">
        <v>1</v>
      </c>
      <c r="V318" s="159" t="s">
        <v>200</v>
      </c>
      <c r="W318" s="159" t="s">
        <v>201</v>
      </c>
    </row>
    <row r="319" spans="1:23" ht="45">
      <c r="A319" s="396" t="s">
        <v>385</v>
      </c>
      <c r="B319" s="64">
        <f t="shared" ref="B319:B342" si="40">G235</f>
        <v>6.5399051307086493</v>
      </c>
      <c r="C319" s="64">
        <v>3</v>
      </c>
      <c r="D319" s="64">
        <f t="shared" ref="D319:D342" si="41">I291</f>
        <v>9.5750598206072546</v>
      </c>
      <c r="E319" s="141">
        <f t="shared" ref="E319:E342" si="42">MIN(B319,C319,D319)</f>
        <v>3</v>
      </c>
      <c r="F319" s="64">
        <f t="shared" ref="F319:F342" si="43">I235</f>
        <v>0.69966362556761941</v>
      </c>
      <c r="G319" s="64">
        <f t="shared" ref="G319:G342" si="44">K291</f>
        <v>1.0773418837428164</v>
      </c>
      <c r="H319" s="141">
        <f t="shared" ref="H319:H326" si="45">MIN(F319:G319,C319)</f>
        <v>0.69966362556761941</v>
      </c>
      <c r="I319" s="141">
        <f>H319+$B$203</f>
        <v>4.6996636255676192</v>
      </c>
      <c r="K319" s="88">
        <f t="shared" ref="K319:K342" si="46">MIN(K$318*$B319/$B$343,$C319/$C$343,K$318*$D319/$D$343)</f>
        <v>3</v>
      </c>
      <c r="L319" s="88">
        <f t="shared" ref="L319:O334" si="47">MIN(L$318*$B319/$B$343,$C319/$C$343,L$318*$D319/$D$343)</f>
        <v>3</v>
      </c>
      <c r="M319" s="88">
        <f t="shared" si="47"/>
        <v>3</v>
      </c>
      <c r="N319" s="88">
        <f t="shared" si="47"/>
        <v>3</v>
      </c>
      <c r="O319" s="88">
        <f t="shared" si="47"/>
        <v>3</v>
      </c>
      <c r="P319"/>
      <c r="Q319" s="88">
        <f t="shared" ref="Q319:U334" si="48">MIN(Q$318*$F319/1.3,$C319/1,Q$318*$G319/1.3)</f>
        <v>0.32292167333890126</v>
      </c>
      <c r="R319" s="88">
        <f t="shared" si="48"/>
        <v>0.37674195222871809</v>
      </c>
      <c r="S319" s="88">
        <f t="shared" si="48"/>
        <v>0.43056223111853503</v>
      </c>
      <c r="T319" s="88">
        <f t="shared" si="48"/>
        <v>0.48438251000835192</v>
      </c>
      <c r="U319" s="88">
        <f t="shared" si="48"/>
        <v>0.53820278889816875</v>
      </c>
      <c r="V319" s="498">
        <f>Q319*200/1.35</f>
        <v>47.840247902059446</v>
      </c>
      <c r="W319" s="498">
        <f>I319*0.6/1.3*200/1.35</f>
        <v>321.34452140633294</v>
      </c>
    </row>
    <row r="320" spans="1:23" ht="45">
      <c r="A320" s="396" t="s">
        <v>386</v>
      </c>
      <c r="B320" s="64">
        <f t="shared" si="40"/>
        <v>8.8755855345331689</v>
      </c>
      <c r="C320" s="64">
        <v>6</v>
      </c>
      <c r="D320" s="64">
        <f t="shared" si="41"/>
        <v>12.799531425496344</v>
      </c>
      <c r="E320" s="141">
        <f t="shared" si="42"/>
        <v>6</v>
      </c>
      <c r="F320" s="64">
        <f t="shared" si="43"/>
        <v>0.94843965605745983</v>
      </c>
      <c r="G320" s="64">
        <f t="shared" si="44"/>
        <v>1.4601258847978573</v>
      </c>
      <c r="H320" s="141">
        <f t="shared" si="45"/>
        <v>0.94843965605745983</v>
      </c>
      <c r="I320" s="141">
        <f t="shared" ref="I320:I326" si="49">H320+$B$203</f>
        <v>4.9484396560574595</v>
      </c>
      <c r="K320" s="88">
        <f t="shared" si="46"/>
        <v>4.0964240928614624</v>
      </c>
      <c r="L320" s="88">
        <f t="shared" si="47"/>
        <v>4.7791614416717056</v>
      </c>
      <c r="M320" s="88">
        <f t="shared" si="47"/>
        <v>5.4618987904819498</v>
      </c>
      <c r="N320" s="88">
        <f t="shared" si="47"/>
        <v>6</v>
      </c>
      <c r="O320" s="88">
        <f t="shared" si="47"/>
        <v>6</v>
      </c>
      <c r="P320"/>
      <c r="Q320" s="88">
        <f t="shared" si="48"/>
        <v>0.43774137971882759</v>
      </c>
      <c r="R320" s="88">
        <f t="shared" si="48"/>
        <v>0.51069827633863218</v>
      </c>
      <c r="S320" s="88">
        <f t="shared" si="48"/>
        <v>0.58365517295843683</v>
      </c>
      <c r="T320" s="88">
        <f t="shared" si="48"/>
        <v>0.65661206957824148</v>
      </c>
      <c r="U320" s="88">
        <f t="shared" si="48"/>
        <v>0.72956896619804601</v>
      </c>
      <c r="V320" s="498">
        <f t="shared" ref="V320:V329" si="50">Q320*200/1.35</f>
        <v>64.850574773159636</v>
      </c>
      <c r="W320" s="498">
        <f t="shared" ref="W320:W329" si="51">I320*0.6/1.3*200/1.35</f>
        <v>338.35484827743312</v>
      </c>
    </row>
    <row r="321" spans="1:23" ht="45">
      <c r="A321" s="396" t="s">
        <v>387</v>
      </c>
      <c r="B321" s="64">
        <f t="shared" si="40"/>
        <v>13.079810261417299</v>
      </c>
      <c r="C321" s="64">
        <v>7.5</v>
      </c>
      <c r="D321" s="64">
        <f t="shared" si="41"/>
        <v>19.155204983288076</v>
      </c>
      <c r="E321" s="141">
        <f t="shared" si="42"/>
        <v>7.5</v>
      </c>
      <c r="F321" s="64">
        <f t="shared" si="43"/>
        <v>1.5223220596940228</v>
      </c>
      <c r="G321" s="64">
        <f t="shared" si="44"/>
        <v>2.343816325561825</v>
      </c>
      <c r="H321" s="141">
        <f t="shared" si="45"/>
        <v>1.5223220596940228</v>
      </c>
      <c r="I321" s="141">
        <f t="shared" si="49"/>
        <v>5.522322059694023</v>
      </c>
      <c r="K321" s="88">
        <f t="shared" si="46"/>
        <v>6.0368355052695222</v>
      </c>
      <c r="L321" s="88">
        <f t="shared" si="47"/>
        <v>7.0429747561477765</v>
      </c>
      <c r="M321" s="88">
        <f t="shared" si="47"/>
        <v>7.5</v>
      </c>
      <c r="N321" s="88">
        <f t="shared" si="47"/>
        <v>7.5</v>
      </c>
      <c r="O321" s="88">
        <f t="shared" si="47"/>
        <v>7.5</v>
      </c>
      <c r="P321"/>
      <c r="Q321" s="88">
        <f t="shared" si="48"/>
        <v>0.70261018139724118</v>
      </c>
      <c r="R321" s="88">
        <f t="shared" si="48"/>
        <v>0.81971187829678149</v>
      </c>
      <c r="S321" s="88">
        <f t="shared" si="48"/>
        <v>0.9368135751963218</v>
      </c>
      <c r="T321" s="88">
        <f t="shared" si="48"/>
        <v>1.0539152720958618</v>
      </c>
      <c r="U321" s="88">
        <f t="shared" si="48"/>
        <v>1.1710169689954022</v>
      </c>
      <c r="V321" s="498">
        <f t="shared" si="50"/>
        <v>104.09039724403571</v>
      </c>
      <c r="W321" s="498">
        <f t="shared" si="51"/>
        <v>377.59467074830923</v>
      </c>
    </row>
    <row r="322" spans="1:23" ht="45">
      <c r="A322" s="396" t="s">
        <v>388</v>
      </c>
      <c r="B322" s="64">
        <f t="shared" si="40"/>
        <v>17.050466947918981</v>
      </c>
      <c r="C322" s="64">
        <v>9</v>
      </c>
      <c r="D322" s="64">
        <f t="shared" si="41"/>
        <v>25.138289776898255</v>
      </c>
      <c r="E322" s="141">
        <f t="shared" si="42"/>
        <v>9</v>
      </c>
      <c r="F322" s="64">
        <f t="shared" si="43"/>
        <v>2.1084306822776826</v>
      </c>
      <c r="G322" s="64">
        <f t="shared" si="44"/>
        <v>3.2462715282357855</v>
      </c>
      <c r="H322" s="141">
        <f t="shared" si="45"/>
        <v>2.1084306822776826</v>
      </c>
      <c r="I322" s="141">
        <f t="shared" si="49"/>
        <v>6.1084306822776826</v>
      </c>
      <c r="K322" s="88">
        <f t="shared" si="46"/>
        <v>7.8694462836549137</v>
      </c>
      <c r="L322" s="88">
        <f t="shared" si="47"/>
        <v>9</v>
      </c>
      <c r="M322" s="88">
        <f t="shared" si="47"/>
        <v>9</v>
      </c>
      <c r="N322" s="88">
        <f t="shared" si="47"/>
        <v>9</v>
      </c>
      <c r="O322" s="88">
        <f t="shared" si="47"/>
        <v>9</v>
      </c>
      <c r="P322"/>
      <c r="Q322" s="88">
        <f t="shared" si="48"/>
        <v>0.97312185335893031</v>
      </c>
      <c r="R322" s="88">
        <f t="shared" si="48"/>
        <v>1.1353088289187521</v>
      </c>
      <c r="S322" s="88">
        <f t="shared" si="48"/>
        <v>1.2974958044785738</v>
      </c>
      <c r="T322" s="88">
        <f t="shared" si="48"/>
        <v>1.4596827800383956</v>
      </c>
      <c r="U322" s="88">
        <f t="shared" si="48"/>
        <v>1.6218697555982173</v>
      </c>
      <c r="V322" s="498">
        <f t="shared" si="50"/>
        <v>144.16620049761929</v>
      </c>
      <c r="W322" s="498">
        <f t="shared" si="51"/>
        <v>417.67047400189279</v>
      </c>
    </row>
    <row r="323" spans="1:23" ht="45">
      <c r="A323" s="396" t="s">
        <v>389</v>
      </c>
      <c r="B323" s="64">
        <f t="shared" si="40"/>
        <v>21.254691674803112</v>
      </c>
      <c r="C323" s="64">
        <v>9</v>
      </c>
      <c r="D323" s="64">
        <f t="shared" si="41"/>
        <v>31.420360726476584</v>
      </c>
      <c r="E323" s="141">
        <f t="shared" si="42"/>
        <v>9</v>
      </c>
      <c r="F323" s="64">
        <f t="shared" si="43"/>
        <v>2.7272490675802317</v>
      </c>
      <c r="G323" s="64">
        <f t="shared" si="44"/>
        <v>4.1990167926003492</v>
      </c>
      <c r="H323" s="141">
        <f t="shared" si="45"/>
        <v>2.7272490675802317</v>
      </c>
      <c r="I323" s="141">
        <f t="shared" si="49"/>
        <v>6.7272490675802317</v>
      </c>
      <c r="K323" s="88">
        <f t="shared" si="46"/>
        <v>9</v>
      </c>
      <c r="L323" s="88">
        <f t="shared" si="47"/>
        <v>9</v>
      </c>
      <c r="M323" s="88">
        <f t="shared" si="47"/>
        <v>9</v>
      </c>
      <c r="N323" s="88">
        <f t="shared" si="47"/>
        <v>9</v>
      </c>
      <c r="O323" s="88">
        <f t="shared" si="47"/>
        <v>9</v>
      </c>
      <c r="P323"/>
      <c r="Q323" s="88">
        <f t="shared" si="48"/>
        <v>1.2587303388831836</v>
      </c>
      <c r="R323" s="88">
        <f t="shared" si="48"/>
        <v>1.4685187286970476</v>
      </c>
      <c r="S323" s="88">
        <f t="shared" si="48"/>
        <v>1.678307118510912</v>
      </c>
      <c r="T323" s="88">
        <f t="shared" si="48"/>
        <v>1.8880955083247757</v>
      </c>
      <c r="U323" s="88">
        <f t="shared" si="48"/>
        <v>2.0978838981386398</v>
      </c>
      <c r="V323" s="498">
        <f t="shared" si="50"/>
        <v>186.47856872343459</v>
      </c>
      <c r="W323" s="498">
        <f t="shared" si="51"/>
        <v>459.98284222770809</v>
      </c>
    </row>
    <row r="324" spans="1:23" ht="45">
      <c r="A324" s="396" t="s">
        <v>390</v>
      </c>
      <c r="B324" s="64">
        <f t="shared" si="40"/>
        <v>25.458916401687247</v>
      </c>
      <c r="C324" s="64">
        <v>9</v>
      </c>
      <c r="D324" s="64">
        <f t="shared" si="41"/>
        <v>37.706512457973133</v>
      </c>
      <c r="E324" s="141">
        <f t="shared" si="42"/>
        <v>9</v>
      </c>
      <c r="F324" s="64">
        <f t="shared" si="43"/>
        <v>3.383855678405205</v>
      </c>
      <c r="G324" s="64">
        <f t="shared" si="44"/>
        <v>5.2098813632303296</v>
      </c>
      <c r="H324" s="141">
        <f t="shared" si="45"/>
        <v>3.383855678405205</v>
      </c>
      <c r="I324" s="141">
        <f t="shared" si="49"/>
        <v>7.3838556784052045</v>
      </c>
      <c r="K324" s="88">
        <f t="shared" si="46"/>
        <v>9</v>
      </c>
      <c r="L324" s="88">
        <f t="shared" si="47"/>
        <v>9</v>
      </c>
      <c r="M324" s="88">
        <f t="shared" si="47"/>
        <v>9</v>
      </c>
      <c r="N324" s="88">
        <f t="shared" si="47"/>
        <v>9</v>
      </c>
      <c r="O324" s="88">
        <f t="shared" si="47"/>
        <v>9</v>
      </c>
      <c r="P324"/>
      <c r="Q324" s="88">
        <f t="shared" si="48"/>
        <v>1.5617795438793252</v>
      </c>
      <c r="R324" s="88">
        <f t="shared" si="48"/>
        <v>1.8220761345258794</v>
      </c>
      <c r="S324" s="88">
        <f t="shared" si="48"/>
        <v>2.082372725172434</v>
      </c>
      <c r="T324" s="88">
        <f t="shared" si="48"/>
        <v>2.3426693158189877</v>
      </c>
      <c r="U324" s="88">
        <f t="shared" si="48"/>
        <v>2.6029659064655424</v>
      </c>
      <c r="V324" s="498">
        <f t="shared" si="50"/>
        <v>231.3747472413815</v>
      </c>
      <c r="W324" s="498">
        <f t="shared" si="51"/>
        <v>504.879020745655</v>
      </c>
    </row>
    <row r="325" spans="1:23" ht="45">
      <c r="A325" s="396" t="s">
        <v>391</v>
      </c>
      <c r="B325" s="64">
        <f t="shared" si="40"/>
        <v>15.415490665241817</v>
      </c>
      <c r="C325" s="64">
        <v>6</v>
      </c>
      <c r="D325" s="64">
        <f t="shared" si="41"/>
        <v>22.391516755529722</v>
      </c>
      <c r="E325" s="141">
        <f t="shared" si="42"/>
        <v>6</v>
      </c>
      <c r="F325" s="64">
        <f t="shared" si="43"/>
        <v>2.8959392357891027</v>
      </c>
      <c r="G325" s="64">
        <f t="shared" si="44"/>
        <v>4.4520867950019305</v>
      </c>
      <c r="H325" s="141">
        <f t="shared" si="45"/>
        <v>2.8959392357891027</v>
      </c>
      <c r="I325" s="141">
        <f t="shared" si="49"/>
        <v>6.8959392357891023</v>
      </c>
      <c r="K325" s="88">
        <f t="shared" si="46"/>
        <v>6</v>
      </c>
      <c r="L325" s="88">
        <f t="shared" si="47"/>
        <v>6</v>
      </c>
      <c r="M325" s="88">
        <f t="shared" si="47"/>
        <v>6</v>
      </c>
      <c r="N325" s="88">
        <f t="shared" si="47"/>
        <v>6</v>
      </c>
      <c r="O325" s="88">
        <f t="shared" si="47"/>
        <v>6</v>
      </c>
      <c r="P325"/>
      <c r="Q325" s="88">
        <f t="shared" si="48"/>
        <v>1.3365873395949703</v>
      </c>
      <c r="R325" s="88">
        <f t="shared" si="48"/>
        <v>1.5593518961941319</v>
      </c>
      <c r="S325" s="88">
        <f t="shared" si="48"/>
        <v>1.782116452793294</v>
      </c>
      <c r="T325" s="88">
        <f t="shared" si="48"/>
        <v>2.0048810093924558</v>
      </c>
      <c r="U325" s="88">
        <f t="shared" si="48"/>
        <v>2.2276455659916174</v>
      </c>
      <c r="V325" s="498">
        <f t="shared" si="50"/>
        <v>198.01293919925484</v>
      </c>
      <c r="W325" s="498">
        <f t="shared" si="51"/>
        <v>471.51721270352823</v>
      </c>
    </row>
    <row r="326" spans="1:23" ht="45">
      <c r="A326" s="396" t="s">
        <v>392</v>
      </c>
      <c r="B326" s="64">
        <f t="shared" si="40"/>
        <v>23.590372078627627</v>
      </c>
      <c r="C326" s="64">
        <v>7.5</v>
      </c>
      <c r="D326" s="64">
        <f t="shared" si="41"/>
        <v>34.720522818787899</v>
      </c>
      <c r="E326" s="141">
        <f t="shared" si="42"/>
        <v>7.5</v>
      </c>
      <c r="F326" s="64">
        <f t="shared" si="43"/>
        <v>4.3462101466486533</v>
      </c>
      <c r="G326" s="64">
        <f t="shared" si="44"/>
        <v>6.6855380114436862</v>
      </c>
      <c r="H326" s="141">
        <f t="shared" si="45"/>
        <v>4.3462101466486533</v>
      </c>
      <c r="I326" s="141">
        <f t="shared" si="49"/>
        <v>8.3462101466486533</v>
      </c>
      <c r="K326" s="88">
        <f t="shared" si="46"/>
        <v>7.5</v>
      </c>
      <c r="L326" s="88">
        <f t="shared" si="47"/>
        <v>7.5</v>
      </c>
      <c r="M326" s="88">
        <f t="shared" si="47"/>
        <v>7.5</v>
      </c>
      <c r="N326" s="88">
        <f t="shared" si="47"/>
        <v>7.5</v>
      </c>
      <c r="O326" s="88">
        <f t="shared" si="47"/>
        <v>7.5</v>
      </c>
      <c r="P326"/>
      <c r="Q326" s="88">
        <f t="shared" si="48"/>
        <v>2.0059431446070706</v>
      </c>
      <c r="R326" s="88">
        <f t="shared" si="48"/>
        <v>2.3402670020415823</v>
      </c>
      <c r="S326" s="88">
        <f t="shared" si="48"/>
        <v>2.6745908594760945</v>
      </c>
      <c r="T326" s="88">
        <f t="shared" si="48"/>
        <v>3.0089147169106063</v>
      </c>
      <c r="U326" s="88">
        <f t="shared" si="48"/>
        <v>3.3432385743451181</v>
      </c>
      <c r="V326" s="498">
        <f t="shared" si="50"/>
        <v>297.17676216401043</v>
      </c>
      <c r="W326" s="498">
        <f t="shared" si="51"/>
        <v>570.68103566828393</v>
      </c>
    </row>
    <row r="327" spans="1:23" ht="45">
      <c r="A327" s="396" t="s">
        <v>393</v>
      </c>
      <c r="B327" s="64">
        <f t="shared" si="40"/>
        <v>31.99882153239589</v>
      </c>
      <c r="C327" s="64">
        <v>9</v>
      </c>
      <c r="D327" s="64">
        <f t="shared" si="41"/>
        <v>47.298913774104406</v>
      </c>
      <c r="E327" s="141">
        <f t="shared" si="42"/>
        <v>9</v>
      </c>
      <c r="F327" s="64">
        <f t="shared" si="43"/>
        <v>5.7294947405109848</v>
      </c>
      <c r="G327" s="64">
        <f t="shared" si="44"/>
        <v>8.8154832035508512</v>
      </c>
      <c r="H327" s="141">
        <f>MIN(F327:G327,C327)</f>
        <v>5.7294947405109848</v>
      </c>
      <c r="I327" s="141">
        <f>H327+$B$203</f>
        <v>9.7294947405109848</v>
      </c>
      <c r="K327" s="88">
        <f t="shared" si="46"/>
        <v>9</v>
      </c>
      <c r="L327" s="88">
        <f t="shared" si="47"/>
        <v>9</v>
      </c>
      <c r="M327" s="88">
        <f t="shared" si="47"/>
        <v>9</v>
      </c>
      <c r="N327" s="88">
        <f t="shared" si="47"/>
        <v>9</v>
      </c>
      <c r="O327" s="88">
        <f t="shared" si="47"/>
        <v>9</v>
      </c>
      <c r="P327"/>
      <c r="Q327" s="88">
        <f t="shared" si="48"/>
        <v>2.6443821879281466</v>
      </c>
      <c r="R327" s="88">
        <f t="shared" si="48"/>
        <v>3.0851125525828378</v>
      </c>
      <c r="S327" s="88">
        <f t="shared" si="48"/>
        <v>3.5258429172375294</v>
      </c>
      <c r="T327" s="88">
        <f t="shared" si="48"/>
        <v>3.9665732818922201</v>
      </c>
      <c r="U327" s="88">
        <f t="shared" si="48"/>
        <v>4.4073036465469109</v>
      </c>
      <c r="V327" s="498">
        <f t="shared" si="50"/>
        <v>391.76032413750318</v>
      </c>
      <c r="W327" s="498">
        <f t="shared" si="51"/>
        <v>665.26459764177673</v>
      </c>
    </row>
    <row r="328" spans="1:23" ht="45">
      <c r="A328" s="396" t="s">
        <v>394</v>
      </c>
      <c r="B328" s="64">
        <f t="shared" si="40"/>
        <v>31.99882153239589</v>
      </c>
      <c r="C328" s="64">
        <v>9</v>
      </c>
      <c r="D328" s="64">
        <f t="shared" si="41"/>
        <v>47.298913774104406</v>
      </c>
      <c r="E328" s="141">
        <f t="shared" si="42"/>
        <v>9</v>
      </c>
      <c r="F328" s="64">
        <f t="shared" si="43"/>
        <v>5.189943829273024</v>
      </c>
      <c r="G328" s="64">
        <f t="shared" si="44"/>
        <v>7.9873047380207698</v>
      </c>
      <c r="H328" s="141">
        <f t="shared" ref="H328:H342" si="52">MIN(F328:G328,C328)</f>
        <v>5.189943829273024</v>
      </c>
      <c r="I328" s="141">
        <f t="shared" ref="I328:I342" si="53">H328+$B$203</f>
        <v>9.1899438292730231</v>
      </c>
      <c r="K328" s="88">
        <f t="shared" si="46"/>
        <v>9</v>
      </c>
      <c r="L328" s="88">
        <f t="shared" si="47"/>
        <v>9</v>
      </c>
      <c r="M328" s="88">
        <f t="shared" si="47"/>
        <v>9</v>
      </c>
      <c r="N328" s="88">
        <f t="shared" si="47"/>
        <v>9</v>
      </c>
      <c r="O328" s="88">
        <f t="shared" si="47"/>
        <v>9</v>
      </c>
      <c r="P328"/>
      <c r="Q328" s="88">
        <f t="shared" si="48"/>
        <v>2.3953586904337034</v>
      </c>
      <c r="R328" s="88">
        <f t="shared" si="48"/>
        <v>2.7945851388393201</v>
      </c>
      <c r="S328" s="88">
        <f t="shared" si="48"/>
        <v>3.1938115872449377</v>
      </c>
      <c r="T328" s="88">
        <f t="shared" si="48"/>
        <v>3.5930380356505549</v>
      </c>
      <c r="U328" s="88">
        <f t="shared" si="48"/>
        <v>3.9922644840561721</v>
      </c>
      <c r="V328" s="498">
        <f t="shared" si="50"/>
        <v>354.86795413832641</v>
      </c>
      <c r="W328" s="498">
        <f t="shared" si="51"/>
        <v>628.3722276425998</v>
      </c>
    </row>
    <row r="329" spans="1:23" ht="45.75" thickBot="1">
      <c r="A329" s="438" t="s">
        <v>395</v>
      </c>
      <c r="B329" s="489">
        <f t="shared" si="40"/>
        <v>31.99882153239589</v>
      </c>
      <c r="C329" s="489">
        <v>9</v>
      </c>
      <c r="D329" s="489">
        <f t="shared" si="41"/>
        <v>47.298913774104406</v>
      </c>
      <c r="E329" s="490">
        <f t="shared" si="42"/>
        <v>9</v>
      </c>
      <c r="F329" s="489">
        <f t="shared" si="43"/>
        <v>4.7532350477089675</v>
      </c>
      <c r="G329" s="489">
        <f t="shared" si="44"/>
        <v>7.3165504773545376</v>
      </c>
      <c r="H329" s="490">
        <f t="shared" si="52"/>
        <v>4.7532350477089675</v>
      </c>
      <c r="I329" s="490">
        <f t="shared" si="53"/>
        <v>8.7532350477089675</v>
      </c>
      <c r="K329" s="370">
        <f t="shared" si="46"/>
        <v>9</v>
      </c>
      <c r="L329" s="370">
        <f t="shared" si="47"/>
        <v>9</v>
      </c>
      <c r="M329" s="370">
        <f t="shared" si="47"/>
        <v>9</v>
      </c>
      <c r="N329" s="370">
        <f t="shared" si="47"/>
        <v>9</v>
      </c>
      <c r="O329" s="370">
        <f t="shared" si="47"/>
        <v>9</v>
      </c>
      <c r="P329"/>
      <c r="Q329" s="370">
        <f t="shared" si="48"/>
        <v>2.1938007912502924</v>
      </c>
      <c r="R329" s="370">
        <f t="shared" si="48"/>
        <v>2.5594342564586743</v>
      </c>
      <c r="S329" s="370">
        <f t="shared" si="48"/>
        <v>2.9250677216670571</v>
      </c>
      <c r="T329" s="370">
        <f t="shared" si="48"/>
        <v>3.290701186875439</v>
      </c>
      <c r="U329" s="370">
        <f t="shared" si="48"/>
        <v>3.6563346520838209</v>
      </c>
      <c r="V329" s="499">
        <f t="shared" si="50"/>
        <v>325.0075246296729</v>
      </c>
      <c r="W329" s="499">
        <f t="shared" si="51"/>
        <v>598.51179813394651</v>
      </c>
    </row>
    <row r="330" spans="1:23" ht="45.75" thickTop="1">
      <c r="A330" s="411" t="s">
        <v>396</v>
      </c>
      <c r="B330" s="491">
        <f t="shared" si="40"/>
        <v>6.5399051307086493</v>
      </c>
      <c r="C330" s="491">
        <v>1.8</v>
      </c>
      <c r="D330" s="491">
        <f t="shared" si="41"/>
        <v>9.2330305421811047</v>
      </c>
      <c r="E330" s="492">
        <f t="shared" si="42"/>
        <v>1.8</v>
      </c>
      <c r="F330" s="491">
        <f t="shared" si="43"/>
        <v>6.5399051307086493</v>
      </c>
      <c r="G330" s="491">
        <f t="shared" si="44"/>
        <v>9.2330305421811047</v>
      </c>
      <c r="H330" s="492">
        <f t="shared" si="52"/>
        <v>1.8</v>
      </c>
      <c r="I330" s="492">
        <f t="shared" si="53"/>
        <v>5.8</v>
      </c>
      <c r="K330" s="371">
        <f t="shared" si="46"/>
        <v>1.8</v>
      </c>
      <c r="L330" s="371">
        <f t="shared" si="47"/>
        <v>1.8</v>
      </c>
      <c r="M330" s="371">
        <f t="shared" si="47"/>
        <v>1.8</v>
      </c>
      <c r="N330" s="371">
        <f t="shared" si="47"/>
        <v>1.8</v>
      </c>
      <c r="O330" s="371">
        <f t="shared" si="47"/>
        <v>1.8</v>
      </c>
      <c r="P330"/>
      <c r="Q330" s="371">
        <f t="shared" si="48"/>
        <v>1.8</v>
      </c>
      <c r="R330" s="371">
        <f t="shared" si="48"/>
        <v>1.8</v>
      </c>
      <c r="S330" s="371">
        <f t="shared" si="48"/>
        <v>1.8</v>
      </c>
      <c r="T330" s="371">
        <f t="shared" si="48"/>
        <v>1.8</v>
      </c>
      <c r="U330" s="371">
        <f t="shared" si="48"/>
        <v>1.8</v>
      </c>
      <c r="V330" s="496"/>
    </row>
    <row r="331" spans="1:23" ht="45">
      <c r="A331" s="396" t="s">
        <v>397</v>
      </c>
      <c r="B331" s="64">
        <f t="shared" si="40"/>
        <v>8.8755855345331689</v>
      </c>
      <c r="C331" s="64">
        <v>3.6</v>
      </c>
      <c r="D331" s="64">
        <f t="shared" si="41"/>
        <v>12.217209267647137</v>
      </c>
      <c r="E331" s="141">
        <f t="shared" si="42"/>
        <v>3.6</v>
      </c>
      <c r="F331" s="64">
        <f t="shared" si="43"/>
        <v>8.8755855345331689</v>
      </c>
      <c r="G331" s="64">
        <f t="shared" si="44"/>
        <v>12.217209267647137</v>
      </c>
      <c r="H331" s="141">
        <f t="shared" si="52"/>
        <v>3.6</v>
      </c>
      <c r="I331" s="141">
        <f t="shared" si="53"/>
        <v>7.6</v>
      </c>
      <c r="K331" s="88">
        <f t="shared" si="46"/>
        <v>3.6</v>
      </c>
      <c r="L331" s="88">
        <f t="shared" si="47"/>
        <v>3.6</v>
      </c>
      <c r="M331" s="88">
        <f t="shared" si="47"/>
        <v>3.6</v>
      </c>
      <c r="N331" s="88">
        <f t="shared" si="47"/>
        <v>3.6</v>
      </c>
      <c r="O331" s="88">
        <f t="shared" si="47"/>
        <v>3.6</v>
      </c>
      <c r="P331"/>
      <c r="Q331" s="88">
        <f t="shared" si="48"/>
        <v>3.6</v>
      </c>
      <c r="R331" s="88">
        <f t="shared" si="48"/>
        <v>3.6</v>
      </c>
      <c r="S331" s="88">
        <f t="shared" si="48"/>
        <v>3.6</v>
      </c>
      <c r="T331" s="88">
        <f t="shared" si="48"/>
        <v>3.6</v>
      </c>
      <c r="U331" s="88">
        <f t="shared" si="48"/>
        <v>3.6</v>
      </c>
      <c r="V331" s="497"/>
    </row>
    <row r="332" spans="1:23" ht="45">
      <c r="A332" s="396" t="s">
        <v>398</v>
      </c>
      <c r="B332" s="64">
        <f t="shared" si="40"/>
        <v>13.079810261417299</v>
      </c>
      <c r="C332" s="64">
        <v>4.5</v>
      </c>
      <c r="D332" s="64">
        <f t="shared" si="41"/>
        <v>18.460624437427914</v>
      </c>
      <c r="E332" s="141">
        <f t="shared" si="42"/>
        <v>4.5</v>
      </c>
      <c r="F332" s="64">
        <f t="shared" si="43"/>
        <v>13.079810261417299</v>
      </c>
      <c r="G332" s="64">
        <f t="shared" si="44"/>
        <v>18.460624437427914</v>
      </c>
      <c r="H332" s="141">
        <f t="shared" si="52"/>
        <v>4.5</v>
      </c>
      <c r="I332" s="141">
        <f t="shared" si="53"/>
        <v>8.5</v>
      </c>
      <c r="K332" s="88">
        <f t="shared" si="46"/>
        <v>4.5</v>
      </c>
      <c r="L332" s="88">
        <f t="shared" si="47"/>
        <v>4.5</v>
      </c>
      <c r="M332" s="88">
        <f t="shared" si="47"/>
        <v>4.5</v>
      </c>
      <c r="N332" s="88">
        <f t="shared" si="47"/>
        <v>4.5</v>
      </c>
      <c r="O332" s="88">
        <f t="shared" si="47"/>
        <v>4.5</v>
      </c>
      <c r="P332"/>
      <c r="Q332" s="88">
        <f t="shared" si="48"/>
        <v>4.5</v>
      </c>
      <c r="R332" s="88">
        <f t="shared" si="48"/>
        <v>4.5</v>
      </c>
      <c r="S332" s="88">
        <f t="shared" si="48"/>
        <v>4.5</v>
      </c>
      <c r="T332" s="88">
        <f t="shared" si="48"/>
        <v>4.5</v>
      </c>
      <c r="U332" s="88">
        <f t="shared" si="48"/>
        <v>4.5</v>
      </c>
      <c r="V332" s="497"/>
    </row>
    <row r="333" spans="1:23" ht="45">
      <c r="A333" s="396" t="s">
        <v>399</v>
      </c>
      <c r="B333" s="64">
        <f t="shared" si="40"/>
        <v>17.050466947918981</v>
      </c>
      <c r="C333" s="64">
        <v>5.4</v>
      </c>
      <c r="D333" s="64">
        <f t="shared" si="41"/>
        <v>24.357853816270559</v>
      </c>
      <c r="E333" s="141">
        <f t="shared" si="42"/>
        <v>5.4</v>
      </c>
      <c r="F333" s="64">
        <f t="shared" si="43"/>
        <v>17.050466947918981</v>
      </c>
      <c r="G333" s="64">
        <f t="shared" si="44"/>
        <v>24.357853816270559</v>
      </c>
      <c r="H333" s="141">
        <f t="shared" si="52"/>
        <v>5.4</v>
      </c>
      <c r="I333" s="141">
        <f t="shared" si="53"/>
        <v>9.4</v>
      </c>
      <c r="K333" s="88">
        <f t="shared" si="46"/>
        <v>5.4</v>
      </c>
      <c r="L333" s="88">
        <f t="shared" si="47"/>
        <v>5.4</v>
      </c>
      <c r="M333" s="88">
        <f t="shared" si="47"/>
        <v>5.4</v>
      </c>
      <c r="N333" s="88">
        <f t="shared" si="47"/>
        <v>5.4</v>
      </c>
      <c r="O333" s="88">
        <f t="shared" si="47"/>
        <v>5.4</v>
      </c>
      <c r="P333"/>
      <c r="Q333" s="88">
        <f t="shared" si="48"/>
        <v>5.4</v>
      </c>
      <c r="R333" s="88">
        <f t="shared" si="48"/>
        <v>5.4</v>
      </c>
      <c r="S333" s="88">
        <f t="shared" si="48"/>
        <v>5.4</v>
      </c>
      <c r="T333" s="88">
        <f t="shared" si="48"/>
        <v>5.4</v>
      </c>
      <c r="U333" s="88">
        <f t="shared" si="48"/>
        <v>5.4</v>
      </c>
      <c r="V333" s="497"/>
    </row>
    <row r="334" spans="1:23" ht="45">
      <c r="A334" s="396" t="s">
        <v>400</v>
      </c>
      <c r="B334" s="64">
        <f t="shared" si="40"/>
        <v>21.254691674803112</v>
      </c>
      <c r="C334" s="64">
        <v>5.4</v>
      </c>
      <c r="D334" s="64">
        <f t="shared" si="41"/>
        <v>30.512776920174119</v>
      </c>
      <c r="E334" s="141">
        <f t="shared" si="42"/>
        <v>5.4</v>
      </c>
      <c r="F334" s="64">
        <f t="shared" si="43"/>
        <v>21.254691674803112</v>
      </c>
      <c r="G334" s="64">
        <f t="shared" si="44"/>
        <v>30.512776920174119</v>
      </c>
      <c r="H334" s="141">
        <f t="shared" si="52"/>
        <v>5.4</v>
      </c>
      <c r="I334" s="141">
        <f t="shared" si="53"/>
        <v>9.4</v>
      </c>
      <c r="K334" s="88">
        <f t="shared" si="46"/>
        <v>5.4</v>
      </c>
      <c r="L334" s="88">
        <f t="shared" si="47"/>
        <v>5.4</v>
      </c>
      <c r="M334" s="88">
        <f t="shared" si="47"/>
        <v>5.4</v>
      </c>
      <c r="N334" s="88">
        <f t="shared" si="47"/>
        <v>5.4</v>
      </c>
      <c r="O334" s="88">
        <f t="shared" si="47"/>
        <v>5.4</v>
      </c>
      <c r="P334"/>
      <c r="Q334" s="88">
        <f t="shared" si="48"/>
        <v>5.4</v>
      </c>
      <c r="R334" s="88">
        <f t="shared" si="48"/>
        <v>5.4</v>
      </c>
      <c r="S334" s="88">
        <f t="shared" si="48"/>
        <v>5.4</v>
      </c>
      <c r="T334" s="88">
        <f t="shared" si="48"/>
        <v>5.4</v>
      </c>
      <c r="U334" s="88">
        <f t="shared" si="48"/>
        <v>5.4</v>
      </c>
      <c r="V334" s="497"/>
    </row>
    <row r="335" spans="1:23" ht="45">
      <c r="A335" s="396" t="s">
        <v>401</v>
      </c>
      <c r="B335" s="64">
        <f t="shared" si="40"/>
        <v>25.458916401687247</v>
      </c>
      <c r="C335" s="64">
        <v>5.4</v>
      </c>
      <c r="D335" s="64">
        <f t="shared" si="41"/>
        <v>36.658825363232978</v>
      </c>
      <c r="E335" s="141">
        <f t="shared" si="42"/>
        <v>5.4</v>
      </c>
      <c r="F335" s="64">
        <f t="shared" si="43"/>
        <v>25.458916401687247</v>
      </c>
      <c r="G335" s="64">
        <f t="shared" si="44"/>
        <v>36.658825363232978</v>
      </c>
      <c r="H335" s="141">
        <f t="shared" si="52"/>
        <v>5.4</v>
      </c>
      <c r="I335" s="141">
        <f t="shared" si="53"/>
        <v>9.4</v>
      </c>
      <c r="K335" s="88">
        <f t="shared" si="46"/>
        <v>5.4</v>
      </c>
      <c r="L335" s="88">
        <f t="shared" ref="L335:O342" si="54">MIN(L$318*$B335/$B$343,$C335/$C$343,L$318*$D335/$D$343)</f>
        <v>5.4</v>
      </c>
      <c r="M335" s="88">
        <f t="shared" si="54"/>
        <v>5.4</v>
      </c>
      <c r="N335" s="88">
        <f t="shared" si="54"/>
        <v>5.4</v>
      </c>
      <c r="O335" s="88">
        <f t="shared" si="54"/>
        <v>5.4</v>
      </c>
      <c r="P335"/>
      <c r="Q335" s="88">
        <f t="shared" ref="Q335:U340" si="55">MIN(Q$318*$F335/1.3,$C335/1,Q$318*$G335/1.3)</f>
        <v>5.4</v>
      </c>
      <c r="R335" s="88">
        <f t="shared" si="55"/>
        <v>5.4</v>
      </c>
      <c r="S335" s="88">
        <f t="shared" si="55"/>
        <v>5.4</v>
      </c>
      <c r="T335" s="88">
        <f t="shared" si="55"/>
        <v>5.4</v>
      </c>
      <c r="U335" s="88">
        <f t="shared" si="55"/>
        <v>5.4</v>
      </c>
      <c r="V335" s="497"/>
    </row>
    <row r="336" spans="1:23" ht="45">
      <c r="A336" s="396" t="s">
        <v>402</v>
      </c>
      <c r="B336" s="64">
        <f t="shared" si="40"/>
        <v>15.415490665241817</v>
      </c>
      <c r="C336" s="64">
        <v>3.6</v>
      </c>
      <c r="D336" s="64">
        <f t="shared" si="41"/>
        <v>21.473372743639604</v>
      </c>
      <c r="E336" s="141">
        <f t="shared" si="42"/>
        <v>3.6</v>
      </c>
      <c r="F336" s="64">
        <f t="shared" si="43"/>
        <v>15.415490665241817</v>
      </c>
      <c r="G336" s="64">
        <f t="shared" si="44"/>
        <v>21.473372743639604</v>
      </c>
      <c r="H336" s="141">
        <f t="shared" si="52"/>
        <v>3.6</v>
      </c>
      <c r="I336" s="141">
        <f t="shared" si="53"/>
        <v>7.6</v>
      </c>
      <c r="K336" s="88">
        <f t="shared" si="46"/>
        <v>3.6</v>
      </c>
      <c r="L336" s="88">
        <f t="shared" si="54"/>
        <v>3.6</v>
      </c>
      <c r="M336" s="88">
        <f t="shared" si="54"/>
        <v>3.6</v>
      </c>
      <c r="N336" s="88">
        <f t="shared" si="54"/>
        <v>3.6</v>
      </c>
      <c r="O336" s="88">
        <f t="shared" si="54"/>
        <v>3.6</v>
      </c>
      <c r="P336"/>
      <c r="Q336" s="88">
        <f t="shared" si="55"/>
        <v>3.6</v>
      </c>
      <c r="R336" s="88">
        <f t="shared" si="55"/>
        <v>3.6</v>
      </c>
      <c r="S336" s="88">
        <f t="shared" si="55"/>
        <v>3.6</v>
      </c>
      <c r="T336" s="88">
        <f t="shared" si="55"/>
        <v>3.6</v>
      </c>
      <c r="U336" s="88">
        <f t="shared" si="55"/>
        <v>3.6</v>
      </c>
      <c r="V336" s="497"/>
    </row>
    <row r="337" spans="1:22" ht="45">
      <c r="A337" s="396" t="s">
        <v>403</v>
      </c>
      <c r="B337" s="64">
        <f t="shared" si="40"/>
        <v>23.590372078627627</v>
      </c>
      <c r="C337" s="64">
        <v>4.5</v>
      </c>
      <c r="D337" s="64">
        <f t="shared" si="41"/>
        <v>33.608033043901308</v>
      </c>
      <c r="E337" s="141">
        <f t="shared" si="42"/>
        <v>4.5</v>
      </c>
      <c r="F337" s="64">
        <f t="shared" si="43"/>
        <v>23.590372078627627</v>
      </c>
      <c r="G337" s="64">
        <f t="shared" si="44"/>
        <v>33.608033043901308</v>
      </c>
      <c r="H337" s="141">
        <f t="shared" si="52"/>
        <v>4.5</v>
      </c>
      <c r="I337" s="141">
        <f t="shared" si="53"/>
        <v>8.5</v>
      </c>
      <c r="K337" s="88">
        <f t="shared" si="46"/>
        <v>4.5</v>
      </c>
      <c r="L337" s="88">
        <f t="shared" si="54"/>
        <v>4.5</v>
      </c>
      <c r="M337" s="88">
        <f t="shared" si="54"/>
        <v>4.5</v>
      </c>
      <c r="N337" s="88">
        <f t="shared" si="54"/>
        <v>4.5</v>
      </c>
      <c r="O337" s="88">
        <f t="shared" si="54"/>
        <v>4.5</v>
      </c>
      <c r="P337"/>
      <c r="Q337" s="88">
        <f t="shared" si="55"/>
        <v>4.5</v>
      </c>
      <c r="R337" s="88">
        <f t="shared" si="55"/>
        <v>4.5</v>
      </c>
      <c r="S337" s="88">
        <f t="shared" si="55"/>
        <v>4.5</v>
      </c>
      <c r="T337" s="88">
        <f t="shared" si="55"/>
        <v>4.5</v>
      </c>
      <c r="U337" s="88">
        <f t="shared" si="55"/>
        <v>4.5</v>
      </c>
      <c r="V337" s="497"/>
    </row>
    <row r="338" spans="1:22" ht="45">
      <c r="A338" s="396" t="s">
        <v>404</v>
      </c>
      <c r="B338" s="64">
        <f t="shared" si="40"/>
        <v>31.99882153239589</v>
      </c>
      <c r="C338" s="64">
        <v>5.4</v>
      </c>
      <c r="D338" s="64">
        <f t="shared" si="41"/>
        <v>45.904378693838133</v>
      </c>
      <c r="E338" s="141">
        <f t="shared" si="42"/>
        <v>5.4</v>
      </c>
      <c r="F338" s="64">
        <f t="shared" si="43"/>
        <v>31.99882153239589</v>
      </c>
      <c r="G338" s="64">
        <f t="shared" si="44"/>
        <v>45.904378693838133</v>
      </c>
      <c r="H338" s="141">
        <f t="shared" si="52"/>
        <v>5.4</v>
      </c>
      <c r="I338" s="141">
        <f t="shared" si="53"/>
        <v>9.4</v>
      </c>
      <c r="K338" s="88">
        <f t="shared" si="46"/>
        <v>5.4</v>
      </c>
      <c r="L338" s="88">
        <f t="shared" si="54"/>
        <v>5.4</v>
      </c>
      <c r="M338" s="88">
        <f t="shared" si="54"/>
        <v>5.4</v>
      </c>
      <c r="N338" s="88">
        <f t="shared" si="54"/>
        <v>5.4</v>
      </c>
      <c r="O338" s="88">
        <f t="shared" si="54"/>
        <v>5.4</v>
      </c>
      <c r="P338"/>
      <c r="Q338" s="88">
        <f t="shared" si="55"/>
        <v>5.4</v>
      </c>
      <c r="R338" s="88">
        <f t="shared" si="55"/>
        <v>5.4</v>
      </c>
      <c r="S338" s="88">
        <f t="shared" si="55"/>
        <v>5.4</v>
      </c>
      <c r="T338" s="88">
        <f t="shared" si="55"/>
        <v>5.4</v>
      </c>
      <c r="U338" s="88">
        <f t="shared" si="55"/>
        <v>5.4</v>
      </c>
      <c r="V338" s="497"/>
    </row>
    <row r="339" spans="1:22" ht="45">
      <c r="A339" s="396" t="s">
        <v>405</v>
      </c>
      <c r="B339" s="64">
        <f t="shared" si="40"/>
        <v>31.99882153239589</v>
      </c>
      <c r="C339" s="64">
        <v>5.4</v>
      </c>
      <c r="D339" s="64">
        <f t="shared" si="41"/>
        <v>45.904378693838133</v>
      </c>
      <c r="E339" s="141">
        <f t="shared" si="42"/>
        <v>5.4</v>
      </c>
      <c r="F339" s="64">
        <f t="shared" si="43"/>
        <v>31.99882153239589</v>
      </c>
      <c r="G339" s="64">
        <f t="shared" si="44"/>
        <v>45.904378693838133</v>
      </c>
      <c r="H339" s="141">
        <f t="shared" si="52"/>
        <v>5.4</v>
      </c>
      <c r="I339" s="141">
        <f t="shared" si="53"/>
        <v>9.4</v>
      </c>
      <c r="K339" s="88">
        <f t="shared" si="46"/>
        <v>5.4</v>
      </c>
      <c r="L339" s="88">
        <f t="shared" si="54"/>
        <v>5.4</v>
      </c>
      <c r="M339" s="88">
        <f t="shared" si="54"/>
        <v>5.4</v>
      </c>
      <c r="N339" s="88">
        <f t="shared" si="54"/>
        <v>5.4</v>
      </c>
      <c r="O339" s="88">
        <f t="shared" si="54"/>
        <v>5.4</v>
      </c>
      <c r="P339"/>
      <c r="Q339" s="88">
        <f t="shared" si="55"/>
        <v>5.4</v>
      </c>
      <c r="R339" s="88">
        <f t="shared" si="55"/>
        <v>5.4</v>
      </c>
      <c r="S339" s="88">
        <f t="shared" si="55"/>
        <v>5.4</v>
      </c>
      <c r="T339" s="88">
        <f t="shared" si="55"/>
        <v>5.4</v>
      </c>
      <c r="U339" s="88">
        <f t="shared" si="55"/>
        <v>5.4</v>
      </c>
      <c r="V339" s="497"/>
    </row>
    <row r="340" spans="1:22" ht="45.75" thickBot="1">
      <c r="A340" s="438" t="s">
        <v>406</v>
      </c>
      <c r="B340" s="489">
        <f t="shared" si="40"/>
        <v>31.99882153239589</v>
      </c>
      <c r="C340" s="489">
        <v>5.4</v>
      </c>
      <c r="D340" s="489">
        <f t="shared" si="41"/>
        <v>45.904378693838133</v>
      </c>
      <c r="E340" s="490">
        <f t="shared" si="42"/>
        <v>5.4</v>
      </c>
      <c r="F340" s="489">
        <f t="shared" si="43"/>
        <v>31.99882153239589</v>
      </c>
      <c r="G340" s="489">
        <f t="shared" si="44"/>
        <v>45.904378693838133</v>
      </c>
      <c r="H340" s="490">
        <f t="shared" si="52"/>
        <v>5.4</v>
      </c>
      <c r="I340" s="490">
        <f t="shared" si="53"/>
        <v>9.4</v>
      </c>
      <c r="K340" s="370">
        <f t="shared" si="46"/>
        <v>5.4</v>
      </c>
      <c r="L340" s="370">
        <f t="shared" si="54"/>
        <v>5.4</v>
      </c>
      <c r="M340" s="370">
        <f t="shared" si="54"/>
        <v>5.4</v>
      </c>
      <c r="N340" s="370">
        <f t="shared" si="54"/>
        <v>5.4</v>
      </c>
      <c r="O340" s="370">
        <f t="shared" si="54"/>
        <v>5.4</v>
      </c>
      <c r="P340"/>
      <c r="Q340" s="88">
        <f t="shared" si="55"/>
        <v>5.4</v>
      </c>
      <c r="R340" s="88">
        <f t="shared" si="55"/>
        <v>5.4</v>
      </c>
      <c r="S340" s="88">
        <f t="shared" si="55"/>
        <v>5.4</v>
      </c>
      <c r="T340" s="88">
        <f t="shared" si="55"/>
        <v>5.4</v>
      </c>
      <c r="U340" s="88">
        <f t="shared" si="55"/>
        <v>5.4</v>
      </c>
      <c r="V340" s="497"/>
    </row>
    <row r="341" spans="1:22" ht="45.75" thickTop="1">
      <c r="A341" s="411" t="s">
        <v>407</v>
      </c>
      <c r="B341" s="491">
        <f t="shared" si="40"/>
        <v>5.9937262203768435</v>
      </c>
      <c r="C341" s="491">
        <v>2.5</v>
      </c>
      <c r="D341" s="491">
        <f t="shared" si="41"/>
        <v>1.1213768528916248</v>
      </c>
      <c r="E341" s="492">
        <f t="shared" si="42"/>
        <v>1.1213768528916248</v>
      </c>
      <c r="F341" s="491">
        <f t="shared" si="43"/>
        <v>5.9937262203768435</v>
      </c>
      <c r="G341" s="491">
        <f t="shared" si="44"/>
        <v>1.1213768528916248</v>
      </c>
      <c r="H341" s="492">
        <f t="shared" si="52"/>
        <v>1.1213768528916248</v>
      </c>
      <c r="I341" s="492">
        <f t="shared" si="53"/>
        <v>5.1213768528916246</v>
      </c>
      <c r="K341" s="371">
        <f t="shared" si="46"/>
        <v>0.51755854748844221</v>
      </c>
      <c r="L341" s="371">
        <f t="shared" si="54"/>
        <v>0.60381830540318249</v>
      </c>
      <c r="M341" s="371">
        <f t="shared" si="54"/>
        <v>0.69007806331792299</v>
      </c>
      <c r="N341" s="371">
        <f t="shared" si="54"/>
        <v>0.77633782123266337</v>
      </c>
      <c r="O341" s="371">
        <f t="shared" si="54"/>
        <v>0.86259757914740365</v>
      </c>
      <c r="P341"/>
      <c r="Q341" s="116"/>
      <c r="R341" s="116"/>
      <c r="S341" s="116"/>
      <c r="T341" s="116"/>
      <c r="U341" s="116"/>
    </row>
    <row r="342" spans="1:22" ht="45">
      <c r="A342" s="411" t="s">
        <v>408</v>
      </c>
      <c r="B342" s="64">
        <f t="shared" si="40"/>
        <v>5.9937262203768435</v>
      </c>
      <c r="C342" s="64">
        <v>2.5</v>
      </c>
      <c r="D342" s="64">
        <f t="shared" si="41"/>
        <v>1.1213768528916248</v>
      </c>
      <c r="E342" s="141">
        <f t="shared" si="42"/>
        <v>1.1213768528916248</v>
      </c>
      <c r="F342" s="64">
        <f t="shared" si="43"/>
        <v>5.9937262203768435</v>
      </c>
      <c r="G342" s="64">
        <f t="shared" si="44"/>
        <v>1.1213768528916248</v>
      </c>
      <c r="H342" s="141">
        <f t="shared" si="52"/>
        <v>1.1213768528916248</v>
      </c>
      <c r="I342" s="141">
        <f t="shared" si="53"/>
        <v>5.1213768528916246</v>
      </c>
      <c r="K342" s="88">
        <f t="shared" si="46"/>
        <v>0.51755854748844221</v>
      </c>
      <c r="L342" s="88">
        <f t="shared" si="54"/>
        <v>0.60381830540318249</v>
      </c>
      <c r="M342" s="88">
        <f t="shared" si="54"/>
        <v>0.69007806331792299</v>
      </c>
      <c r="N342" s="88">
        <f t="shared" si="54"/>
        <v>0.77633782123266337</v>
      </c>
      <c r="O342" s="88">
        <f t="shared" si="54"/>
        <v>0.86259757914740365</v>
      </c>
      <c r="P342"/>
      <c r="Q342" s="116"/>
      <c r="R342" s="116"/>
      <c r="S342" s="116"/>
      <c r="T342" s="116"/>
      <c r="U342" s="116"/>
    </row>
    <row r="343" spans="1:22">
      <c r="A343" s="361" t="s">
        <v>338</v>
      </c>
      <c r="B343" s="14">
        <v>1.3</v>
      </c>
      <c r="C343" s="359">
        <v>1</v>
      </c>
      <c r="D343" s="14">
        <v>1.3</v>
      </c>
    </row>
    <row r="344" spans="1:22">
      <c r="A344" s="3"/>
      <c r="D344" s="100"/>
    </row>
    <row r="345" spans="1:22" hidden="1">
      <c r="A345" s="161" t="s">
        <v>202</v>
      </c>
      <c r="B345" s="22">
        <v>65</v>
      </c>
      <c r="C345" t="s">
        <v>65</v>
      </c>
      <c r="D345" s="100"/>
    </row>
    <row r="346" spans="1:22" ht="18" hidden="1">
      <c r="A346" s="161" t="s">
        <v>203</v>
      </c>
      <c r="B346">
        <f>16+B345/2</f>
        <v>48.5</v>
      </c>
      <c r="C346" t="s">
        <v>65</v>
      </c>
      <c r="D346" s="162" t="s">
        <v>204</v>
      </c>
      <c r="K346" s="686" t="s">
        <v>227</v>
      </c>
      <c r="L346" s="687"/>
      <c r="M346" s="687"/>
      <c r="N346" s="688"/>
      <c r="S346" s="686" t="s">
        <v>227</v>
      </c>
      <c r="T346" s="687"/>
      <c r="U346" s="687"/>
      <c r="V346" s="688"/>
    </row>
    <row r="347" spans="1:22" ht="18" hidden="1">
      <c r="A347" s="23" t="s">
        <v>39</v>
      </c>
      <c r="B347" s="163">
        <f>B198</f>
        <v>385</v>
      </c>
      <c r="C347" t="s">
        <v>40</v>
      </c>
      <c r="D347" s="100"/>
      <c r="K347" s="689" t="s">
        <v>206</v>
      </c>
      <c r="L347" s="690"/>
      <c r="M347" s="690"/>
      <c r="N347" s="691"/>
      <c r="P347"/>
      <c r="S347" s="689" t="s">
        <v>228</v>
      </c>
      <c r="T347" s="690"/>
      <c r="U347" s="690"/>
      <c r="V347" s="691"/>
    </row>
    <row r="348" spans="1:22" ht="18" hidden="1">
      <c r="A348" s="4" t="s">
        <v>2</v>
      </c>
      <c r="B348" s="164" t="s">
        <v>207</v>
      </c>
      <c r="C348" s="5" t="s">
        <v>208</v>
      </c>
      <c r="D348" s="150" t="s">
        <v>183</v>
      </c>
      <c r="E348" s="164" t="s">
        <v>209</v>
      </c>
      <c r="F348" s="5" t="s">
        <v>210</v>
      </c>
      <c r="G348" s="4" t="s">
        <v>211</v>
      </c>
      <c r="K348" s="692" t="s">
        <v>229</v>
      </c>
      <c r="L348" s="693"/>
      <c r="M348" s="693"/>
      <c r="N348" s="694"/>
      <c r="P348" s="695" t="s">
        <v>199</v>
      </c>
      <c r="Q348" s="695"/>
      <c r="S348" s="692" t="s">
        <v>229</v>
      </c>
      <c r="T348" s="693"/>
      <c r="U348" s="693"/>
      <c r="V348" s="694"/>
    </row>
    <row r="349" spans="1:22" ht="30" hidden="1">
      <c r="A349" s="8"/>
      <c r="B349" s="166" t="s">
        <v>17</v>
      </c>
      <c r="C349" s="8"/>
      <c r="D349" s="151" t="s">
        <v>18</v>
      </c>
      <c r="E349" s="166" t="s">
        <v>18</v>
      </c>
      <c r="F349" s="8"/>
      <c r="G349" s="82" t="s">
        <v>17</v>
      </c>
      <c r="K349" s="178">
        <v>0.6</v>
      </c>
      <c r="L349" s="178">
        <v>0.7</v>
      </c>
      <c r="M349" s="178">
        <v>0.8</v>
      </c>
      <c r="N349" s="178">
        <v>0.9</v>
      </c>
      <c r="P349" s="159" t="s">
        <v>212</v>
      </c>
      <c r="Q349" s="159" t="s">
        <v>201</v>
      </c>
      <c r="S349" s="178">
        <v>0.6</v>
      </c>
      <c r="T349" s="178">
        <v>0.7</v>
      </c>
      <c r="U349" s="178">
        <v>0.8</v>
      </c>
      <c r="V349" s="178">
        <v>0.9</v>
      </c>
    </row>
    <row r="350" spans="1:22" hidden="1">
      <c r="A350" s="44" t="s">
        <v>214</v>
      </c>
      <c r="B350" s="168">
        <f t="shared" ref="B350:B358" si="56">MIN(B319,D319)</f>
        <v>6.5399051307086493</v>
      </c>
      <c r="C350" s="169">
        <v>0.108</v>
      </c>
      <c r="D350" s="153">
        <v>21</v>
      </c>
      <c r="E350" s="168">
        <f>D350+10+$B$346</f>
        <v>79.5</v>
      </c>
      <c r="F350" s="170">
        <f>1/(1+E350*C350)</f>
        <v>0.10431879824744418</v>
      </c>
      <c r="G350" s="171">
        <f>F350*B350</f>
        <v>0.68223504388782064</v>
      </c>
      <c r="K350" s="88">
        <f>$G350*K$349/1.3</f>
        <v>0.31487771256360952</v>
      </c>
      <c r="L350" s="88">
        <f t="shared" ref="L350:N360" si="57">$G350*L$349/1.3</f>
        <v>0.36735733132421106</v>
      </c>
      <c r="M350" s="88">
        <f t="shared" si="57"/>
        <v>0.4198369500848127</v>
      </c>
      <c r="N350" s="88">
        <f t="shared" si="57"/>
        <v>0.47231656884541434</v>
      </c>
      <c r="P350" s="179">
        <f>K350*200/1.35</f>
        <v>46.64855000942363</v>
      </c>
      <c r="Q350" s="179">
        <f>(K350+(4/1.3*0.6))*200/1.35</f>
        <v>320.15282351369706</v>
      </c>
      <c r="S350" s="88">
        <f t="shared" ref="S350:V360" si="58">($G350+$B$203)*S$368/1.3</f>
        <v>2.1610315587174558</v>
      </c>
      <c r="T350" s="88">
        <f t="shared" si="58"/>
        <v>2.5212034851703646</v>
      </c>
      <c r="U350" s="88">
        <f t="shared" si="58"/>
        <v>2.8813754116232744</v>
      </c>
      <c r="V350" s="88">
        <f t="shared" si="58"/>
        <v>3.2415473380761832</v>
      </c>
    </row>
    <row r="351" spans="1:22" hidden="1">
      <c r="A351" s="44" t="s">
        <v>215</v>
      </c>
      <c r="B351" s="168">
        <f t="shared" si="56"/>
        <v>8.8755855345331689</v>
      </c>
      <c r="C351" s="169">
        <v>6.9000000000000006E-2</v>
      </c>
      <c r="D351" s="153">
        <v>31</v>
      </c>
      <c r="E351" s="168">
        <f t="shared" ref="E351:E360" si="59">D351+10+$B$346</f>
        <v>89.5</v>
      </c>
      <c r="F351" s="170">
        <f t="shared" ref="F351:F360" si="60">1/(1+E351*C351)</f>
        <v>0.13936311058462825</v>
      </c>
      <c r="G351" s="171">
        <f t="shared" ref="G351:G360" si="61">F351*B351</f>
        <v>1.2369292083524728</v>
      </c>
      <c r="K351" s="88">
        <f t="shared" ref="K351:K360" si="62">$G351*K$349/1.3</f>
        <v>0.57089040385498746</v>
      </c>
      <c r="L351" s="88">
        <f t="shared" si="57"/>
        <v>0.66603880449748532</v>
      </c>
      <c r="M351" s="88">
        <f t="shared" si="57"/>
        <v>0.76118720513998328</v>
      </c>
      <c r="N351" s="88">
        <f t="shared" si="57"/>
        <v>0.85633560578248114</v>
      </c>
      <c r="P351" s="179">
        <f t="shared" ref="P351:P360" si="63">K351*200/1.35</f>
        <v>84.576356126664805</v>
      </c>
      <c r="Q351" s="179">
        <f t="shared" ref="Q351:Q360" si="64">(K351+(4/1.3*0.6))*200/1.35</f>
        <v>358.08062963093823</v>
      </c>
      <c r="S351" s="88">
        <f t="shared" si="58"/>
        <v>2.4170442500088334</v>
      </c>
      <c r="T351" s="88">
        <f t="shared" si="58"/>
        <v>2.8198849583436392</v>
      </c>
      <c r="U351" s="88">
        <f t="shared" si="58"/>
        <v>3.222725666678445</v>
      </c>
      <c r="V351" s="88">
        <f t="shared" si="58"/>
        <v>3.6255663750132507</v>
      </c>
    </row>
    <row r="352" spans="1:22" hidden="1">
      <c r="A352" s="44" t="s">
        <v>216</v>
      </c>
      <c r="B352" s="168">
        <f t="shared" si="56"/>
        <v>13.079810261417299</v>
      </c>
      <c r="C352" s="169">
        <v>5.3999999999999999E-2</v>
      </c>
      <c r="D352" s="153">
        <v>41</v>
      </c>
      <c r="E352" s="168">
        <f t="shared" si="59"/>
        <v>99.5</v>
      </c>
      <c r="F352" s="170">
        <f t="shared" si="60"/>
        <v>0.15691197238349286</v>
      </c>
      <c r="G352" s="171">
        <f t="shared" si="61"/>
        <v>2.0523788265208376</v>
      </c>
      <c r="K352" s="88">
        <f t="shared" si="62"/>
        <v>0.94725176608654038</v>
      </c>
      <c r="L352" s="88">
        <f t="shared" si="57"/>
        <v>1.1051270604342971</v>
      </c>
      <c r="M352" s="88">
        <f t="shared" si="57"/>
        <v>1.2630023547820539</v>
      </c>
      <c r="N352" s="88">
        <f t="shared" si="57"/>
        <v>1.4208776491298105</v>
      </c>
      <c r="P352" s="179">
        <f t="shared" si="63"/>
        <v>140.33359497578374</v>
      </c>
      <c r="Q352" s="179">
        <f t="shared" si="64"/>
        <v>413.83786848005724</v>
      </c>
      <c r="S352" s="88">
        <f t="shared" si="58"/>
        <v>2.7934056122403863</v>
      </c>
      <c r="T352" s="88">
        <f t="shared" si="58"/>
        <v>3.2589732142804504</v>
      </c>
      <c r="U352" s="88">
        <f t="shared" si="58"/>
        <v>3.7245408163205154</v>
      </c>
      <c r="V352" s="88">
        <f t="shared" si="58"/>
        <v>4.1901084183605795</v>
      </c>
    </row>
    <row r="353" spans="1:22" hidden="1">
      <c r="A353" s="44" t="s">
        <v>217</v>
      </c>
      <c r="B353" s="168">
        <f t="shared" si="56"/>
        <v>17.050466947918981</v>
      </c>
      <c r="C353" s="169">
        <v>4.4999999999999998E-2</v>
      </c>
      <c r="D353" s="153">
        <v>51</v>
      </c>
      <c r="E353" s="168">
        <f t="shared" si="59"/>
        <v>109.5</v>
      </c>
      <c r="F353" s="170">
        <f t="shared" si="60"/>
        <v>0.16870518768452128</v>
      </c>
      <c r="G353" s="171">
        <f t="shared" si="61"/>
        <v>2.8765022265573985</v>
      </c>
      <c r="K353" s="88">
        <f t="shared" si="62"/>
        <v>1.3276164122572607</v>
      </c>
      <c r="L353" s="88">
        <f t="shared" si="57"/>
        <v>1.5488858143001374</v>
      </c>
      <c r="M353" s="88">
        <f t="shared" si="57"/>
        <v>1.7701552163430145</v>
      </c>
      <c r="N353" s="88">
        <f t="shared" si="57"/>
        <v>1.9914246183858912</v>
      </c>
      <c r="P353" s="179">
        <f t="shared" si="63"/>
        <v>196.68391292700156</v>
      </c>
      <c r="Q353" s="179">
        <f t="shared" si="64"/>
        <v>470.18818643127503</v>
      </c>
      <c r="S353" s="88">
        <f t="shared" si="58"/>
        <v>3.1737702584111069</v>
      </c>
      <c r="T353" s="88">
        <f t="shared" si="58"/>
        <v>3.7027319681462911</v>
      </c>
      <c r="U353" s="88">
        <f t="shared" si="58"/>
        <v>4.2316936778814762</v>
      </c>
      <c r="V353" s="88">
        <f t="shared" si="58"/>
        <v>4.7606553876166604</v>
      </c>
    </row>
    <row r="354" spans="1:22" hidden="1">
      <c r="A354" s="44" t="s">
        <v>218</v>
      </c>
      <c r="B354" s="168">
        <f t="shared" si="56"/>
        <v>21.254691674803112</v>
      </c>
      <c r="C354" s="169">
        <v>3.7999999999999999E-2</v>
      </c>
      <c r="D354" s="153">
        <v>61</v>
      </c>
      <c r="E354" s="168">
        <f t="shared" si="59"/>
        <v>119.5</v>
      </c>
      <c r="F354" s="170">
        <f t="shared" si="60"/>
        <v>0.18047283883775495</v>
      </c>
      <c r="G354" s="171">
        <f t="shared" si="61"/>
        <v>3.8358945451729136</v>
      </c>
      <c r="K354" s="88">
        <f t="shared" si="62"/>
        <v>1.7704128670028829</v>
      </c>
      <c r="L354" s="88">
        <f t="shared" si="57"/>
        <v>2.0654816781700305</v>
      </c>
      <c r="M354" s="88">
        <f t="shared" si="57"/>
        <v>2.3605504893371778</v>
      </c>
      <c r="N354" s="88">
        <f t="shared" si="57"/>
        <v>2.6556193005043247</v>
      </c>
      <c r="P354" s="179">
        <f t="shared" si="63"/>
        <v>262.28338770413075</v>
      </c>
      <c r="Q354" s="179">
        <f t="shared" si="64"/>
        <v>535.7876612084043</v>
      </c>
      <c r="S354" s="88">
        <f t="shared" si="58"/>
        <v>3.616566713156729</v>
      </c>
      <c r="T354" s="88">
        <f t="shared" si="58"/>
        <v>4.2193278320161838</v>
      </c>
      <c r="U354" s="88">
        <f t="shared" si="58"/>
        <v>4.8220889508756395</v>
      </c>
      <c r="V354" s="88">
        <f t="shared" si="58"/>
        <v>5.4248500697350934</v>
      </c>
    </row>
    <row r="355" spans="1:22" hidden="1">
      <c r="A355" s="44" t="s">
        <v>219</v>
      </c>
      <c r="B355" s="168">
        <f t="shared" si="56"/>
        <v>25.458916401687247</v>
      </c>
      <c r="C355" s="169">
        <v>3.4000000000000002E-2</v>
      </c>
      <c r="D355" s="153">
        <v>71</v>
      </c>
      <c r="E355" s="168">
        <f t="shared" si="59"/>
        <v>129.5</v>
      </c>
      <c r="F355" s="170">
        <f t="shared" si="60"/>
        <v>0.18508236165093464</v>
      </c>
      <c r="G355" s="171">
        <f t="shared" si="61"/>
        <v>4.7119963726979908</v>
      </c>
      <c r="K355" s="88">
        <f t="shared" si="62"/>
        <v>2.1747675566298419</v>
      </c>
      <c r="L355" s="88">
        <f t="shared" si="57"/>
        <v>2.5372288160681489</v>
      </c>
      <c r="M355" s="88">
        <f t="shared" si="57"/>
        <v>2.8996900755064559</v>
      </c>
      <c r="N355" s="88">
        <f t="shared" si="57"/>
        <v>3.2621513349447628</v>
      </c>
      <c r="P355" s="179">
        <f t="shared" si="63"/>
        <v>322.18778616738399</v>
      </c>
      <c r="Q355" s="179">
        <f t="shared" si="64"/>
        <v>595.69205967165738</v>
      </c>
      <c r="S355" s="88">
        <f t="shared" si="58"/>
        <v>4.0209214027836877</v>
      </c>
      <c r="T355" s="88">
        <f t="shared" si="58"/>
        <v>4.6910749699143022</v>
      </c>
      <c r="U355" s="88">
        <f t="shared" si="58"/>
        <v>5.3612285370449175</v>
      </c>
      <c r="V355" s="88">
        <f t="shared" si="58"/>
        <v>6.031382104175532</v>
      </c>
    </row>
    <row r="356" spans="1:22" hidden="1">
      <c r="A356" s="44" t="s">
        <v>220</v>
      </c>
      <c r="B356" s="168">
        <f t="shared" si="56"/>
        <v>15.415490665241817</v>
      </c>
      <c r="C356" s="169">
        <v>0.03</v>
      </c>
      <c r="D356" s="153">
        <v>66</v>
      </c>
      <c r="E356" s="168">
        <f t="shared" si="59"/>
        <v>124.5</v>
      </c>
      <c r="F356" s="170">
        <f t="shared" si="60"/>
        <v>0.2111932418162619</v>
      </c>
      <c r="G356" s="171">
        <f t="shared" si="61"/>
        <v>3.2556474477807429</v>
      </c>
      <c r="K356" s="88">
        <f t="shared" si="62"/>
        <v>1.5026065143603429</v>
      </c>
      <c r="L356" s="88">
        <f t="shared" si="57"/>
        <v>1.7530409334204</v>
      </c>
      <c r="M356" s="88">
        <f t="shared" si="57"/>
        <v>2.0034753524804572</v>
      </c>
      <c r="N356" s="88">
        <f t="shared" si="57"/>
        <v>2.2539097715405143</v>
      </c>
      <c r="P356" s="179">
        <f t="shared" si="63"/>
        <v>222.60837249782858</v>
      </c>
      <c r="Q356" s="179">
        <f t="shared" si="64"/>
        <v>496.11264600210194</v>
      </c>
      <c r="S356" s="88">
        <f t="shared" si="58"/>
        <v>3.3487603605141887</v>
      </c>
      <c r="T356" s="88">
        <f t="shared" si="58"/>
        <v>3.9068870872665533</v>
      </c>
      <c r="U356" s="88">
        <f t="shared" si="58"/>
        <v>4.4650138140189188</v>
      </c>
      <c r="V356" s="88">
        <f t="shared" si="58"/>
        <v>5.0231405407712835</v>
      </c>
    </row>
    <row r="357" spans="1:22" hidden="1">
      <c r="A357" s="44" t="s">
        <v>221</v>
      </c>
      <c r="B357" s="168">
        <f t="shared" si="56"/>
        <v>23.590372078627627</v>
      </c>
      <c r="C357" s="169">
        <v>2.4E-2</v>
      </c>
      <c r="D357" s="153">
        <v>87</v>
      </c>
      <c r="E357" s="168">
        <f t="shared" si="59"/>
        <v>145.5</v>
      </c>
      <c r="F357" s="170">
        <f t="shared" si="60"/>
        <v>0.22261798753339271</v>
      </c>
      <c r="G357" s="171">
        <f t="shared" si="61"/>
        <v>5.2516411573080202</v>
      </c>
      <c r="K357" s="88">
        <f t="shared" si="62"/>
        <v>2.4238343802960092</v>
      </c>
      <c r="L357" s="88">
        <f t="shared" si="57"/>
        <v>2.8278067770120106</v>
      </c>
      <c r="M357" s="88">
        <f t="shared" si="57"/>
        <v>3.2317791737280124</v>
      </c>
      <c r="N357" s="88">
        <f t="shared" si="57"/>
        <v>3.6357515704440138</v>
      </c>
      <c r="P357" s="179">
        <f t="shared" si="63"/>
        <v>359.08657485866797</v>
      </c>
      <c r="Q357" s="179">
        <f t="shared" si="64"/>
        <v>632.59084836294153</v>
      </c>
      <c r="S357" s="88">
        <f t="shared" si="58"/>
        <v>4.269988226449855</v>
      </c>
      <c r="T357" s="88">
        <f t="shared" si="58"/>
        <v>4.9816529308581643</v>
      </c>
      <c r="U357" s="88">
        <f t="shared" si="58"/>
        <v>5.6933176352664736</v>
      </c>
      <c r="V357" s="88">
        <f t="shared" si="58"/>
        <v>6.4049823396747838</v>
      </c>
    </row>
    <row r="358" spans="1:22" hidden="1">
      <c r="A358" s="44" t="s">
        <v>222</v>
      </c>
      <c r="B358" s="168">
        <f t="shared" si="56"/>
        <v>31.99882153239589</v>
      </c>
      <c r="C358" s="169">
        <v>0.02</v>
      </c>
      <c r="D358" s="153">
        <v>110</v>
      </c>
      <c r="E358" s="168">
        <f t="shared" si="59"/>
        <v>168.5</v>
      </c>
      <c r="F358" s="170">
        <f t="shared" si="60"/>
        <v>0.22883295194508008</v>
      </c>
      <c r="G358" s="171">
        <f t="shared" si="61"/>
        <v>7.3223847900219425</v>
      </c>
      <c r="K358" s="88">
        <f t="shared" si="62"/>
        <v>3.3795622107793579</v>
      </c>
      <c r="L358" s="88">
        <f t="shared" si="57"/>
        <v>3.9428225792425842</v>
      </c>
      <c r="M358" s="88">
        <f t="shared" si="57"/>
        <v>4.5060829477058109</v>
      </c>
      <c r="N358" s="88">
        <f t="shared" si="57"/>
        <v>5.0693433161690367</v>
      </c>
      <c r="P358" s="179">
        <f t="shared" si="63"/>
        <v>500.67588307842334</v>
      </c>
      <c r="Q358" s="179">
        <f t="shared" si="64"/>
        <v>774.18015658269667</v>
      </c>
      <c r="S358" s="88">
        <f t="shared" si="58"/>
        <v>5.2257160569332042</v>
      </c>
      <c r="T358" s="88">
        <f t="shared" si="58"/>
        <v>6.0966687330887375</v>
      </c>
      <c r="U358" s="88">
        <f t="shared" si="58"/>
        <v>6.9676214092442716</v>
      </c>
      <c r="V358" s="88">
        <f t="shared" si="58"/>
        <v>7.8385740853998067</v>
      </c>
    </row>
    <row r="359" spans="1:22" hidden="1">
      <c r="A359" s="44" t="s">
        <v>223</v>
      </c>
      <c r="B359" s="168">
        <f>B358</f>
        <v>31.99882153239589</v>
      </c>
      <c r="C359" s="169">
        <v>1.7999999999999999E-2</v>
      </c>
      <c r="D359" s="153">
        <v>130</v>
      </c>
      <c r="E359" s="168">
        <f t="shared" si="59"/>
        <v>188.5</v>
      </c>
      <c r="F359" s="170">
        <f t="shared" si="60"/>
        <v>0.22763487366264512</v>
      </c>
      <c r="G359" s="171">
        <f t="shared" si="61"/>
        <v>7.2840476968804673</v>
      </c>
      <c r="K359" s="88">
        <f t="shared" si="62"/>
        <v>3.361868167790985</v>
      </c>
      <c r="L359" s="88">
        <f t="shared" si="57"/>
        <v>3.9221795290894819</v>
      </c>
      <c r="M359" s="88">
        <f t="shared" si="57"/>
        <v>4.4824908903879805</v>
      </c>
      <c r="N359" s="88">
        <f t="shared" si="57"/>
        <v>5.042802251686477</v>
      </c>
      <c r="P359" s="179">
        <f t="shared" si="63"/>
        <v>498.05454337644215</v>
      </c>
      <c r="Q359" s="179">
        <f t="shared" si="64"/>
        <v>771.55881688071565</v>
      </c>
      <c r="S359" s="88">
        <f t="shared" si="58"/>
        <v>5.2080220139448308</v>
      </c>
      <c r="T359" s="88">
        <f t="shared" si="58"/>
        <v>6.0760256829356356</v>
      </c>
      <c r="U359" s="88">
        <f t="shared" si="58"/>
        <v>6.9440293519264413</v>
      </c>
      <c r="V359" s="88">
        <f t="shared" si="58"/>
        <v>7.8120330209172462</v>
      </c>
    </row>
    <row r="360" spans="1:22" hidden="1">
      <c r="A360" s="44" t="s">
        <v>224</v>
      </c>
      <c r="B360" s="168">
        <f>B359</f>
        <v>31.99882153239589</v>
      </c>
      <c r="C360" s="169">
        <v>1.6E-2</v>
      </c>
      <c r="D360" s="153">
        <v>240</v>
      </c>
      <c r="E360" s="168">
        <f t="shared" si="59"/>
        <v>298.5</v>
      </c>
      <c r="F360" s="170">
        <f t="shared" si="60"/>
        <v>0.17313019390581719</v>
      </c>
      <c r="G360" s="171">
        <f t="shared" si="61"/>
        <v>5.5399621766613389</v>
      </c>
      <c r="K360" s="88">
        <f t="shared" si="62"/>
        <v>2.5569056199975408</v>
      </c>
      <c r="L360" s="88">
        <f t="shared" si="57"/>
        <v>2.9830565566637977</v>
      </c>
      <c r="M360" s="88">
        <f t="shared" si="57"/>
        <v>3.4092074933300549</v>
      </c>
      <c r="N360" s="88">
        <f t="shared" si="57"/>
        <v>3.8353584299963117</v>
      </c>
      <c r="P360" s="179">
        <f t="shared" si="63"/>
        <v>378.80083259222829</v>
      </c>
      <c r="Q360" s="179">
        <f t="shared" si="64"/>
        <v>652.30510609650173</v>
      </c>
      <c r="S360" s="88">
        <f t="shared" si="58"/>
        <v>4.4030594661513875</v>
      </c>
      <c r="T360" s="88">
        <f t="shared" si="58"/>
        <v>5.1369027105099514</v>
      </c>
      <c r="U360" s="88">
        <f t="shared" si="58"/>
        <v>5.8707459548685161</v>
      </c>
      <c r="V360" s="88">
        <f t="shared" si="58"/>
        <v>6.6045891992270809</v>
      </c>
    </row>
    <row r="361" spans="1:22" hidden="1">
      <c r="A361" s="3"/>
      <c r="B361" s="172"/>
      <c r="C361" s="173"/>
      <c r="D361" s="100"/>
      <c r="E361" s="172"/>
      <c r="F361" s="174"/>
      <c r="G361" s="175"/>
      <c r="K361" s="116"/>
      <c r="L361" s="116"/>
      <c r="M361" s="116"/>
      <c r="N361" s="116"/>
      <c r="P361" s="176"/>
      <c r="Q361" s="176"/>
    </row>
    <row r="362" spans="1:22" hidden="1">
      <c r="A362" s="3"/>
      <c r="D362" s="100"/>
    </row>
    <row r="363" spans="1:22" ht="23.25" hidden="1">
      <c r="A363" s="177" t="s">
        <v>225</v>
      </c>
      <c r="D363" s="100"/>
    </row>
    <row r="364" spans="1:22" hidden="1">
      <c r="A364" s="161" t="s">
        <v>202</v>
      </c>
      <c r="B364" s="22">
        <v>58</v>
      </c>
      <c r="C364" t="s">
        <v>65</v>
      </c>
      <c r="D364" s="100"/>
    </row>
    <row r="365" spans="1:22" ht="18" hidden="1">
      <c r="A365" s="161" t="s">
        <v>203</v>
      </c>
      <c r="B365">
        <f>19+B364/2</f>
        <v>48</v>
      </c>
      <c r="C365" t="s">
        <v>65</v>
      </c>
      <c r="D365" s="162" t="s">
        <v>226</v>
      </c>
      <c r="K365" s="686" t="s">
        <v>227</v>
      </c>
      <c r="L365" s="687"/>
      <c r="M365" s="687"/>
      <c r="N365" s="688"/>
      <c r="S365" s="686" t="s">
        <v>227</v>
      </c>
      <c r="T365" s="687"/>
      <c r="U365" s="687"/>
      <c r="V365" s="688"/>
    </row>
    <row r="366" spans="1:22" ht="18" hidden="1">
      <c r="A366" s="23" t="s">
        <v>39</v>
      </c>
      <c r="B366" s="163">
        <v>380</v>
      </c>
      <c r="C366" t="s">
        <v>40</v>
      </c>
      <c r="D366" s="100"/>
      <c r="K366" s="689" t="s">
        <v>206</v>
      </c>
      <c r="L366" s="690"/>
      <c r="M366" s="690"/>
      <c r="N366" s="691"/>
      <c r="P366"/>
      <c r="S366" s="689" t="s">
        <v>228</v>
      </c>
      <c r="T366" s="690"/>
      <c r="U366" s="690"/>
      <c r="V366" s="691"/>
    </row>
    <row r="367" spans="1:22" ht="18" hidden="1">
      <c r="A367" s="4" t="s">
        <v>2</v>
      </c>
      <c r="B367" s="164" t="s">
        <v>207</v>
      </c>
      <c r="C367" s="5" t="s">
        <v>208</v>
      </c>
      <c r="D367" s="150" t="s">
        <v>183</v>
      </c>
      <c r="E367" s="164" t="s">
        <v>209</v>
      </c>
      <c r="F367" s="5" t="s">
        <v>210</v>
      </c>
      <c r="G367" s="4" t="s">
        <v>211</v>
      </c>
      <c r="K367" s="692" t="s">
        <v>229</v>
      </c>
      <c r="L367" s="693"/>
      <c r="M367" s="693"/>
      <c r="N367" s="694"/>
      <c r="P367" s="695" t="s">
        <v>199</v>
      </c>
      <c r="Q367" s="695"/>
      <c r="S367" s="692" t="s">
        <v>229</v>
      </c>
      <c r="T367" s="693"/>
      <c r="U367" s="693"/>
      <c r="V367" s="694"/>
    </row>
    <row r="368" spans="1:22" ht="30" hidden="1">
      <c r="A368" s="8"/>
      <c r="B368" s="166" t="s">
        <v>17</v>
      </c>
      <c r="C368" s="8"/>
      <c r="D368" s="151" t="s">
        <v>18</v>
      </c>
      <c r="E368" s="166" t="s">
        <v>18</v>
      </c>
      <c r="F368" s="8"/>
      <c r="G368" s="82" t="s">
        <v>17</v>
      </c>
      <c r="K368" s="178">
        <v>0.6</v>
      </c>
      <c r="L368" s="178">
        <v>0.7</v>
      </c>
      <c r="M368" s="178">
        <v>0.8</v>
      </c>
      <c r="N368" s="178">
        <v>0.9</v>
      </c>
      <c r="P368" s="159" t="s">
        <v>212</v>
      </c>
      <c r="Q368" s="159" t="s">
        <v>201</v>
      </c>
      <c r="S368" s="178">
        <v>0.6</v>
      </c>
      <c r="T368" s="178">
        <v>0.7</v>
      </c>
      <c r="U368" s="178">
        <v>0.8</v>
      </c>
      <c r="V368" s="178">
        <v>0.9</v>
      </c>
    </row>
    <row r="369" spans="1:39" hidden="1">
      <c r="A369" s="44" t="s">
        <v>214</v>
      </c>
      <c r="B369" s="168">
        <f t="shared" ref="B369:B377" si="65">MIN(B319,D319)</f>
        <v>6.5399051307086493</v>
      </c>
      <c r="C369" s="169">
        <v>0.108</v>
      </c>
      <c r="D369" s="153">
        <v>21</v>
      </c>
      <c r="E369" s="168">
        <f>D369+10+$B$365</f>
        <v>79</v>
      </c>
      <c r="F369" s="170">
        <f>1/(1+E369*C369)</f>
        <v>0.1049097775912715</v>
      </c>
      <c r="G369" s="171">
        <f>F369*B369</f>
        <v>0.6860999927306598</v>
      </c>
      <c r="K369" s="88">
        <f>$G369*K$349/1.3</f>
        <v>0.31666153510645839</v>
      </c>
      <c r="L369" s="88">
        <f t="shared" ref="L369:N379" si="66">$G369*L$349/1.3</f>
        <v>0.36943845762420141</v>
      </c>
      <c r="M369" s="88">
        <f t="shared" si="66"/>
        <v>0.42221538014194449</v>
      </c>
      <c r="N369" s="88">
        <f t="shared" si="66"/>
        <v>0.4749923026596875</v>
      </c>
      <c r="P369" s="179">
        <f>K369*200/1.35</f>
        <v>46.912820015771608</v>
      </c>
      <c r="Q369" s="179">
        <f>(K369+(4/1.3*0.6))*200/1.35</f>
        <v>320.41709352004506</v>
      </c>
      <c r="S369" s="88">
        <f t="shared" ref="S369:V379" si="67">($G369+$B$203)*S$368/1.3</f>
        <v>2.1628153812603044</v>
      </c>
      <c r="T369" s="88">
        <f t="shared" si="67"/>
        <v>2.5232846114703551</v>
      </c>
      <c r="U369" s="88">
        <f t="shared" si="67"/>
        <v>2.8837538416804063</v>
      </c>
      <c r="V369" s="88">
        <f t="shared" si="67"/>
        <v>3.244223071890457</v>
      </c>
    </row>
    <row r="370" spans="1:39" hidden="1">
      <c r="A370" s="44" t="s">
        <v>215</v>
      </c>
      <c r="B370" s="168">
        <f t="shared" si="65"/>
        <v>8.8755855345331689</v>
      </c>
      <c r="C370" s="169">
        <v>6.9000000000000006E-2</v>
      </c>
      <c r="D370" s="153">
        <v>31</v>
      </c>
      <c r="E370" s="168">
        <f t="shared" ref="E370:E379" si="68">D370+10+$B$365</f>
        <v>89</v>
      </c>
      <c r="F370" s="170">
        <f t="shared" ref="F370:F379" si="69">1/(1+E370*C370)</f>
        <v>0.14003640946646126</v>
      </c>
      <c r="G370" s="171">
        <f t="shared" ref="G370:G379" si="70">F370*B370</f>
        <v>1.2429051301684872</v>
      </c>
      <c r="K370" s="88">
        <f t="shared" ref="K370:K379" si="71">$G370*K$349/1.3</f>
        <v>0.57364852161622482</v>
      </c>
      <c r="L370" s="88">
        <f t="shared" si="66"/>
        <v>0.66925660855226232</v>
      </c>
      <c r="M370" s="88">
        <f t="shared" si="66"/>
        <v>0.76486469548829994</v>
      </c>
      <c r="N370" s="88">
        <f t="shared" si="66"/>
        <v>0.86047278242433722</v>
      </c>
      <c r="P370" s="179">
        <f t="shared" ref="P370:P379" si="72">K370*200/1.35</f>
        <v>84.984966165366629</v>
      </c>
      <c r="Q370" s="179">
        <f t="shared" ref="Q370:Q379" si="73">(K370+(4/1.3*0.6))*200/1.35</f>
        <v>358.48923966964009</v>
      </c>
      <c r="S370" s="88">
        <f t="shared" si="67"/>
        <v>2.4198023677700711</v>
      </c>
      <c r="T370" s="88">
        <f t="shared" si="67"/>
        <v>2.8231027623984155</v>
      </c>
      <c r="U370" s="88">
        <f t="shared" si="67"/>
        <v>3.2264031570267613</v>
      </c>
      <c r="V370" s="88">
        <f t="shared" si="67"/>
        <v>3.6297035516551066</v>
      </c>
    </row>
    <row r="371" spans="1:39" hidden="1">
      <c r="A371" s="44" t="s">
        <v>216</v>
      </c>
      <c r="B371" s="168">
        <f t="shared" si="65"/>
        <v>13.079810261417299</v>
      </c>
      <c r="C371" s="169">
        <v>5.3999999999999999E-2</v>
      </c>
      <c r="D371" s="153">
        <v>41</v>
      </c>
      <c r="E371" s="168">
        <f t="shared" si="68"/>
        <v>99</v>
      </c>
      <c r="F371" s="170">
        <f t="shared" si="69"/>
        <v>0.15757957768673181</v>
      </c>
      <c r="G371" s="171">
        <f t="shared" si="70"/>
        <v>2.0611109772167193</v>
      </c>
      <c r="K371" s="88">
        <f t="shared" si="71"/>
        <v>0.9512819894846396</v>
      </c>
      <c r="L371" s="88">
        <f t="shared" si="66"/>
        <v>1.1098289877320795</v>
      </c>
      <c r="M371" s="88">
        <f t="shared" si="66"/>
        <v>1.2683759859795196</v>
      </c>
      <c r="N371" s="88">
        <f t="shared" si="66"/>
        <v>1.4269229842269595</v>
      </c>
      <c r="P371" s="179">
        <f t="shared" si="72"/>
        <v>140.93066510883548</v>
      </c>
      <c r="Q371" s="179">
        <f t="shared" si="73"/>
        <v>414.43493861310895</v>
      </c>
      <c r="S371" s="88">
        <f t="shared" si="67"/>
        <v>2.7974358356384856</v>
      </c>
      <c r="T371" s="88">
        <f t="shared" si="67"/>
        <v>3.2636751415782332</v>
      </c>
      <c r="U371" s="88">
        <f t="shared" si="67"/>
        <v>3.7299144475179808</v>
      </c>
      <c r="V371" s="88">
        <f t="shared" si="67"/>
        <v>4.1961537534577289</v>
      </c>
    </row>
    <row r="372" spans="1:39" hidden="1">
      <c r="A372" s="44" t="s">
        <v>217</v>
      </c>
      <c r="B372" s="168">
        <f t="shared" si="65"/>
        <v>17.050466947918981</v>
      </c>
      <c r="C372" s="169">
        <v>4.4999999999999998E-2</v>
      </c>
      <c r="D372" s="153">
        <v>51</v>
      </c>
      <c r="E372" s="168">
        <f t="shared" si="68"/>
        <v>109</v>
      </c>
      <c r="F372" s="170">
        <f t="shared" si="69"/>
        <v>0.16934801016088061</v>
      </c>
      <c r="G372" s="171">
        <f t="shared" si="70"/>
        <v>2.8874626499439424</v>
      </c>
      <c r="K372" s="88">
        <f t="shared" si="71"/>
        <v>1.3326750692048963</v>
      </c>
      <c r="L372" s="88">
        <f t="shared" si="66"/>
        <v>1.5547875807390457</v>
      </c>
      <c r="M372" s="88">
        <f t="shared" si="66"/>
        <v>1.7769000922731955</v>
      </c>
      <c r="N372" s="88">
        <f t="shared" si="66"/>
        <v>1.9990126038073448</v>
      </c>
      <c r="P372" s="179">
        <f t="shared" si="72"/>
        <v>197.43334358591056</v>
      </c>
      <c r="Q372" s="179">
        <f t="shared" si="73"/>
        <v>470.93761709018395</v>
      </c>
      <c r="S372" s="88">
        <f t="shared" si="67"/>
        <v>3.1788289153587423</v>
      </c>
      <c r="T372" s="88">
        <f t="shared" si="67"/>
        <v>3.7086337345851996</v>
      </c>
      <c r="U372" s="88">
        <f t="shared" si="67"/>
        <v>4.2384385538116573</v>
      </c>
      <c r="V372" s="88">
        <f t="shared" si="67"/>
        <v>4.7682433730381133</v>
      </c>
    </row>
    <row r="373" spans="1:39" hidden="1">
      <c r="A373" s="44" t="s">
        <v>218</v>
      </c>
      <c r="B373" s="168">
        <f t="shared" si="65"/>
        <v>21.254691674803112</v>
      </c>
      <c r="C373" s="169">
        <v>3.7999999999999999E-2</v>
      </c>
      <c r="D373" s="153">
        <v>61</v>
      </c>
      <c r="E373" s="168">
        <f t="shared" si="68"/>
        <v>119</v>
      </c>
      <c r="F373" s="170">
        <f t="shared" si="69"/>
        <v>0.18109380659181457</v>
      </c>
      <c r="G373" s="171">
        <f t="shared" si="70"/>
        <v>3.8490930233254459</v>
      </c>
      <c r="K373" s="88">
        <f t="shared" si="71"/>
        <v>1.7765044723040517</v>
      </c>
      <c r="L373" s="88">
        <f t="shared" si="66"/>
        <v>2.0725885510213939</v>
      </c>
      <c r="M373" s="88">
        <f t="shared" si="66"/>
        <v>2.3686726297387359</v>
      </c>
      <c r="N373" s="88">
        <f t="shared" si="66"/>
        <v>2.6647567084560779</v>
      </c>
      <c r="P373" s="179">
        <f t="shared" si="72"/>
        <v>263.18584774874842</v>
      </c>
      <c r="Q373" s="179">
        <f t="shared" si="73"/>
        <v>536.69012125302186</v>
      </c>
      <c r="S373" s="88">
        <f t="shared" si="67"/>
        <v>3.6226583184578982</v>
      </c>
      <c r="T373" s="88">
        <f t="shared" si="67"/>
        <v>4.2264347048675477</v>
      </c>
      <c r="U373" s="88">
        <f t="shared" si="67"/>
        <v>4.8302110912771976</v>
      </c>
      <c r="V373" s="88">
        <f t="shared" si="67"/>
        <v>5.4339874776868475</v>
      </c>
    </row>
    <row r="374" spans="1:39" hidden="1">
      <c r="A374" s="44" t="s">
        <v>219</v>
      </c>
      <c r="B374" s="168">
        <f t="shared" si="65"/>
        <v>25.458916401687247</v>
      </c>
      <c r="C374" s="169">
        <v>3.4000000000000002E-2</v>
      </c>
      <c r="D374" s="153">
        <v>71</v>
      </c>
      <c r="E374" s="168">
        <f t="shared" si="68"/>
        <v>129</v>
      </c>
      <c r="F374" s="170">
        <f t="shared" si="69"/>
        <v>0.18566654288897141</v>
      </c>
      <c r="G374" s="171">
        <f t="shared" si="70"/>
        <v>4.7268689940006032</v>
      </c>
      <c r="K374" s="88">
        <f t="shared" si="71"/>
        <v>2.1816318433848938</v>
      </c>
      <c r="L374" s="88">
        <f t="shared" si="66"/>
        <v>2.545237150615709</v>
      </c>
      <c r="M374" s="88">
        <f t="shared" si="66"/>
        <v>2.9088424578465251</v>
      </c>
      <c r="N374" s="88">
        <f t="shared" si="66"/>
        <v>3.2724477650773403</v>
      </c>
      <c r="P374" s="179">
        <f t="shared" si="72"/>
        <v>323.20471753850273</v>
      </c>
      <c r="Q374" s="179">
        <f t="shared" si="73"/>
        <v>596.70899104277623</v>
      </c>
      <c r="S374" s="88">
        <f t="shared" si="67"/>
        <v>4.0277856895387396</v>
      </c>
      <c r="T374" s="88">
        <f t="shared" si="67"/>
        <v>4.6990833044618627</v>
      </c>
      <c r="U374" s="88">
        <f t="shared" si="67"/>
        <v>5.3703809193849876</v>
      </c>
      <c r="V374" s="88">
        <f t="shared" si="67"/>
        <v>6.0416785343081107</v>
      </c>
    </row>
    <row r="375" spans="1:39" hidden="1">
      <c r="A375" s="44" t="s">
        <v>220</v>
      </c>
      <c r="B375" s="168">
        <f t="shared" si="65"/>
        <v>15.415490665241817</v>
      </c>
      <c r="C375" s="169">
        <v>0.03</v>
      </c>
      <c r="D375" s="153">
        <v>66</v>
      </c>
      <c r="E375" s="168">
        <f t="shared" si="68"/>
        <v>124</v>
      </c>
      <c r="F375" s="170">
        <f t="shared" si="69"/>
        <v>0.21186440677966104</v>
      </c>
      <c r="G375" s="171">
        <f t="shared" si="70"/>
        <v>3.2659937850088601</v>
      </c>
      <c r="K375" s="88">
        <f t="shared" si="71"/>
        <v>1.507381746927166</v>
      </c>
      <c r="L375" s="88">
        <f t="shared" si="66"/>
        <v>1.7586120380816936</v>
      </c>
      <c r="M375" s="88">
        <f t="shared" si="66"/>
        <v>2.0098423292362217</v>
      </c>
      <c r="N375" s="88">
        <f t="shared" si="66"/>
        <v>2.261072620390749</v>
      </c>
      <c r="P375" s="179">
        <f t="shared" si="72"/>
        <v>223.31581435958012</v>
      </c>
      <c r="Q375" s="179">
        <f t="shared" si="73"/>
        <v>496.82008786385359</v>
      </c>
      <c r="S375" s="88">
        <f t="shared" si="67"/>
        <v>3.3535355930810122</v>
      </c>
      <c r="T375" s="88">
        <f t="shared" si="67"/>
        <v>3.9124581919278474</v>
      </c>
      <c r="U375" s="88">
        <f t="shared" si="67"/>
        <v>4.471380790774683</v>
      </c>
      <c r="V375" s="88">
        <f t="shared" si="67"/>
        <v>5.0303033896215181</v>
      </c>
    </row>
    <row r="376" spans="1:39" hidden="1">
      <c r="A376" s="44" t="s">
        <v>221</v>
      </c>
      <c r="B376" s="168">
        <f t="shared" si="65"/>
        <v>23.590372078627627</v>
      </c>
      <c r="C376" s="169">
        <v>2.4E-2</v>
      </c>
      <c r="D376" s="153">
        <v>87</v>
      </c>
      <c r="E376" s="168">
        <f t="shared" si="68"/>
        <v>145</v>
      </c>
      <c r="F376" s="170">
        <f t="shared" si="69"/>
        <v>0.2232142857142857</v>
      </c>
      <c r="G376" s="171">
        <f t="shared" si="70"/>
        <v>5.2657080532650946</v>
      </c>
      <c r="K376" s="88">
        <f t="shared" si="71"/>
        <v>2.4303267938146589</v>
      </c>
      <c r="L376" s="88">
        <f t="shared" si="66"/>
        <v>2.8353812594504353</v>
      </c>
      <c r="M376" s="88">
        <f t="shared" si="66"/>
        <v>3.2404357250862121</v>
      </c>
      <c r="N376" s="88">
        <f t="shared" si="66"/>
        <v>3.645490190721989</v>
      </c>
      <c r="P376" s="179">
        <f t="shared" si="72"/>
        <v>360.04841389846797</v>
      </c>
      <c r="Q376" s="179">
        <f t="shared" si="73"/>
        <v>633.5526874027413</v>
      </c>
      <c r="S376" s="88">
        <f t="shared" si="67"/>
        <v>4.2764806399685042</v>
      </c>
      <c r="T376" s="88">
        <f t="shared" si="67"/>
        <v>4.9892274132965886</v>
      </c>
      <c r="U376" s="88">
        <f t="shared" si="67"/>
        <v>5.7019741866246729</v>
      </c>
      <c r="V376" s="88">
        <f t="shared" si="67"/>
        <v>6.4147209599527573</v>
      </c>
    </row>
    <row r="377" spans="1:39" hidden="1">
      <c r="A377" s="44" t="s">
        <v>222</v>
      </c>
      <c r="B377" s="168">
        <f t="shared" si="65"/>
        <v>31.99882153239589</v>
      </c>
      <c r="C377" s="169">
        <v>0.02</v>
      </c>
      <c r="D377" s="153">
        <v>110</v>
      </c>
      <c r="E377" s="168">
        <f t="shared" si="68"/>
        <v>168</v>
      </c>
      <c r="F377" s="170">
        <f t="shared" si="69"/>
        <v>0.22935779816513766</v>
      </c>
      <c r="G377" s="171">
        <f t="shared" si="70"/>
        <v>7.3391792505495177</v>
      </c>
      <c r="K377" s="88">
        <f t="shared" si="71"/>
        <v>3.3873135002536232</v>
      </c>
      <c r="L377" s="88">
        <f t="shared" si="66"/>
        <v>3.9518657502958936</v>
      </c>
      <c r="M377" s="88">
        <f t="shared" si="66"/>
        <v>4.5164180003381649</v>
      </c>
      <c r="N377" s="88">
        <f t="shared" si="66"/>
        <v>5.0809702503804353</v>
      </c>
      <c r="P377" s="179">
        <f t="shared" si="72"/>
        <v>501.82422225979599</v>
      </c>
      <c r="Q377" s="179">
        <f t="shared" si="73"/>
        <v>775.32849576406954</v>
      </c>
      <c r="S377" s="88">
        <f t="shared" si="67"/>
        <v>5.233467346407469</v>
      </c>
      <c r="T377" s="88">
        <f t="shared" si="67"/>
        <v>6.1057119041420469</v>
      </c>
      <c r="U377" s="88">
        <f t="shared" si="67"/>
        <v>6.9779564618766265</v>
      </c>
      <c r="V377" s="88">
        <f t="shared" si="67"/>
        <v>7.8502010196112035</v>
      </c>
    </row>
    <row r="378" spans="1:39" hidden="1">
      <c r="A378" s="44" t="s">
        <v>223</v>
      </c>
      <c r="B378" s="168">
        <f>B377</f>
        <v>31.99882153239589</v>
      </c>
      <c r="C378" s="169">
        <v>1.7999999999999999E-2</v>
      </c>
      <c r="D378" s="153">
        <v>130</v>
      </c>
      <c r="E378" s="168">
        <f t="shared" si="68"/>
        <v>188</v>
      </c>
      <c r="F378" s="170">
        <f t="shared" si="69"/>
        <v>0.22810218978102187</v>
      </c>
      <c r="G378" s="171">
        <f t="shared" si="70"/>
        <v>7.2990012619516165</v>
      </c>
      <c r="K378" s="88">
        <f t="shared" si="71"/>
        <v>3.3687698132084383</v>
      </c>
      <c r="L378" s="88">
        <f t="shared" si="66"/>
        <v>3.9302314487431778</v>
      </c>
      <c r="M378" s="88">
        <f t="shared" si="66"/>
        <v>4.4916930842779177</v>
      </c>
      <c r="N378" s="88">
        <f t="shared" si="66"/>
        <v>5.0531547198126576</v>
      </c>
      <c r="P378" s="179">
        <f t="shared" si="72"/>
        <v>499.07700936421304</v>
      </c>
      <c r="Q378" s="179">
        <f t="shared" si="73"/>
        <v>772.5812828684866</v>
      </c>
      <c r="S378" s="88">
        <f t="shared" si="67"/>
        <v>5.2149236593622836</v>
      </c>
      <c r="T378" s="88">
        <f t="shared" si="67"/>
        <v>6.0840776025893319</v>
      </c>
      <c r="U378" s="88">
        <f t="shared" si="67"/>
        <v>6.9532315458163803</v>
      </c>
      <c r="V378" s="88">
        <f t="shared" si="67"/>
        <v>7.8223854890434259</v>
      </c>
    </row>
    <row r="379" spans="1:39" hidden="1">
      <c r="A379" s="44" t="s">
        <v>224</v>
      </c>
      <c r="B379" s="168">
        <f>B377</f>
        <v>31.99882153239589</v>
      </c>
      <c r="C379" s="169">
        <v>1.6E-2</v>
      </c>
      <c r="D379" s="153">
        <v>150</v>
      </c>
      <c r="E379" s="168">
        <f t="shared" si="68"/>
        <v>208</v>
      </c>
      <c r="F379" s="170">
        <f t="shared" si="69"/>
        <v>0.23105360443622919</v>
      </c>
      <c r="G379" s="171">
        <f t="shared" si="70"/>
        <v>7.3934430527716932</v>
      </c>
      <c r="K379" s="88">
        <f t="shared" si="71"/>
        <v>3.4123583320484738</v>
      </c>
      <c r="L379" s="88">
        <f t="shared" si="66"/>
        <v>3.981084720723219</v>
      </c>
      <c r="M379" s="88">
        <f t="shared" si="66"/>
        <v>4.5498111093979645</v>
      </c>
      <c r="N379" s="88">
        <f t="shared" si="66"/>
        <v>5.118537498072711</v>
      </c>
      <c r="P379" s="179">
        <f t="shared" si="72"/>
        <v>505.53456771088497</v>
      </c>
      <c r="Q379" s="179">
        <f t="shared" si="73"/>
        <v>779.03884121515853</v>
      </c>
      <c r="S379" s="88">
        <f t="shared" si="67"/>
        <v>5.2585121782023201</v>
      </c>
      <c r="T379" s="88">
        <f t="shared" si="67"/>
        <v>6.1349308745693731</v>
      </c>
      <c r="U379" s="88">
        <f t="shared" si="67"/>
        <v>7.0113495709364271</v>
      </c>
      <c r="V379" s="88">
        <f t="shared" si="67"/>
        <v>7.887768267303481</v>
      </c>
    </row>
    <row r="380" spans="1:39" hidden="1">
      <c r="A380" s="3"/>
      <c r="D380" s="100"/>
    </row>
    <row r="381" spans="1:39" hidden="1">
      <c r="A381" s="3"/>
      <c r="D381" s="100"/>
      <c r="P381"/>
      <c r="Q381"/>
      <c r="R381"/>
      <c r="S381"/>
    </row>
    <row r="382" spans="1:39">
      <c r="U382" s="189"/>
      <c r="V382" s="2"/>
      <c r="W382" s="2"/>
      <c r="X382" s="2"/>
      <c r="Y382" s="2"/>
      <c r="Z382" s="2"/>
      <c r="AA382" s="2"/>
      <c r="AB382" s="2"/>
      <c r="AC382" s="2"/>
      <c r="AE382" s="191"/>
      <c r="AF382" s="188"/>
      <c r="AG382" s="188"/>
      <c r="AH382" s="188"/>
      <c r="AI382" s="188"/>
      <c r="AJ382" s="188"/>
      <c r="AK382" s="188"/>
      <c r="AL382" s="188"/>
      <c r="AM382" s="188"/>
    </row>
    <row r="383" spans="1:39" ht="18.75">
      <c r="A383" s="56" t="s">
        <v>86</v>
      </c>
      <c r="U383" s="105"/>
      <c r="V383" s="189"/>
      <c r="W383" s="105"/>
      <c r="X383" s="191"/>
      <c r="Y383" s="188"/>
      <c r="Z383" s="188"/>
      <c r="AA383" s="188"/>
      <c r="AB383" s="188"/>
      <c r="AE383" s="105"/>
      <c r="AF383" s="191"/>
      <c r="AG383" s="105"/>
      <c r="AH383" s="191"/>
      <c r="AI383" s="188"/>
      <c r="AJ383" s="188"/>
      <c r="AK383" s="188"/>
      <c r="AL383" s="188"/>
      <c r="AM383" s="24"/>
    </row>
    <row r="384" spans="1:39">
      <c r="L384" s="3"/>
      <c r="U384" s="189"/>
      <c r="V384" s="2"/>
      <c r="W384" s="188"/>
      <c r="X384" s="188"/>
      <c r="Y384" s="188"/>
      <c r="Z384" s="188"/>
      <c r="AA384" s="191"/>
      <c r="AB384" s="188"/>
      <c r="AE384" s="191"/>
      <c r="AF384" s="188"/>
      <c r="AG384" s="188"/>
      <c r="AH384" s="188"/>
      <c r="AI384" s="188"/>
      <c r="AJ384" s="188"/>
      <c r="AK384" s="191"/>
      <c r="AL384" s="188"/>
      <c r="AM384" s="24"/>
    </row>
    <row r="385" spans="1:39" ht="18">
      <c r="A385" s="4" t="s">
        <v>2</v>
      </c>
      <c r="B385" s="5" t="s">
        <v>43</v>
      </c>
      <c r="C385" s="5" t="s">
        <v>87</v>
      </c>
      <c r="D385" s="5" t="s">
        <v>88</v>
      </c>
      <c r="E385" s="5" t="s">
        <v>89</v>
      </c>
      <c r="F385" s="5" t="s">
        <v>90</v>
      </c>
      <c r="I385" s="105" t="s">
        <v>91</v>
      </c>
      <c r="L385" s="165"/>
      <c r="U385" s="2"/>
      <c r="V385" s="2"/>
      <c r="W385" s="188"/>
      <c r="X385" s="188"/>
      <c r="Y385" s="188"/>
      <c r="Z385" s="188"/>
      <c r="AA385" s="191"/>
      <c r="AB385" s="188"/>
      <c r="AE385" s="188"/>
      <c r="AF385" s="188"/>
      <c r="AG385" s="188"/>
      <c r="AH385" s="188"/>
      <c r="AI385" s="188"/>
      <c r="AJ385" s="188"/>
      <c r="AK385" s="191"/>
      <c r="AL385" s="188"/>
      <c r="AM385" s="24"/>
    </row>
    <row r="386" spans="1:39">
      <c r="A386" s="8"/>
      <c r="B386" s="9" t="s">
        <v>19</v>
      </c>
      <c r="C386" s="9" t="s">
        <v>18</v>
      </c>
      <c r="D386" s="9" t="s">
        <v>18</v>
      </c>
      <c r="E386" s="9" t="s">
        <v>92</v>
      </c>
      <c r="F386" s="9" t="s">
        <v>17</v>
      </c>
      <c r="I386" s="105" t="s">
        <v>93</v>
      </c>
      <c r="L386" s="165"/>
      <c r="U386" s="189"/>
      <c r="V386" s="2"/>
      <c r="W386" s="2"/>
      <c r="X386" s="2"/>
      <c r="Y386" s="2"/>
      <c r="Z386" s="189"/>
      <c r="AA386" s="2"/>
      <c r="AB386" s="189"/>
      <c r="AE386" s="191"/>
      <c r="AF386" s="188"/>
      <c r="AG386" s="188"/>
      <c r="AH386" s="188"/>
      <c r="AI386" s="188"/>
      <c r="AJ386" s="188"/>
      <c r="AK386" s="188"/>
      <c r="AL386" s="188"/>
      <c r="AM386" s="24"/>
    </row>
    <row r="387" spans="1:39">
      <c r="A387" s="44" t="s">
        <v>242</v>
      </c>
      <c r="B387" s="35">
        <v>1</v>
      </c>
      <c r="C387" s="66">
        <v>12</v>
      </c>
      <c r="D387" s="66">
        <v>49</v>
      </c>
      <c r="E387" s="65">
        <f>0.082*(1-0.01*C387)*$B$410/(1.35+0.015*C390)</f>
        <v>16.507189542483658</v>
      </c>
      <c r="F387" s="65">
        <f t="shared" ref="F387:F394" si="74">B387*MIN(0.4*C387*D387*E387/1000,1.15/1000*SQRT(2*I387*E387*C387)+((0.52*SQRT(C387)*D387^0.9*$B$410^0.8)/1000)/4)</f>
        <v>3.8824909803921575</v>
      </c>
      <c r="G387" s="90" t="s">
        <v>243</v>
      </c>
      <c r="H387" s="90"/>
      <c r="I387" s="194">
        <f t="shared" ref="I387:I393" si="75">0.15*600*C387^2.6</f>
        <v>57559.067465202104</v>
      </c>
      <c r="L387" s="165"/>
      <c r="U387" s="2"/>
      <c r="V387" s="2"/>
      <c r="W387" s="2"/>
      <c r="X387" s="2"/>
      <c r="Y387" s="2"/>
      <c r="Z387" s="2"/>
      <c r="AA387" s="2"/>
      <c r="AB387" s="2"/>
      <c r="AE387" s="188"/>
      <c r="AF387" s="188"/>
      <c r="AG387" s="188"/>
      <c r="AH387" s="188"/>
      <c r="AI387" s="188"/>
      <c r="AJ387" s="188"/>
      <c r="AK387" s="188"/>
      <c r="AL387" s="188"/>
      <c r="AM387" s="24"/>
    </row>
    <row r="388" spans="1:39">
      <c r="A388" s="44" t="s">
        <v>244</v>
      </c>
      <c r="B388" s="35">
        <v>1</v>
      </c>
      <c r="C388" s="66">
        <v>12</v>
      </c>
      <c r="D388" s="66">
        <v>45</v>
      </c>
      <c r="E388" s="65">
        <f>0.082*(1-0.01*C388)*$B$410/(1.35+0.015*C388)</f>
        <v>16.507189542483658</v>
      </c>
      <c r="F388" s="65">
        <f t="shared" si="74"/>
        <v>3.5655529411764704</v>
      </c>
      <c r="G388" s="90" t="s">
        <v>245</v>
      </c>
      <c r="H388" s="90"/>
      <c r="I388" s="194">
        <f t="shared" si="75"/>
        <v>57559.067465202104</v>
      </c>
      <c r="L388" s="165"/>
      <c r="U388" s="2"/>
      <c r="V388" s="2"/>
      <c r="W388" s="2"/>
      <c r="X388" s="2"/>
      <c r="Y388" s="2"/>
      <c r="Z388" s="2"/>
      <c r="AA388" s="2"/>
      <c r="AB388" s="2"/>
      <c r="AE388" s="188"/>
      <c r="AF388" s="188"/>
      <c r="AG388" s="188"/>
      <c r="AH388" s="188"/>
      <c r="AI388" s="188"/>
      <c r="AJ388" s="188"/>
      <c r="AK388" s="188"/>
      <c r="AL388" s="188"/>
      <c r="AM388" s="24"/>
    </row>
    <row r="389" spans="1:39">
      <c r="A389" s="44" t="s">
        <v>246</v>
      </c>
      <c r="B389" s="35">
        <v>1</v>
      </c>
      <c r="C389" s="66">
        <v>12</v>
      </c>
      <c r="D389" s="66">
        <v>49</v>
      </c>
      <c r="E389" s="65">
        <f>0.082*(1-0.01*C389)*$B$410</f>
        <v>25.256</v>
      </c>
      <c r="F389" s="65">
        <f t="shared" si="74"/>
        <v>5.9402112000000011</v>
      </c>
      <c r="G389" s="90"/>
      <c r="H389" s="90"/>
      <c r="I389" s="194">
        <f t="shared" si="75"/>
        <v>57559.067465202104</v>
      </c>
      <c r="L389" s="165"/>
      <c r="U389" s="2"/>
      <c r="V389" s="2"/>
      <c r="W389" s="2"/>
      <c r="X389" s="2"/>
      <c r="Y389" s="2"/>
      <c r="Z389" s="2"/>
      <c r="AA389" s="2"/>
      <c r="AB389" s="2"/>
      <c r="AE389" s="188"/>
      <c r="AF389" s="188"/>
      <c r="AG389" s="188"/>
      <c r="AH389" s="188"/>
      <c r="AI389" s="188"/>
      <c r="AJ389" s="188"/>
      <c r="AK389" s="188"/>
      <c r="AL389" s="188"/>
      <c r="AM389" s="24"/>
    </row>
    <row r="390" spans="1:39">
      <c r="A390" s="44" t="s">
        <v>247</v>
      </c>
      <c r="B390" s="35">
        <v>1</v>
      </c>
      <c r="C390" s="66">
        <v>12</v>
      </c>
      <c r="D390" s="66">
        <v>49</v>
      </c>
      <c r="E390" s="65">
        <f>0.082*(1-0.01*C390)*$B$410</f>
        <v>25.256</v>
      </c>
      <c r="F390" s="65">
        <f t="shared" si="74"/>
        <v>5.9402112000000011</v>
      </c>
      <c r="G390" s="90"/>
      <c r="H390" s="90"/>
      <c r="I390" s="194">
        <f t="shared" si="75"/>
        <v>57559.067465202104</v>
      </c>
      <c r="L390" s="165"/>
      <c r="U390" s="2"/>
      <c r="V390" s="2"/>
      <c r="W390" s="2"/>
      <c r="X390" s="2"/>
      <c r="Y390" s="2"/>
      <c r="Z390" s="2"/>
      <c r="AA390" s="2"/>
      <c r="AB390" s="2"/>
      <c r="AE390" s="188"/>
      <c r="AF390" s="188"/>
      <c r="AG390" s="188"/>
      <c r="AH390" s="188"/>
      <c r="AI390" s="188"/>
      <c r="AJ390" s="188"/>
      <c r="AK390" s="188"/>
      <c r="AL390" s="188"/>
      <c r="AM390" s="24"/>
    </row>
    <row r="391" spans="1:39">
      <c r="A391" s="44" t="s">
        <v>248</v>
      </c>
      <c r="B391" s="35">
        <v>1</v>
      </c>
      <c r="C391" s="66">
        <v>16</v>
      </c>
      <c r="D391" s="66">
        <v>46</v>
      </c>
      <c r="E391" s="65">
        <f>0.082*(1-0.01*C391)*$B$410/(1.35+0.015*C391)</f>
        <v>15.162264150943395</v>
      </c>
      <c r="F391" s="65">
        <f t="shared" si="74"/>
        <v>4.463770566037736</v>
      </c>
      <c r="G391" s="90" t="s">
        <v>243</v>
      </c>
      <c r="H391" s="90"/>
      <c r="I391" s="194">
        <f t="shared" si="75"/>
        <v>121605.84905682993</v>
      </c>
      <c r="L391" s="165"/>
      <c r="U391" s="2"/>
      <c r="V391" s="2"/>
      <c r="W391" s="2"/>
      <c r="X391" s="2"/>
      <c r="Y391" s="2"/>
      <c r="Z391" s="189"/>
      <c r="AA391" s="2"/>
      <c r="AB391" s="2"/>
      <c r="AE391" s="188"/>
      <c r="AF391" s="188"/>
      <c r="AG391" s="188"/>
      <c r="AH391" s="188"/>
      <c r="AI391" s="188"/>
      <c r="AJ391" s="188"/>
      <c r="AK391" s="188"/>
      <c r="AL391" s="188"/>
      <c r="AM391" s="24"/>
    </row>
    <row r="392" spans="1:39">
      <c r="A392" s="44" t="s">
        <v>249</v>
      </c>
      <c r="B392" s="35">
        <v>1</v>
      </c>
      <c r="C392" s="66">
        <v>16</v>
      </c>
      <c r="D392" s="66">
        <v>46</v>
      </c>
      <c r="E392" s="65">
        <f>0.082*(1-0.01*C392)*$B$410/(1.35+0.015*C392)</f>
        <v>15.162264150943395</v>
      </c>
      <c r="F392" s="65">
        <f t="shared" si="74"/>
        <v>4.463770566037736</v>
      </c>
      <c r="G392" s="90" t="s">
        <v>243</v>
      </c>
      <c r="H392" s="90"/>
      <c r="I392" s="194">
        <f>0.15*600*C392^2.6</f>
        <v>121605.84905682993</v>
      </c>
      <c r="L392" s="165"/>
      <c r="U392" s="2"/>
      <c r="V392" s="2"/>
      <c r="W392" s="2"/>
      <c r="X392" s="2"/>
      <c r="Y392" s="2"/>
      <c r="Z392" s="189"/>
      <c r="AA392" s="2"/>
      <c r="AB392" s="2"/>
      <c r="AE392" s="188"/>
      <c r="AF392" s="188"/>
      <c r="AG392" s="188"/>
      <c r="AH392" s="188"/>
      <c r="AI392" s="188"/>
      <c r="AJ392" s="188"/>
      <c r="AK392" s="188"/>
      <c r="AL392" s="188"/>
      <c r="AM392" s="24"/>
    </row>
    <row r="393" spans="1:39">
      <c r="A393" s="44" t="s">
        <v>250</v>
      </c>
      <c r="B393" s="35">
        <v>1</v>
      </c>
      <c r="C393" s="66">
        <v>16</v>
      </c>
      <c r="D393" s="66">
        <v>45</v>
      </c>
      <c r="E393" s="65">
        <f>0.082*(1-0.01*C393)*$B$410/(1.35+0.015*C393)</f>
        <v>15.162264150943395</v>
      </c>
      <c r="F393" s="65">
        <f t="shared" si="74"/>
        <v>4.3667320754716972</v>
      </c>
      <c r="G393" s="90" t="s">
        <v>245</v>
      </c>
      <c r="H393" s="90"/>
      <c r="I393" s="194">
        <f t="shared" si="75"/>
        <v>121605.84905682993</v>
      </c>
      <c r="L393" s="165"/>
      <c r="U393" s="2"/>
      <c r="V393" s="2"/>
      <c r="W393" s="2"/>
      <c r="X393" s="2"/>
      <c r="Y393" s="2"/>
      <c r="Z393" s="189"/>
      <c r="AA393" s="2"/>
      <c r="AB393" s="2"/>
      <c r="AE393" s="188"/>
      <c r="AF393" s="188"/>
      <c r="AG393" s="188"/>
      <c r="AH393" s="188"/>
      <c r="AI393" s="188"/>
      <c r="AJ393" s="188"/>
      <c r="AK393" s="188"/>
      <c r="AL393" s="188"/>
      <c r="AM393" s="24"/>
    </row>
    <row r="394" spans="1:39">
      <c r="A394" s="44" t="s">
        <v>251</v>
      </c>
      <c r="B394" s="35">
        <v>1</v>
      </c>
      <c r="C394" s="66">
        <v>10</v>
      </c>
      <c r="D394" s="66">
        <v>60</v>
      </c>
      <c r="E394" s="65">
        <f>0.082*(1-0.01*C394)*$B$410/(1.35+0.015*C394)</f>
        <v>17.220000000000002</v>
      </c>
      <c r="F394" s="65">
        <f t="shared" si="74"/>
        <v>4.1328000000000005</v>
      </c>
      <c r="G394" s="90" t="s">
        <v>243</v>
      </c>
      <c r="H394" s="90"/>
      <c r="I394" s="194">
        <v>35000</v>
      </c>
      <c r="L394" s="165"/>
      <c r="U394" s="2"/>
      <c r="V394" s="2"/>
      <c r="W394" s="2"/>
      <c r="X394" s="2"/>
      <c r="Y394" s="2"/>
      <c r="Z394" s="189"/>
      <c r="AA394" s="2"/>
      <c r="AB394" s="2"/>
      <c r="AE394" s="188"/>
      <c r="AF394" s="188"/>
      <c r="AG394" s="188"/>
      <c r="AH394" s="188"/>
      <c r="AI394" s="188"/>
      <c r="AJ394" s="188"/>
      <c r="AK394" s="188"/>
      <c r="AL394" s="188"/>
      <c r="AM394" s="24"/>
    </row>
    <row r="395" spans="1:39">
      <c r="A395" s="44" t="s">
        <v>252</v>
      </c>
      <c r="B395" s="35">
        <v>1</v>
      </c>
      <c r="C395" s="66">
        <v>16</v>
      </c>
      <c r="D395" s="66">
        <v>46</v>
      </c>
      <c r="E395" s="65">
        <f>0.082*(1-0.01*C395)*$B$410</f>
        <v>24.108000000000001</v>
      </c>
      <c r="F395" s="65">
        <f>B395*MIN(0.4*C395*D395*E395/1000,1.15/1000*SQRT(2*I396*E395*C395)+((0.52*SQRT(C395)*D395^0.9*$B$410^0.8)/1000)/4)</f>
        <v>7.0973952000000011</v>
      </c>
      <c r="G395" s="90"/>
      <c r="H395" s="90"/>
      <c r="I395" s="194">
        <f>0.15*600*C396^2.6</f>
        <v>121605.84905682993</v>
      </c>
      <c r="L395" s="165"/>
      <c r="U395" s="2"/>
      <c r="V395" s="2"/>
      <c r="W395" s="2"/>
      <c r="X395" s="2"/>
      <c r="Y395" s="2"/>
      <c r="Z395" s="189"/>
      <c r="AA395" s="2"/>
      <c r="AB395" s="2"/>
      <c r="AE395" s="188"/>
      <c r="AF395" s="188"/>
      <c r="AG395" s="188"/>
      <c r="AH395" s="188"/>
      <c r="AI395" s="188"/>
      <c r="AJ395" s="188"/>
      <c r="AK395" s="188"/>
      <c r="AL395" s="188"/>
      <c r="AM395" s="24"/>
    </row>
    <row r="396" spans="1:39">
      <c r="A396" s="44" t="s">
        <v>253</v>
      </c>
      <c r="B396" s="35">
        <v>1</v>
      </c>
      <c r="C396" s="66">
        <v>16</v>
      </c>
      <c r="D396" s="66">
        <v>46</v>
      </c>
      <c r="E396" s="65">
        <f>0.082*(1-0.01*C396)*$B$410</f>
        <v>24.108000000000001</v>
      </c>
      <c r="F396" s="65">
        <f>B396*MIN(0.4*C396*D396*E396/1000,1.15/1000*SQRT(2*I395*E396*C396)+((0.52*SQRT(C396)*D396^0.9*$B$410^0.8)/1000)/4)</f>
        <v>7.0973952000000011</v>
      </c>
      <c r="G396" s="90"/>
      <c r="H396" s="90"/>
      <c r="I396" s="194">
        <f>0.15*600*C395^2.6</f>
        <v>121605.84905682993</v>
      </c>
      <c r="L396" s="165"/>
      <c r="U396" s="2"/>
      <c r="V396" s="2"/>
      <c r="W396" s="2"/>
      <c r="X396" s="2"/>
      <c r="Y396" s="2"/>
      <c r="Z396" s="189"/>
      <c r="AA396" s="2"/>
      <c r="AB396" s="2"/>
      <c r="AE396" s="188"/>
      <c r="AF396" s="188"/>
      <c r="AG396" s="188"/>
      <c r="AH396" s="188"/>
      <c r="AI396" s="188"/>
      <c r="AJ396" s="188"/>
      <c r="AK396" s="188"/>
      <c r="AL396" s="188"/>
      <c r="AM396" s="24"/>
    </row>
    <row r="397" spans="1:39">
      <c r="B397" s="90"/>
      <c r="C397" s="90"/>
      <c r="D397" s="90"/>
      <c r="E397" s="90"/>
      <c r="F397" s="90"/>
      <c r="G397" s="90"/>
      <c r="H397" s="90"/>
      <c r="I397" s="90"/>
      <c r="L397" s="3"/>
      <c r="U397" s="2"/>
      <c r="V397" s="2"/>
      <c r="W397" s="2"/>
      <c r="X397" s="2"/>
      <c r="Y397" s="189"/>
      <c r="Z397" s="2"/>
      <c r="AA397" s="2"/>
      <c r="AB397" s="2"/>
      <c r="AE397" s="188"/>
      <c r="AF397" s="188"/>
      <c r="AG397" s="188"/>
      <c r="AH397" s="188"/>
      <c r="AI397" s="188"/>
      <c r="AJ397" s="188"/>
      <c r="AK397" s="188"/>
      <c r="AL397" s="188"/>
      <c r="AM397" s="24"/>
    </row>
    <row r="398" spans="1:39" ht="18">
      <c r="A398" s="4" t="s">
        <v>2</v>
      </c>
      <c r="B398" s="113" t="s">
        <v>43</v>
      </c>
      <c r="C398" s="113" t="s">
        <v>9</v>
      </c>
      <c r="D398" s="113" t="s">
        <v>111</v>
      </c>
      <c r="E398" s="113" t="s">
        <v>112</v>
      </c>
      <c r="F398" s="113" t="s">
        <v>80</v>
      </c>
      <c r="G398" s="113" t="s">
        <v>113</v>
      </c>
      <c r="H398" s="113" t="s">
        <v>114</v>
      </c>
      <c r="I398" s="90"/>
      <c r="AE398" s="24"/>
      <c r="AF398" s="24"/>
      <c r="AG398" s="24"/>
      <c r="AH398" s="24"/>
      <c r="AI398" s="24"/>
      <c r="AJ398" s="24"/>
      <c r="AK398" s="24"/>
      <c r="AL398" s="24"/>
      <c r="AM398" s="24"/>
    </row>
    <row r="399" spans="1:39">
      <c r="A399" s="8"/>
      <c r="B399" s="47" t="s">
        <v>19</v>
      </c>
      <c r="C399" s="47" t="s">
        <v>18</v>
      </c>
      <c r="D399" s="47" t="s">
        <v>93</v>
      </c>
      <c r="E399" s="47" t="s">
        <v>92</v>
      </c>
      <c r="F399" s="47" t="s">
        <v>18</v>
      </c>
      <c r="G399" s="47" t="s">
        <v>17</v>
      </c>
      <c r="H399" s="47" t="s">
        <v>17</v>
      </c>
      <c r="I399" s="90"/>
      <c r="AE399" s="24"/>
      <c r="AF399" s="24"/>
      <c r="AG399" s="24"/>
      <c r="AH399" s="24"/>
      <c r="AI399" s="24"/>
      <c r="AJ399" s="24"/>
      <c r="AK399" s="24"/>
      <c r="AL399" s="24"/>
      <c r="AM399" s="24"/>
    </row>
    <row r="400" spans="1:39">
      <c r="A400" s="44" t="s">
        <v>254</v>
      </c>
      <c r="B400" s="35">
        <v>2</v>
      </c>
      <c r="C400" s="66">
        <v>6</v>
      </c>
      <c r="D400" s="66">
        <v>6300</v>
      </c>
      <c r="E400" s="65">
        <f>(0.082)*$B$410*C400^-0.3</f>
        <v>16.766272546647741</v>
      </c>
      <c r="F400" s="66">
        <v>44</v>
      </c>
      <c r="G400" s="195">
        <f>(0.52*SQRT(C400)*44^0.9*$B$410^0.8)/1200</f>
        <v>3.4694414845552783</v>
      </c>
      <c r="H400" s="65">
        <f t="shared" ref="H400:H407" si="76">B400*MIN((2.3*SQRT(C400*D400*E400))/1000+G400/4,E400*C400*F400/1000,E400*C400*F400/1000*(SQRT(2+4*D400/(C400*E400*F400^2))-1)+G400/4)</f>
        <v>5.3967515400578954</v>
      </c>
      <c r="I400" s="90" t="s">
        <v>255</v>
      </c>
      <c r="U400" s="2"/>
      <c r="V400" s="2"/>
      <c r="W400" s="2"/>
      <c r="X400" s="2"/>
      <c r="Y400" s="2"/>
      <c r="Z400" s="2"/>
      <c r="AA400" s="2"/>
      <c r="AB400" s="2"/>
      <c r="AC400" s="2"/>
      <c r="AE400" s="188"/>
      <c r="AF400" s="188"/>
      <c r="AG400" s="188"/>
      <c r="AH400" s="188"/>
      <c r="AI400" s="188"/>
      <c r="AJ400" s="188"/>
      <c r="AK400" s="188"/>
      <c r="AL400" s="188"/>
      <c r="AM400" s="188"/>
    </row>
    <row r="401" spans="1:39">
      <c r="A401" s="44" t="s">
        <v>246</v>
      </c>
      <c r="B401" s="35">
        <v>2</v>
      </c>
      <c r="C401" s="66">
        <v>6</v>
      </c>
      <c r="D401" s="66">
        <v>6300</v>
      </c>
      <c r="E401" s="65">
        <f>(0.033+0)*$B$410*C401^-0.3</f>
        <v>6.7474023663338469</v>
      </c>
      <c r="F401" s="66">
        <v>44</v>
      </c>
      <c r="G401" s="195">
        <f>(0.52*SQRT(C401)*44^0.9*$B$410^0.8)/1200</f>
        <v>3.4694414845552783</v>
      </c>
      <c r="H401" s="65">
        <f t="shared" si="76"/>
        <v>3.5626284494242708</v>
      </c>
      <c r="I401" s="90"/>
      <c r="U401" s="2"/>
      <c r="V401" s="2"/>
      <c r="W401" s="2"/>
      <c r="X401" s="2"/>
      <c r="Y401" s="2"/>
      <c r="Z401" s="2"/>
      <c r="AA401" s="2"/>
      <c r="AB401" s="2"/>
      <c r="AC401" s="2"/>
      <c r="AE401" s="188"/>
      <c r="AF401" s="188"/>
      <c r="AG401" s="188"/>
      <c r="AH401" s="188"/>
      <c r="AI401" s="188"/>
      <c r="AJ401" s="188"/>
      <c r="AK401" s="188"/>
      <c r="AL401" s="188"/>
      <c r="AM401" s="188"/>
    </row>
    <row r="402" spans="1:39">
      <c r="A402" s="44" t="s">
        <v>247</v>
      </c>
      <c r="B402" s="35">
        <v>2</v>
      </c>
      <c r="C402" s="66">
        <v>6</v>
      </c>
      <c r="D402" s="66">
        <v>6300</v>
      </c>
      <c r="E402" s="65">
        <f>(0.082)*$B$410*C402^-0.3</f>
        <v>16.766272546647741</v>
      </c>
      <c r="F402" s="66">
        <v>44</v>
      </c>
      <c r="G402" s="195">
        <f>(0.52*SQRT(C402)*44^0.9*$B$410^0.8)/1000</f>
        <v>4.1633297814663335</v>
      </c>
      <c r="H402" s="65">
        <f t="shared" si="76"/>
        <v>5.7436956885134229</v>
      </c>
      <c r="I402" s="90"/>
      <c r="U402" s="2"/>
      <c r="V402" s="2"/>
      <c r="W402" s="2"/>
      <c r="X402" s="2"/>
      <c r="Y402" s="2"/>
      <c r="Z402" s="2"/>
      <c r="AA402" s="2"/>
      <c r="AB402" s="2"/>
      <c r="AC402" s="2"/>
      <c r="AE402" s="188"/>
      <c r="AF402" s="188"/>
      <c r="AG402" s="188"/>
      <c r="AH402" s="188"/>
      <c r="AI402" s="188"/>
      <c r="AJ402" s="188"/>
      <c r="AK402" s="188"/>
      <c r="AL402" s="188"/>
      <c r="AM402" s="188"/>
    </row>
    <row r="403" spans="1:39">
      <c r="A403" s="44" t="s">
        <v>248</v>
      </c>
      <c r="B403" s="35">
        <v>2</v>
      </c>
      <c r="C403" s="66">
        <v>10</v>
      </c>
      <c r="D403" s="66">
        <v>23900</v>
      </c>
      <c r="E403" s="65">
        <f>(0.082+0)*$B$410*C403^-0.3</f>
        <v>14.384073605102715</v>
      </c>
      <c r="F403" s="66">
        <v>54</v>
      </c>
      <c r="G403" s="65">
        <f>(0.52*SQRT(C403)*50^0.9*$B$410^0.8)/1200</f>
        <v>5.0251558670694791</v>
      </c>
      <c r="H403" s="65">
        <f t="shared" si="76"/>
        <v>10.165376161070458</v>
      </c>
      <c r="I403" s="90" t="s">
        <v>243</v>
      </c>
      <c r="U403" s="105"/>
      <c r="V403" s="189"/>
      <c r="W403" s="105"/>
      <c r="X403" s="188"/>
      <c r="Y403" s="188"/>
      <c r="Z403" s="188"/>
      <c r="AA403" s="188"/>
      <c r="AB403" s="188"/>
      <c r="AE403" s="105"/>
      <c r="AF403" s="191"/>
      <c r="AG403" s="105"/>
      <c r="AH403" s="188"/>
      <c r="AI403" s="188"/>
      <c r="AJ403" s="188"/>
      <c r="AK403" s="188"/>
      <c r="AL403" s="188"/>
      <c r="AM403" s="24"/>
    </row>
    <row r="404" spans="1:39">
      <c r="A404" s="44" t="s">
        <v>249</v>
      </c>
      <c r="B404" s="35">
        <v>2</v>
      </c>
      <c r="C404" s="66">
        <v>6</v>
      </c>
      <c r="D404" s="66">
        <v>6300</v>
      </c>
      <c r="E404" s="65">
        <f>(0.082+0)*$B$410*C404^-0.3</f>
        <v>16.766272546647741</v>
      </c>
      <c r="F404" s="66">
        <v>44</v>
      </c>
      <c r="G404" s="65">
        <f>(0.52*SQRT(C404)*50^0.9*$B$410^0.8)/1200</f>
        <v>3.8924689970513175</v>
      </c>
      <c r="H404" s="65">
        <f>B404*MIN((2.3*SQRT(C404*D404*E404))/1000+G404/4,E404*C404*F404/1000,E404*C404*F404/1000*(SQRT(2+4*D404/(C404*E404*F404^2))-1)+G404/4)</f>
        <v>5.6082652963059152</v>
      </c>
      <c r="I404" s="90" t="s">
        <v>243</v>
      </c>
      <c r="U404" s="105"/>
      <c r="V404" s="189"/>
      <c r="W404" s="105"/>
      <c r="X404" s="188"/>
      <c r="Y404" s="188"/>
      <c r="Z404" s="188"/>
      <c r="AA404" s="188"/>
      <c r="AB404" s="188"/>
      <c r="AE404" s="105"/>
      <c r="AF404" s="191"/>
      <c r="AG404" s="105"/>
      <c r="AH404" s="188"/>
      <c r="AI404" s="188"/>
      <c r="AJ404" s="188"/>
      <c r="AK404" s="188"/>
      <c r="AL404" s="188"/>
      <c r="AM404" s="24"/>
    </row>
    <row r="405" spans="1:39">
      <c r="A405" s="44" t="s">
        <v>250</v>
      </c>
      <c r="B405" s="35">
        <v>2</v>
      </c>
      <c r="C405" s="66">
        <v>10</v>
      </c>
      <c r="D405" s="66">
        <v>23900</v>
      </c>
      <c r="E405" s="65">
        <f>(0.082+0)*$B$410*C405^-0.3</f>
        <v>14.384073605102715</v>
      </c>
      <c r="F405" s="66">
        <v>45</v>
      </c>
      <c r="G405" s="65">
        <f>(0.52*SQRT(C405)*50^0.9*$B$410^0.8)/1200</f>
        <v>5.0251558670694791</v>
      </c>
      <c r="H405" s="65">
        <f t="shared" si="76"/>
        <v>9.3200189508055082</v>
      </c>
      <c r="I405" s="90" t="s">
        <v>245</v>
      </c>
      <c r="U405" s="105"/>
      <c r="V405" s="189"/>
      <c r="W405" s="105"/>
      <c r="X405" s="188"/>
      <c r="Y405" s="188"/>
      <c r="Z405" s="188"/>
      <c r="AA405" s="188"/>
      <c r="AB405" s="188"/>
      <c r="AE405" s="105"/>
      <c r="AF405" s="191"/>
      <c r="AG405" s="105"/>
      <c r="AH405" s="188"/>
      <c r="AI405" s="188"/>
      <c r="AJ405" s="188"/>
      <c r="AK405" s="188"/>
      <c r="AL405" s="188"/>
      <c r="AM405" s="24"/>
    </row>
    <row r="406" spans="1:39">
      <c r="A406" s="44" t="s">
        <v>252</v>
      </c>
      <c r="B406" s="35">
        <v>2</v>
      </c>
      <c r="C406" s="66">
        <v>10</v>
      </c>
      <c r="D406" s="66">
        <v>23900</v>
      </c>
      <c r="E406" s="65">
        <f>(0.082+0)*$B$410*C406^-0.3</f>
        <v>14.384073605102715</v>
      </c>
      <c r="F406" s="66">
        <v>54</v>
      </c>
      <c r="G406" s="65">
        <f>(0.52*SQRT(C406)*50^0.9*$B$410^0.8)/1000</f>
        <v>6.0301870404833755</v>
      </c>
      <c r="H406" s="65">
        <f t="shared" si="76"/>
        <v>10.667891747777407</v>
      </c>
      <c r="I406" s="90"/>
      <c r="U406" s="105"/>
      <c r="V406" s="189"/>
      <c r="W406" s="105"/>
      <c r="X406" s="188"/>
      <c r="Y406" s="188"/>
      <c r="Z406" s="188"/>
      <c r="AA406" s="188"/>
      <c r="AB406" s="188"/>
      <c r="AE406" s="105"/>
      <c r="AF406" s="191"/>
      <c r="AG406" s="105"/>
      <c r="AH406" s="188"/>
      <c r="AI406" s="188"/>
      <c r="AJ406" s="188"/>
      <c r="AK406" s="188"/>
      <c r="AL406" s="188"/>
      <c r="AM406" s="24"/>
    </row>
    <row r="407" spans="1:39">
      <c r="A407" s="44" t="s">
        <v>253</v>
      </c>
      <c r="B407" s="35">
        <v>2</v>
      </c>
      <c r="C407" s="66">
        <v>10</v>
      </c>
      <c r="D407" s="66">
        <v>23900</v>
      </c>
      <c r="E407" s="65">
        <f>(0.033+0)*$B$410*C407^-0.3</f>
        <v>5.7887125483949946</v>
      </c>
      <c r="F407" s="66">
        <v>54</v>
      </c>
      <c r="G407" s="65">
        <f>(0.52*SQRT(C407)*50^0.9*$B$410^0.8)/1200</f>
        <v>5.0251558670694791</v>
      </c>
      <c r="H407" s="65">
        <f t="shared" si="76"/>
        <v>6.251809552266594</v>
      </c>
      <c r="I407" s="90"/>
      <c r="U407" s="105"/>
      <c r="V407" s="189"/>
      <c r="W407" s="105"/>
      <c r="X407" s="188"/>
      <c r="Y407" s="188"/>
      <c r="Z407" s="188"/>
      <c r="AA407" s="188"/>
      <c r="AB407" s="188"/>
      <c r="AE407" s="105"/>
      <c r="AF407" s="191"/>
      <c r="AG407" s="105"/>
      <c r="AH407" s="188"/>
      <c r="AI407" s="188"/>
      <c r="AJ407" s="188"/>
      <c r="AK407" s="188"/>
      <c r="AL407" s="188"/>
      <c r="AM407" s="24"/>
    </row>
    <row r="408" spans="1:39">
      <c r="A408" s="3"/>
      <c r="B408" s="121"/>
      <c r="C408" s="122"/>
      <c r="D408" s="122"/>
      <c r="E408" s="123"/>
      <c r="F408" s="122"/>
      <c r="G408" s="123"/>
      <c r="H408" s="123"/>
      <c r="I408" s="90"/>
      <c r="U408" s="105"/>
      <c r="V408" s="189"/>
      <c r="W408" s="105"/>
      <c r="X408" s="188"/>
      <c r="Y408" s="188"/>
      <c r="Z408" s="188"/>
      <c r="AA408" s="188"/>
      <c r="AB408" s="188"/>
      <c r="AE408" s="105"/>
      <c r="AF408" s="191"/>
      <c r="AG408" s="105"/>
      <c r="AH408" s="188"/>
      <c r="AI408" s="188"/>
      <c r="AJ408" s="188"/>
      <c r="AK408" s="188"/>
      <c r="AL408" s="188"/>
      <c r="AM408" s="24"/>
    </row>
    <row r="409" spans="1:39">
      <c r="A409" s="21" t="s">
        <v>37</v>
      </c>
      <c r="B409" s="22" t="s">
        <v>22</v>
      </c>
      <c r="U409" s="2"/>
      <c r="V409" s="2"/>
      <c r="W409" s="188"/>
      <c r="X409" s="188"/>
      <c r="Y409" s="188"/>
      <c r="Z409" s="191"/>
      <c r="AA409" s="188"/>
      <c r="AB409" s="188"/>
      <c r="AE409" s="188"/>
      <c r="AF409" s="188"/>
      <c r="AG409" s="188"/>
      <c r="AH409" s="188"/>
      <c r="AI409" s="188"/>
      <c r="AJ409" s="188"/>
      <c r="AK409" s="188"/>
      <c r="AL409" s="188"/>
      <c r="AM409" s="24"/>
    </row>
    <row r="410" spans="1:39" ht="18">
      <c r="A410" s="23" t="s">
        <v>39</v>
      </c>
      <c r="B410" s="24">
        <f>VLOOKUP(B409,$V$5:$W$10,2,FALSE)</f>
        <v>350</v>
      </c>
      <c r="C410" t="s">
        <v>40</v>
      </c>
      <c r="F410" s="24"/>
      <c r="G410" s="24"/>
      <c r="H410" s="24"/>
      <c r="I410" s="24"/>
      <c r="J410" s="24"/>
      <c r="K410" s="24"/>
      <c r="U410" s="2"/>
      <c r="V410" s="2"/>
      <c r="W410" s="188"/>
      <c r="X410" s="188"/>
      <c r="Y410" s="188"/>
      <c r="Z410" s="188"/>
      <c r="AA410" s="188"/>
      <c r="AB410" s="188"/>
      <c r="AE410" s="188"/>
      <c r="AF410" s="188"/>
      <c r="AG410" s="188"/>
      <c r="AH410" s="188"/>
      <c r="AI410" s="188"/>
      <c r="AJ410" s="188"/>
      <c r="AK410" s="188"/>
      <c r="AL410" s="188"/>
      <c r="AM410" s="24"/>
    </row>
    <row r="411" spans="1:39">
      <c r="A411" s="23"/>
      <c r="E411" s="24"/>
      <c r="F411" s="24"/>
      <c r="H411" s="24"/>
      <c r="I411" s="24"/>
      <c r="J411" s="24"/>
      <c r="K411" s="24"/>
      <c r="U411" s="189"/>
      <c r="V411" s="2"/>
      <c r="W411" s="188"/>
      <c r="X411" s="188"/>
      <c r="Y411" s="191"/>
      <c r="Z411" s="188"/>
      <c r="AA411" s="188"/>
      <c r="AB411" s="188"/>
      <c r="AE411" s="191"/>
      <c r="AF411" s="188"/>
      <c r="AG411" s="188"/>
      <c r="AH411" s="188"/>
      <c r="AI411" s="188"/>
      <c r="AJ411" s="188"/>
      <c r="AK411" s="188"/>
      <c r="AL411" s="188"/>
      <c r="AM411" s="24"/>
    </row>
    <row r="412" spans="1:39">
      <c r="A412" s="23"/>
      <c r="B412" s="77"/>
      <c r="E412" t="s">
        <v>72</v>
      </c>
      <c r="H412" s="24"/>
      <c r="I412" s="24"/>
      <c r="J412" s="24"/>
      <c r="K412" s="24"/>
      <c r="U412" s="2"/>
      <c r="V412" s="2"/>
      <c r="W412" s="188"/>
      <c r="X412" s="188"/>
      <c r="Y412" s="191"/>
      <c r="Z412" s="188"/>
      <c r="AA412" s="188"/>
      <c r="AB412" s="188"/>
      <c r="AE412" s="188"/>
      <c r="AF412" s="188"/>
      <c r="AG412" s="188"/>
      <c r="AH412" s="188"/>
      <c r="AI412" s="188"/>
      <c r="AJ412" s="188"/>
      <c r="AK412" s="188"/>
      <c r="AL412" s="188"/>
      <c r="AM412" s="24"/>
    </row>
    <row r="413" spans="1:39" ht="18">
      <c r="A413" s="4" t="s">
        <v>2</v>
      </c>
      <c r="B413" s="78" t="s">
        <v>121</v>
      </c>
      <c r="C413" s="78" t="s">
        <v>164</v>
      </c>
      <c r="D413" s="78" t="s">
        <v>258</v>
      </c>
      <c r="E413" s="79" t="s">
        <v>165</v>
      </c>
      <c r="F413" s="79" t="s">
        <v>259</v>
      </c>
      <c r="G413" s="685" t="s">
        <v>260</v>
      </c>
      <c r="H413" s="363"/>
      <c r="I413" s="363"/>
      <c r="J413" s="363"/>
      <c r="K413" s="363"/>
      <c r="L413" s="363"/>
      <c r="M413" s="363"/>
      <c r="N413" s="363"/>
      <c r="O413" s="363"/>
      <c r="P413" s="363"/>
      <c r="Q413" s="388"/>
      <c r="R413" s="388"/>
      <c r="S413" s="388"/>
      <c r="T413" s="388"/>
      <c r="U413" s="2"/>
      <c r="V413" s="2"/>
      <c r="W413" s="188"/>
      <c r="X413" s="188"/>
      <c r="Y413" s="188"/>
      <c r="Z413" s="188"/>
      <c r="AA413" s="188"/>
      <c r="AB413" s="188"/>
      <c r="AE413" s="188"/>
      <c r="AF413" s="188"/>
      <c r="AG413" s="188"/>
      <c r="AH413" s="188"/>
      <c r="AI413" s="188"/>
      <c r="AJ413" s="188"/>
      <c r="AK413" s="188"/>
      <c r="AL413" s="188"/>
      <c r="AM413" s="24"/>
    </row>
    <row r="414" spans="1:39">
      <c r="A414" s="8"/>
      <c r="B414" s="81" t="s">
        <v>17</v>
      </c>
      <c r="C414" s="82" t="s">
        <v>17</v>
      </c>
      <c r="D414" s="82" t="s">
        <v>17</v>
      </c>
      <c r="E414" s="83" t="s">
        <v>17</v>
      </c>
      <c r="F414" s="83" t="s">
        <v>262</v>
      </c>
      <c r="G414" s="685"/>
      <c r="H414" s="247"/>
      <c r="I414" s="105"/>
      <c r="J414" s="105"/>
      <c r="K414" s="105"/>
      <c r="L414" s="105"/>
      <c r="M414" s="105"/>
      <c r="N414" s="105"/>
      <c r="O414" s="105"/>
      <c r="P414" s="105"/>
      <c r="Q414" s="165"/>
      <c r="R414" s="165"/>
      <c r="S414" s="165"/>
      <c r="T414" s="165"/>
      <c r="U414" s="2"/>
      <c r="V414" s="2"/>
      <c r="W414" s="189"/>
      <c r="X414" s="2"/>
      <c r="Y414" s="2"/>
      <c r="Z414" s="2"/>
      <c r="AA414" s="2"/>
      <c r="AB414" s="2"/>
      <c r="AE414" s="188"/>
      <c r="AF414" s="188"/>
      <c r="AG414" s="188"/>
      <c r="AH414" s="188"/>
      <c r="AI414" s="188"/>
      <c r="AJ414" s="188"/>
      <c r="AK414" s="188"/>
      <c r="AL414" s="188"/>
      <c r="AM414" s="24"/>
    </row>
    <row r="415" spans="1:39">
      <c r="A415" s="44" t="s">
        <v>242</v>
      </c>
      <c r="B415" s="16">
        <f t="shared" ref="B415:B424" si="77">F387</f>
        <v>3.8824909803921575</v>
      </c>
      <c r="C415" s="16">
        <v>17</v>
      </c>
      <c r="D415" s="16">
        <f>H400</f>
        <v>5.3967515400578954</v>
      </c>
      <c r="E415" s="204">
        <f t="shared" ref="E415:E424" si="78">MIN(B415,C415,D415)</f>
        <v>3.8824909803921575</v>
      </c>
      <c r="F415" s="205">
        <f t="shared" ref="F415:F424" si="79">E415*0.9/1.3</f>
        <v>2.6878783710407244</v>
      </c>
      <c r="H415" s="247"/>
      <c r="I415" s="20"/>
      <c r="J415" s="20"/>
      <c r="K415" s="20"/>
      <c r="L415" s="20"/>
      <c r="M415" s="389"/>
      <c r="N415" s="389"/>
      <c r="O415" s="389"/>
      <c r="P415" s="389"/>
      <c r="Q415" s="116"/>
      <c r="R415" s="116"/>
      <c r="S415" s="116"/>
      <c r="T415" s="116"/>
      <c r="AE415" s="24"/>
      <c r="AF415" s="24"/>
      <c r="AG415" s="24"/>
      <c r="AH415" s="24"/>
      <c r="AI415" s="24"/>
      <c r="AJ415" s="24"/>
      <c r="AK415" s="24"/>
      <c r="AL415" s="24"/>
      <c r="AM415" s="24"/>
    </row>
    <row r="416" spans="1:39">
      <c r="A416" s="44" t="s">
        <v>244</v>
      </c>
      <c r="B416" s="16">
        <f t="shared" si="77"/>
        <v>3.5655529411764704</v>
      </c>
      <c r="C416" s="16">
        <v>17</v>
      </c>
      <c r="D416" s="16">
        <f t="shared" ref="D416:D421" si="80">H400</f>
        <v>5.3967515400578954</v>
      </c>
      <c r="E416" s="204">
        <f t="shared" si="78"/>
        <v>3.5655529411764704</v>
      </c>
      <c r="F416" s="205">
        <f t="shared" si="79"/>
        <v>2.4684597285067871</v>
      </c>
      <c r="G416" s="38">
        <f>F416/F415</f>
        <v>0.91836734693877531</v>
      </c>
      <c r="H416" s="247"/>
      <c r="I416" s="20"/>
      <c r="J416" s="20"/>
      <c r="K416" s="20"/>
      <c r="L416" s="20"/>
      <c r="M416" s="389"/>
      <c r="N416" s="389"/>
      <c r="O416" s="389"/>
      <c r="P416" s="389"/>
      <c r="Q416" s="116"/>
      <c r="R416" s="116"/>
      <c r="S416" s="116"/>
      <c r="T416" s="116"/>
      <c r="AE416" s="24"/>
      <c r="AF416" s="24"/>
      <c r="AG416" s="24"/>
      <c r="AH416" s="24"/>
      <c r="AI416" s="24"/>
      <c r="AJ416" s="24"/>
      <c r="AK416" s="24"/>
      <c r="AL416" s="24"/>
      <c r="AM416" s="24"/>
    </row>
    <row r="417" spans="1:39">
      <c r="A417" s="44" t="s">
        <v>246</v>
      </c>
      <c r="B417" s="16">
        <f t="shared" si="77"/>
        <v>5.9402112000000011</v>
      </c>
      <c r="C417" s="16">
        <v>17</v>
      </c>
      <c r="D417" s="16">
        <f t="shared" si="80"/>
        <v>3.5626284494242708</v>
      </c>
      <c r="E417" s="96">
        <f t="shared" si="78"/>
        <v>3.5626284494242708</v>
      </c>
      <c r="F417" s="205">
        <f t="shared" si="79"/>
        <v>2.466435080370649</v>
      </c>
      <c r="H417" s="247"/>
      <c r="I417" s="20"/>
      <c r="J417" s="20"/>
      <c r="K417" s="20"/>
      <c r="L417" s="20"/>
      <c r="M417" s="389"/>
      <c r="N417" s="389"/>
      <c r="O417" s="389"/>
      <c r="P417" s="389"/>
      <c r="U417" s="191"/>
      <c r="V417" s="2"/>
      <c r="W417" s="2"/>
      <c r="X417" s="2"/>
      <c r="Y417" s="2"/>
      <c r="Z417" s="2"/>
      <c r="AA417" s="2"/>
      <c r="AB417" s="2"/>
      <c r="AC417" s="2"/>
      <c r="AE417" s="188"/>
      <c r="AF417" s="188"/>
      <c r="AG417" s="188"/>
      <c r="AH417" s="188"/>
      <c r="AI417" s="188"/>
      <c r="AJ417" s="188"/>
      <c r="AK417" s="188"/>
      <c r="AL417" s="188"/>
      <c r="AM417" s="188"/>
    </row>
    <row r="418" spans="1:39" ht="15.75" thickBot="1">
      <c r="A418" s="210" t="s">
        <v>247</v>
      </c>
      <c r="B418" s="211">
        <f t="shared" si="77"/>
        <v>5.9402112000000011</v>
      </c>
      <c r="C418" s="211">
        <v>17</v>
      </c>
      <c r="D418" s="211">
        <f t="shared" si="80"/>
        <v>5.7436956885134229</v>
      </c>
      <c r="E418" s="212">
        <f t="shared" si="78"/>
        <v>5.7436956885134229</v>
      </c>
      <c r="F418" s="213">
        <f t="shared" si="79"/>
        <v>3.9764047074323701</v>
      </c>
      <c r="H418" s="247"/>
      <c r="I418" s="20"/>
      <c r="J418" s="20"/>
      <c r="K418" s="20"/>
      <c r="L418" s="20"/>
      <c r="M418" s="389"/>
      <c r="N418" s="389"/>
      <c r="O418" s="389"/>
      <c r="P418" s="389"/>
      <c r="U418" s="105"/>
      <c r="V418" s="189"/>
      <c r="W418" s="105"/>
      <c r="X418" s="188"/>
      <c r="Y418" s="188"/>
      <c r="Z418" s="188"/>
      <c r="AA418" s="188"/>
      <c r="AB418" s="188"/>
      <c r="AE418" s="105"/>
      <c r="AF418" s="191"/>
      <c r="AG418" s="105"/>
      <c r="AH418" s="188"/>
      <c r="AI418" s="188"/>
      <c r="AJ418" s="188"/>
      <c r="AK418" s="188"/>
      <c r="AL418" s="188"/>
      <c r="AM418" s="24"/>
    </row>
    <row r="419" spans="1:39">
      <c r="A419" s="8" t="s">
        <v>248</v>
      </c>
      <c r="B419" s="214">
        <f t="shared" si="77"/>
        <v>4.463770566037736</v>
      </c>
      <c r="C419" s="214">
        <v>17</v>
      </c>
      <c r="D419" s="214">
        <f t="shared" si="80"/>
        <v>10.165376161070458</v>
      </c>
      <c r="E419" s="215">
        <f t="shared" si="78"/>
        <v>4.463770566037736</v>
      </c>
      <c r="F419" s="216">
        <f t="shared" si="79"/>
        <v>3.0903026995645866</v>
      </c>
      <c r="H419" s="247"/>
      <c r="I419" s="20"/>
      <c r="J419" s="20"/>
      <c r="K419" s="20"/>
      <c r="L419" s="20"/>
      <c r="M419" s="389"/>
      <c r="N419" s="389"/>
      <c r="O419" s="389"/>
      <c r="P419" s="389"/>
      <c r="U419" s="2"/>
      <c r="V419" s="2"/>
      <c r="W419" s="188"/>
      <c r="X419" s="188"/>
      <c r="Y419" s="188"/>
      <c r="Z419" s="188"/>
      <c r="AA419" s="188"/>
      <c r="AB419" s="188"/>
      <c r="AE419" s="188"/>
      <c r="AF419" s="188"/>
      <c r="AG419" s="188"/>
      <c r="AH419" s="188"/>
      <c r="AI419" s="188"/>
      <c r="AJ419" s="188"/>
      <c r="AK419" s="188"/>
      <c r="AL419" s="188"/>
      <c r="AM419" s="24"/>
    </row>
    <row r="420" spans="1:39">
      <c r="A420" s="8" t="s">
        <v>248</v>
      </c>
      <c r="B420" s="214">
        <f t="shared" si="77"/>
        <v>4.463770566037736</v>
      </c>
      <c r="C420" s="214">
        <v>18</v>
      </c>
      <c r="D420" s="214">
        <f t="shared" si="80"/>
        <v>5.6082652963059152</v>
      </c>
      <c r="E420" s="217">
        <f t="shared" si="78"/>
        <v>4.463770566037736</v>
      </c>
      <c r="F420" s="216">
        <f t="shared" si="79"/>
        <v>3.0903026995645866</v>
      </c>
      <c r="G420" s="38">
        <f>F421/F419</f>
        <v>0.97826086956521718</v>
      </c>
      <c r="H420" s="247"/>
      <c r="I420" s="20"/>
      <c r="J420" s="20"/>
      <c r="K420" s="20"/>
      <c r="L420" s="20"/>
      <c r="M420" s="389"/>
      <c r="N420" s="389"/>
      <c r="O420" s="389"/>
      <c r="P420" s="389"/>
      <c r="U420" s="2"/>
      <c r="V420" s="2"/>
      <c r="W420" s="188"/>
      <c r="X420" s="188"/>
      <c r="Y420" s="188"/>
      <c r="Z420" s="188"/>
      <c r="AA420" s="188"/>
      <c r="AB420" s="188"/>
      <c r="AE420" s="188"/>
      <c r="AF420" s="188"/>
      <c r="AG420" s="188"/>
      <c r="AH420" s="188"/>
      <c r="AI420" s="188"/>
      <c r="AJ420" s="188"/>
      <c r="AK420" s="188"/>
      <c r="AL420" s="188"/>
      <c r="AM420" s="24"/>
    </row>
    <row r="421" spans="1:39">
      <c r="A421" s="8" t="s">
        <v>250</v>
      </c>
      <c r="B421" s="214">
        <f t="shared" si="77"/>
        <v>4.3667320754716972</v>
      </c>
      <c r="C421" s="214">
        <v>17</v>
      </c>
      <c r="D421" s="214">
        <f t="shared" si="80"/>
        <v>9.3200189508055082</v>
      </c>
      <c r="E421" s="217">
        <f t="shared" si="78"/>
        <v>4.3667320754716972</v>
      </c>
      <c r="F421" s="216">
        <f t="shared" si="79"/>
        <v>3.0231222060957905</v>
      </c>
      <c r="G421" s="38">
        <f>E422/E419</f>
        <v>0.92585403726708082</v>
      </c>
      <c r="H421" s="363"/>
      <c r="I421" s="363"/>
      <c r="J421" s="363"/>
      <c r="K421" s="363"/>
      <c r="L421" s="363"/>
      <c r="M421" s="363"/>
      <c r="N421" s="363"/>
      <c r="O421" s="363"/>
      <c r="P421" s="363"/>
      <c r="U421" s="189"/>
      <c r="V421" s="2"/>
      <c r="W421" s="188"/>
      <c r="X421" s="188"/>
      <c r="Y421" s="188"/>
      <c r="Z421" s="188"/>
      <c r="AA421" s="188"/>
      <c r="AB421" s="188"/>
      <c r="AE421" s="191"/>
      <c r="AF421" s="188"/>
      <c r="AG421" s="188"/>
      <c r="AH421" s="188"/>
      <c r="AI421" s="188"/>
      <c r="AJ421" s="188"/>
      <c r="AK421" s="188"/>
      <c r="AL421" s="188"/>
      <c r="AM421" s="24"/>
    </row>
    <row r="422" spans="1:39">
      <c r="A422" s="8" t="s">
        <v>251</v>
      </c>
      <c r="B422" s="214">
        <f t="shared" si="77"/>
        <v>4.1328000000000005</v>
      </c>
      <c r="C422" s="214">
        <v>17</v>
      </c>
      <c r="D422" s="214">
        <f>H403</f>
        <v>10.165376161070458</v>
      </c>
      <c r="E422" s="217">
        <f t="shared" si="78"/>
        <v>4.1328000000000005</v>
      </c>
      <c r="F422" s="216">
        <f t="shared" si="79"/>
        <v>2.8611692307692311</v>
      </c>
      <c r="H422" s="247"/>
      <c r="I422" s="20"/>
      <c r="J422" s="20"/>
      <c r="K422" s="20"/>
      <c r="L422" s="20"/>
      <c r="M422" s="389"/>
      <c r="N422" s="389"/>
      <c r="O422" s="389"/>
      <c r="P422" s="389"/>
      <c r="U422" s="2"/>
      <c r="V422" s="2"/>
      <c r="W422" s="188"/>
      <c r="X422" s="188"/>
      <c r="Y422" s="188"/>
      <c r="Z422" s="188"/>
      <c r="AA422" s="188"/>
      <c r="AB422" s="188"/>
      <c r="AE422" s="188"/>
      <c r="AF422" s="188"/>
      <c r="AG422" s="188"/>
      <c r="AH422" s="188"/>
      <c r="AI422" s="188"/>
      <c r="AJ422" s="188"/>
      <c r="AK422" s="188"/>
      <c r="AL422" s="188"/>
      <c r="AM422" s="24"/>
    </row>
    <row r="423" spans="1:39">
      <c r="A423" s="44" t="s">
        <v>252</v>
      </c>
      <c r="B423" s="16">
        <f t="shared" si="77"/>
        <v>7.0973952000000011</v>
      </c>
      <c r="C423" s="16">
        <v>17</v>
      </c>
      <c r="D423" s="16">
        <f>H406</f>
        <v>10.667891747777407</v>
      </c>
      <c r="E423" s="204">
        <f t="shared" si="78"/>
        <v>7.0973952000000011</v>
      </c>
      <c r="F423" s="205">
        <f t="shared" si="79"/>
        <v>4.9135812923076925</v>
      </c>
      <c r="H423" s="247"/>
      <c r="I423" s="20"/>
      <c r="J423" s="20"/>
      <c r="K423" s="20"/>
      <c r="L423" s="20"/>
      <c r="M423" s="389"/>
      <c r="N423" s="389"/>
      <c r="O423" s="389"/>
      <c r="P423" s="389"/>
      <c r="U423" s="2"/>
      <c r="V423" s="2"/>
      <c r="W423" s="188"/>
      <c r="X423" s="188"/>
      <c r="Y423" s="188"/>
      <c r="Z423" s="188"/>
      <c r="AA423" s="188"/>
      <c r="AB423" s="188"/>
      <c r="AE423" s="188"/>
      <c r="AF423" s="188"/>
      <c r="AG423" s="188"/>
      <c r="AH423" s="188"/>
      <c r="AI423" s="188"/>
      <c r="AJ423" s="188"/>
      <c r="AK423" s="188"/>
      <c r="AL423" s="188"/>
      <c r="AM423" s="24"/>
    </row>
    <row r="424" spans="1:39">
      <c r="A424" s="44" t="s">
        <v>253</v>
      </c>
      <c r="B424" s="16">
        <f t="shared" si="77"/>
        <v>7.0973952000000011</v>
      </c>
      <c r="C424" s="16">
        <v>17</v>
      </c>
      <c r="D424" s="16">
        <f>H407</f>
        <v>6.251809552266594</v>
      </c>
      <c r="E424" s="204">
        <f t="shared" si="78"/>
        <v>6.251809552266594</v>
      </c>
      <c r="F424" s="205">
        <f t="shared" si="79"/>
        <v>4.3281758438768732</v>
      </c>
      <c r="H424" s="247"/>
      <c r="I424" s="20"/>
      <c r="J424" s="20"/>
      <c r="K424" s="20"/>
      <c r="L424" s="20"/>
      <c r="M424" s="389"/>
      <c r="N424" s="389"/>
      <c r="O424" s="389"/>
      <c r="P424" s="389"/>
      <c r="U424" s="2"/>
      <c r="V424" s="2"/>
      <c r="W424" s="188"/>
      <c r="X424" s="188"/>
      <c r="Y424" s="188"/>
      <c r="Z424" s="188"/>
      <c r="AA424" s="188"/>
      <c r="AB424" s="188"/>
      <c r="AE424" s="188"/>
      <c r="AF424" s="188"/>
      <c r="AG424" s="188"/>
      <c r="AH424" s="188"/>
      <c r="AI424" s="188"/>
      <c r="AJ424" s="188"/>
      <c r="AK424" s="188"/>
      <c r="AL424" s="188"/>
      <c r="AM424" s="24"/>
    </row>
    <row r="425" spans="1:39">
      <c r="A425" s="221" t="s">
        <v>266</v>
      </c>
      <c r="B425" s="168">
        <f>F391</f>
        <v>4.463770566037736</v>
      </c>
      <c r="C425" s="16">
        <v>8</v>
      </c>
      <c r="D425" s="16">
        <f>H403</f>
        <v>10.165376161070458</v>
      </c>
      <c r="E425" s="44"/>
      <c r="F425" s="44"/>
      <c r="H425" s="247"/>
      <c r="I425" s="20"/>
      <c r="J425" s="20"/>
      <c r="K425" s="20"/>
      <c r="L425" s="20"/>
      <c r="M425" s="389"/>
      <c r="N425" s="389"/>
      <c r="O425" s="389"/>
      <c r="P425" s="389"/>
      <c r="V425" s="2"/>
      <c r="W425" s="188"/>
      <c r="X425" s="188"/>
      <c r="Y425" s="188"/>
      <c r="Z425" s="188"/>
      <c r="AA425" s="188"/>
      <c r="AB425" s="188"/>
      <c r="AE425" s="24"/>
      <c r="AF425" s="2"/>
      <c r="AG425" s="188"/>
      <c r="AH425" s="24"/>
      <c r="AI425" s="24"/>
      <c r="AJ425" s="24"/>
      <c r="AK425" s="188"/>
      <c r="AL425" s="24"/>
      <c r="AM425" s="24"/>
    </row>
    <row r="426" spans="1:39">
      <c r="H426" s="247"/>
      <c r="I426" s="20"/>
      <c r="J426" s="20"/>
      <c r="K426" s="20"/>
      <c r="L426" s="20"/>
      <c r="M426" s="389"/>
      <c r="N426" s="389"/>
      <c r="O426" s="389"/>
      <c r="P426" s="389"/>
      <c r="V426" s="2"/>
      <c r="W426" s="188"/>
      <c r="X426" s="188"/>
      <c r="Y426" s="188"/>
      <c r="Z426" s="188"/>
      <c r="AA426" s="188"/>
      <c r="AB426" s="188"/>
      <c r="AE426" s="24"/>
      <c r="AF426" s="2"/>
      <c r="AG426" s="188"/>
      <c r="AH426" s="24"/>
      <c r="AI426" s="24"/>
      <c r="AJ426" s="24"/>
      <c r="AK426" s="188"/>
      <c r="AL426" s="24"/>
      <c r="AM426" s="24"/>
    </row>
    <row r="427" spans="1:39">
      <c r="H427" s="247"/>
      <c r="I427" s="20"/>
      <c r="J427" s="20"/>
      <c r="K427" s="20"/>
      <c r="L427" s="20"/>
      <c r="M427" s="389"/>
      <c r="N427" s="389"/>
      <c r="O427" s="389"/>
      <c r="P427" s="389"/>
      <c r="V427" s="2"/>
      <c r="W427" s="188"/>
      <c r="X427" s="188"/>
      <c r="Y427" s="188"/>
      <c r="Z427" s="191"/>
      <c r="AA427" s="188"/>
      <c r="AB427" s="191"/>
      <c r="AF427" s="2"/>
      <c r="AG427" s="188"/>
      <c r="AK427" s="188"/>
      <c r="AM427" s="24"/>
    </row>
    <row r="428" spans="1:39">
      <c r="H428" s="363"/>
      <c r="I428" s="363"/>
      <c r="J428" s="363"/>
      <c r="K428" s="363"/>
      <c r="L428" s="363"/>
      <c r="M428" s="363"/>
      <c r="N428" s="363"/>
      <c r="O428" s="363"/>
      <c r="P428" s="363"/>
    </row>
    <row r="429" spans="1:39">
      <c r="H429" s="247"/>
      <c r="I429" s="20"/>
      <c r="J429" s="20"/>
      <c r="K429" s="20"/>
      <c r="L429" s="20"/>
      <c r="M429" s="389"/>
      <c r="N429" s="389"/>
      <c r="O429" s="389"/>
      <c r="P429" s="389"/>
      <c r="U429" s="191"/>
      <c r="V429" s="2"/>
      <c r="W429" s="188"/>
      <c r="X429" s="188"/>
      <c r="Y429" s="188"/>
      <c r="Z429" s="188"/>
      <c r="AA429" s="188"/>
      <c r="AB429" s="188"/>
      <c r="AC429" s="188"/>
      <c r="AE429" s="188"/>
      <c r="AF429" s="188"/>
      <c r="AG429" s="188"/>
      <c r="AH429" s="188"/>
      <c r="AI429" s="188"/>
      <c r="AJ429" s="188"/>
      <c r="AK429" s="188"/>
      <c r="AL429" s="188"/>
      <c r="AM429" s="188"/>
    </row>
    <row r="430" spans="1:39">
      <c r="H430" s="247"/>
      <c r="I430" s="20"/>
      <c r="J430" s="20"/>
      <c r="K430" s="20"/>
      <c r="L430" s="20"/>
      <c r="M430" s="389"/>
      <c r="N430" s="389"/>
      <c r="O430" s="389"/>
      <c r="P430" s="389"/>
      <c r="U430" s="105"/>
      <c r="V430" s="189"/>
      <c r="W430" s="105"/>
      <c r="X430" s="188"/>
      <c r="Y430" s="188"/>
      <c r="Z430" s="188"/>
      <c r="AA430" s="188"/>
      <c r="AB430" s="188"/>
      <c r="AC430" s="24"/>
      <c r="AE430" s="105"/>
      <c r="AF430" s="191"/>
      <c r="AG430" s="105"/>
      <c r="AH430" s="188"/>
      <c r="AI430" s="188"/>
      <c r="AJ430" s="188"/>
      <c r="AK430" s="188"/>
      <c r="AL430" s="188"/>
      <c r="AM430" s="24"/>
    </row>
    <row r="431" spans="1:39">
      <c r="H431" s="247"/>
      <c r="I431" s="20"/>
      <c r="J431" s="20"/>
      <c r="K431" s="20"/>
      <c r="L431" s="20"/>
      <c r="M431" s="389"/>
      <c r="N431" s="389"/>
      <c r="O431" s="389"/>
      <c r="P431" s="389"/>
      <c r="U431" s="2"/>
      <c r="V431" s="2"/>
      <c r="W431" s="188"/>
      <c r="X431" s="188"/>
      <c r="Y431" s="188"/>
      <c r="Z431" s="188"/>
      <c r="AA431" s="188"/>
      <c r="AB431" s="188"/>
      <c r="AC431" s="24"/>
      <c r="AE431" s="188"/>
      <c r="AF431" s="188"/>
      <c r="AG431" s="188"/>
      <c r="AH431" s="188"/>
      <c r="AI431" s="188"/>
      <c r="AJ431" s="188"/>
      <c r="AK431" s="188"/>
      <c r="AL431" s="188"/>
      <c r="AM431" s="24"/>
    </row>
    <row r="432" spans="1:39">
      <c r="H432" s="247"/>
      <c r="I432" s="20"/>
      <c r="J432" s="20"/>
      <c r="K432" s="20"/>
      <c r="L432" s="20"/>
      <c r="M432" s="389"/>
      <c r="N432" s="389"/>
      <c r="O432" s="389"/>
      <c r="P432" s="389"/>
      <c r="U432" s="2"/>
      <c r="V432" s="2"/>
      <c r="W432" s="188"/>
      <c r="X432" s="188"/>
      <c r="Y432" s="188"/>
      <c r="Z432" s="188"/>
      <c r="AA432" s="188"/>
      <c r="AB432" s="188"/>
      <c r="AC432" s="24"/>
      <c r="AE432" s="188"/>
      <c r="AF432" s="188"/>
      <c r="AG432" s="188"/>
      <c r="AH432" s="188"/>
      <c r="AI432" s="188"/>
      <c r="AJ432" s="188"/>
      <c r="AK432" s="188"/>
      <c r="AL432" s="188"/>
      <c r="AM432" s="24"/>
    </row>
    <row r="433" spans="8:39">
      <c r="H433" s="247"/>
      <c r="I433" s="20"/>
      <c r="J433" s="20"/>
      <c r="K433" s="20"/>
      <c r="L433" s="20"/>
      <c r="M433" s="389"/>
      <c r="N433" s="389"/>
      <c r="O433" s="389"/>
      <c r="P433" s="389"/>
      <c r="U433" s="189"/>
      <c r="V433" s="2"/>
      <c r="W433" s="188"/>
      <c r="X433" s="188"/>
      <c r="Y433" s="191"/>
      <c r="Z433" s="188"/>
      <c r="AA433" s="188"/>
      <c r="AB433" s="188"/>
      <c r="AC433" s="24"/>
      <c r="AE433" s="191"/>
      <c r="AF433" s="188"/>
      <c r="AG433" s="188"/>
      <c r="AH433" s="188"/>
      <c r="AI433" s="188"/>
      <c r="AJ433" s="188"/>
      <c r="AK433" s="188"/>
      <c r="AL433" s="188"/>
      <c r="AM433" s="24"/>
    </row>
    <row r="434" spans="8:39">
      <c r="H434" s="247"/>
      <c r="I434" s="20"/>
      <c r="J434" s="20"/>
      <c r="K434" s="20"/>
      <c r="L434" s="20"/>
      <c r="M434" s="389"/>
      <c r="N434" s="389"/>
      <c r="O434" s="389"/>
      <c r="P434" s="389"/>
      <c r="U434" s="2"/>
      <c r="V434" s="2"/>
      <c r="W434" s="188"/>
      <c r="X434" s="188"/>
      <c r="Y434" s="188"/>
      <c r="Z434" s="188"/>
      <c r="AA434" s="188"/>
      <c r="AB434" s="188"/>
      <c r="AC434" s="24"/>
      <c r="AE434" s="188"/>
      <c r="AF434" s="188"/>
      <c r="AG434" s="188"/>
      <c r="AH434" s="188"/>
      <c r="AI434" s="188"/>
      <c r="AJ434" s="188"/>
      <c r="AK434" s="188"/>
      <c r="AL434" s="188"/>
      <c r="AM434" s="24"/>
    </row>
    <row r="435" spans="8:39">
      <c r="H435" s="363"/>
      <c r="I435" s="363"/>
      <c r="J435" s="363"/>
      <c r="K435" s="363"/>
      <c r="L435" s="363"/>
      <c r="M435" s="363"/>
      <c r="N435" s="363"/>
      <c r="O435" s="363"/>
      <c r="P435" s="363"/>
      <c r="U435" s="2"/>
      <c r="V435" s="2"/>
      <c r="W435" s="188"/>
      <c r="X435" s="188"/>
      <c r="Y435" s="188"/>
      <c r="Z435" s="191"/>
      <c r="AA435" s="188"/>
      <c r="AB435" s="188"/>
      <c r="AC435" s="24"/>
      <c r="AE435" s="188"/>
      <c r="AF435" s="188"/>
      <c r="AG435" s="188"/>
      <c r="AH435" s="188"/>
      <c r="AI435" s="188"/>
      <c r="AJ435" s="188"/>
      <c r="AK435" s="188"/>
      <c r="AL435" s="188"/>
      <c r="AM435" s="24"/>
    </row>
    <row r="436" spans="8:39">
      <c r="H436" s="247"/>
      <c r="I436" s="20"/>
      <c r="J436" s="20"/>
      <c r="K436" s="20"/>
      <c r="L436" s="20"/>
      <c r="M436" s="389"/>
      <c r="N436" s="389"/>
      <c r="O436" s="389"/>
      <c r="P436" s="389"/>
      <c r="U436" s="2"/>
      <c r="V436" s="2"/>
      <c r="W436" s="188"/>
      <c r="X436" s="188"/>
      <c r="Y436" s="188"/>
      <c r="Z436" s="188"/>
      <c r="AA436" s="188"/>
      <c r="AB436" s="188"/>
      <c r="AC436" s="24"/>
      <c r="AE436" s="188"/>
      <c r="AF436" s="188"/>
      <c r="AG436" s="188"/>
      <c r="AH436" s="188"/>
      <c r="AI436" s="188"/>
      <c r="AJ436" s="188"/>
      <c r="AK436" s="188"/>
      <c r="AL436" s="188"/>
      <c r="AM436" s="24"/>
    </row>
    <row r="437" spans="8:39">
      <c r="H437" s="247"/>
      <c r="I437" s="20"/>
      <c r="J437" s="20"/>
      <c r="K437" s="20"/>
      <c r="L437" s="20"/>
      <c r="M437" s="389"/>
      <c r="N437" s="389"/>
      <c r="O437" s="389"/>
      <c r="P437" s="389"/>
      <c r="V437" s="2"/>
      <c r="W437" s="222"/>
      <c r="X437" s="222"/>
      <c r="Y437" s="222"/>
      <c r="Z437" s="222"/>
      <c r="AA437" s="222"/>
      <c r="AB437" s="222"/>
      <c r="AC437" s="24"/>
      <c r="AE437" s="24"/>
      <c r="AF437" s="2"/>
      <c r="AG437" s="188"/>
      <c r="AH437" s="24"/>
      <c r="AI437" s="24"/>
      <c r="AJ437" s="24"/>
      <c r="AK437" s="188"/>
      <c r="AL437" s="24"/>
      <c r="AM437" s="24"/>
    </row>
    <row r="438" spans="8:39">
      <c r="H438" s="247"/>
      <c r="I438" s="20"/>
      <c r="J438" s="20"/>
      <c r="K438" s="20"/>
      <c r="L438" s="20"/>
      <c r="M438" s="389"/>
      <c r="N438" s="389"/>
      <c r="O438" s="389"/>
      <c r="P438" s="389"/>
      <c r="V438" s="2"/>
      <c r="W438" s="222"/>
      <c r="X438" s="222"/>
      <c r="Y438" s="222"/>
      <c r="Z438" s="222"/>
      <c r="AA438" s="222"/>
      <c r="AB438" s="222"/>
      <c r="AC438" s="24"/>
      <c r="AE438" s="24"/>
      <c r="AF438" s="2"/>
      <c r="AG438" s="188"/>
      <c r="AH438" s="24"/>
      <c r="AI438" s="24"/>
      <c r="AJ438" s="24"/>
      <c r="AK438" s="188"/>
      <c r="AL438" s="24"/>
      <c r="AM438" s="24"/>
    </row>
    <row r="439" spans="8:39">
      <c r="H439" s="247"/>
      <c r="I439" s="20"/>
      <c r="J439" s="20"/>
      <c r="K439" s="20"/>
      <c r="L439" s="20"/>
      <c r="M439" s="389"/>
      <c r="N439" s="389"/>
      <c r="O439" s="389"/>
      <c r="P439" s="389"/>
      <c r="V439" s="2"/>
      <c r="W439" s="222"/>
      <c r="X439" s="222"/>
      <c r="Y439" s="222"/>
      <c r="Z439" s="222"/>
      <c r="AA439" s="222"/>
      <c r="AB439" s="222"/>
      <c r="AC439" s="24"/>
      <c r="AF439" s="2"/>
      <c r="AG439" s="188"/>
      <c r="AK439" s="188"/>
      <c r="AM439" s="24"/>
    </row>
    <row r="440" spans="8:39">
      <c r="H440" s="247"/>
      <c r="I440" s="20"/>
      <c r="J440" s="20"/>
      <c r="K440" s="20"/>
      <c r="L440" s="20"/>
      <c r="M440" s="389"/>
      <c r="N440" s="389"/>
      <c r="O440" s="389"/>
      <c r="P440" s="389"/>
    </row>
    <row r="441" spans="8:39">
      <c r="H441" s="247"/>
      <c r="I441" s="20"/>
      <c r="J441" s="20"/>
      <c r="K441" s="20"/>
      <c r="L441" s="20"/>
      <c r="M441" s="389"/>
      <c r="N441" s="389"/>
      <c r="O441" s="389"/>
      <c r="P441" s="389"/>
      <c r="U441" s="191"/>
      <c r="V441" s="2"/>
      <c r="W441" s="188"/>
      <c r="X441" s="188"/>
      <c r="Y441" s="188"/>
      <c r="Z441" s="188"/>
      <c r="AA441" s="188"/>
      <c r="AB441" s="188"/>
      <c r="AC441" s="188"/>
      <c r="AE441" s="191"/>
      <c r="AF441" s="188"/>
      <c r="AG441" s="188"/>
      <c r="AH441" s="188"/>
      <c r="AI441" s="188"/>
      <c r="AJ441" s="188"/>
      <c r="AK441" s="188"/>
      <c r="AL441" s="188"/>
      <c r="AM441" s="188"/>
    </row>
    <row r="442" spans="8:39">
      <c r="U442" s="105"/>
      <c r="V442" s="189"/>
      <c r="W442" s="105"/>
      <c r="X442" s="191"/>
      <c r="Y442" s="188"/>
      <c r="Z442" s="188"/>
      <c r="AA442" s="188"/>
      <c r="AB442" s="188"/>
      <c r="AC442" s="24"/>
      <c r="AE442" s="105"/>
      <c r="AF442" s="191"/>
      <c r="AG442" s="105"/>
      <c r="AH442" s="191"/>
      <c r="AI442" s="188"/>
      <c r="AJ442" s="188"/>
      <c r="AK442" s="188"/>
      <c r="AL442" s="188"/>
      <c r="AM442" s="24"/>
    </row>
    <row r="443" spans="8:39">
      <c r="U443" s="189"/>
      <c r="V443" s="2"/>
      <c r="W443" s="188"/>
      <c r="X443" s="188"/>
      <c r="Y443" s="188"/>
      <c r="Z443" s="188"/>
      <c r="AA443" s="191"/>
      <c r="AB443" s="188"/>
      <c r="AC443" s="24"/>
      <c r="AE443" s="191"/>
      <c r="AF443" s="188"/>
      <c r="AG443" s="188"/>
      <c r="AH443" s="188"/>
      <c r="AI443" s="188"/>
      <c r="AJ443" s="188"/>
      <c r="AK443" s="191"/>
      <c r="AL443" s="188"/>
      <c r="AM443" s="24"/>
    </row>
    <row r="444" spans="8:39">
      <c r="U444" s="2"/>
      <c r="V444" s="2"/>
      <c r="W444" s="188"/>
      <c r="X444" s="188"/>
      <c r="Y444" s="188"/>
      <c r="Z444" s="188"/>
      <c r="AA444" s="191"/>
      <c r="AB444" s="188"/>
      <c r="AC444" s="24"/>
      <c r="AE444" s="188"/>
      <c r="AF444" s="188"/>
      <c r="AG444" s="188"/>
      <c r="AH444" s="188"/>
      <c r="AI444" s="188"/>
      <c r="AJ444" s="188"/>
      <c r="AK444" s="191"/>
      <c r="AL444" s="188"/>
      <c r="AM444" s="24"/>
    </row>
    <row r="445" spans="8:39">
      <c r="U445" s="189"/>
      <c r="V445" s="2"/>
      <c r="W445" s="188"/>
      <c r="X445" s="188"/>
      <c r="Y445" s="188"/>
      <c r="Z445" s="188"/>
      <c r="AA445" s="188"/>
      <c r="AB445" s="188"/>
      <c r="AC445" s="24"/>
      <c r="AE445" s="191"/>
      <c r="AF445" s="188"/>
      <c r="AG445" s="188"/>
      <c r="AH445" s="188"/>
      <c r="AI445" s="188"/>
      <c r="AJ445" s="188"/>
      <c r="AK445" s="188"/>
      <c r="AL445" s="188"/>
      <c r="AM445" s="24"/>
    </row>
    <row r="446" spans="8:39">
      <c r="P446"/>
      <c r="Q446"/>
      <c r="R446"/>
      <c r="S446"/>
      <c r="U446" s="2"/>
      <c r="V446" s="2"/>
      <c r="W446" s="188"/>
      <c r="X446" s="188"/>
      <c r="Y446" s="188"/>
      <c r="Z446" s="188"/>
      <c r="AA446" s="188"/>
      <c r="AB446" s="191"/>
      <c r="AC446" s="24"/>
      <c r="AE446" s="188"/>
      <c r="AF446" s="188"/>
      <c r="AG446" s="188"/>
      <c r="AH446" s="188"/>
      <c r="AI446" s="188"/>
      <c r="AJ446" s="188"/>
      <c r="AK446" s="188"/>
      <c r="AL446" s="188"/>
      <c r="AM446" s="24"/>
    </row>
    <row r="447" spans="8:39">
      <c r="P447"/>
      <c r="Q447"/>
      <c r="R447"/>
      <c r="S447"/>
      <c r="U447" s="2"/>
      <c r="V447" s="2"/>
      <c r="W447" s="188"/>
      <c r="X447" s="188"/>
      <c r="Y447" s="188"/>
      <c r="Z447" s="188"/>
      <c r="AA447" s="188"/>
      <c r="AB447" s="188"/>
      <c r="AC447" s="24"/>
      <c r="AE447" s="188"/>
      <c r="AF447" s="188"/>
      <c r="AG447" s="188"/>
      <c r="AH447" s="188"/>
      <c r="AI447" s="188"/>
      <c r="AJ447" s="188"/>
      <c r="AK447" s="188"/>
      <c r="AL447" s="188"/>
      <c r="AM447" s="24"/>
    </row>
    <row r="448" spans="8:39">
      <c r="P448"/>
      <c r="Q448"/>
      <c r="R448"/>
      <c r="S448"/>
      <c r="U448" s="2"/>
      <c r="V448" s="2"/>
      <c r="W448" s="188"/>
      <c r="X448" s="188"/>
      <c r="Y448" s="188"/>
      <c r="Z448" s="188"/>
      <c r="AA448" s="188"/>
      <c r="AB448" s="188"/>
      <c r="AC448" s="24"/>
      <c r="AE448" s="188"/>
      <c r="AF448" s="188"/>
      <c r="AG448" s="188"/>
      <c r="AH448" s="188"/>
      <c r="AI448" s="188"/>
      <c r="AJ448" s="188"/>
      <c r="AK448" s="188"/>
      <c r="AL448" s="188"/>
      <c r="AM448" s="24"/>
    </row>
    <row r="449" spans="16:39">
      <c r="P449"/>
      <c r="Q449"/>
      <c r="R449"/>
      <c r="S449"/>
      <c r="V449" s="2"/>
      <c r="W449" s="188"/>
      <c r="X449" s="188"/>
      <c r="Y449" s="188"/>
      <c r="Z449" s="188"/>
      <c r="AA449" s="188"/>
      <c r="AB449" s="188"/>
      <c r="AC449" s="24"/>
      <c r="AE449" s="24"/>
      <c r="AF449" s="2"/>
      <c r="AG449" s="188"/>
      <c r="AH449" s="24"/>
      <c r="AI449" s="24"/>
      <c r="AJ449" s="24"/>
      <c r="AK449" s="188"/>
      <c r="AL449" s="24"/>
      <c r="AM449" s="24"/>
    </row>
    <row r="450" spans="16:39">
      <c r="P450"/>
      <c r="Q450"/>
      <c r="R450"/>
      <c r="S450"/>
      <c r="V450" s="2"/>
      <c r="W450" s="188"/>
      <c r="X450" s="188"/>
      <c r="Y450" s="188"/>
      <c r="Z450" s="188"/>
      <c r="AA450" s="188"/>
      <c r="AB450" s="188"/>
      <c r="AC450" s="24"/>
      <c r="AE450" s="24"/>
      <c r="AF450" s="2"/>
      <c r="AG450" s="188"/>
      <c r="AH450" s="24"/>
      <c r="AI450" s="24"/>
      <c r="AJ450" s="24"/>
      <c r="AK450" s="188"/>
      <c r="AL450" s="24"/>
      <c r="AM450" s="24"/>
    </row>
    <row r="451" spans="16:39">
      <c r="P451"/>
      <c r="Q451"/>
      <c r="R451"/>
      <c r="S451"/>
      <c r="V451" s="2"/>
      <c r="W451" s="188"/>
      <c r="X451" s="191"/>
      <c r="Y451" s="188"/>
      <c r="Z451" s="188"/>
      <c r="AA451" s="188"/>
      <c r="AB451" s="188"/>
      <c r="AC451" s="24"/>
      <c r="AF451" s="2"/>
      <c r="AG451" s="188"/>
      <c r="AK451" s="188"/>
      <c r="AM451" s="24"/>
    </row>
    <row r="453" spans="16:39">
      <c r="P453"/>
      <c r="Q453"/>
      <c r="R453"/>
      <c r="S453"/>
      <c r="U453" s="226"/>
      <c r="V453" s="2"/>
      <c r="W453" s="188"/>
      <c r="X453" s="188"/>
      <c r="Y453" s="188"/>
      <c r="Z453" s="188"/>
      <c r="AA453" s="188"/>
      <c r="AB453" s="188"/>
      <c r="AC453" s="188"/>
      <c r="AE453" s="188"/>
      <c r="AF453" s="188"/>
      <c r="AG453" s="188"/>
      <c r="AH453" s="188"/>
      <c r="AI453" s="188"/>
      <c r="AJ453" s="188"/>
      <c r="AK453" s="188"/>
      <c r="AL453" s="188"/>
      <c r="AM453" s="188"/>
    </row>
    <row r="454" spans="16:39">
      <c r="P454"/>
      <c r="Q454"/>
      <c r="R454"/>
      <c r="S454"/>
      <c r="U454" s="227"/>
      <c r="V454" s="189"/>
      <c r="W454" s="105"/>
      <c r="X454" s="188"/>
      <c r="Y454" s="188"/>
      <c r="Z454" s="188"/>
      <c r="AA454" s="188"/>
      <c r="AB454" s="188"/>
      <c r="AC454" s="24"/>
      <c r="AE454" s="105"/>
      <c r="AF454" s="191"/>
      <c r="AG454" s="105"/>
      <c r="AH454" s="188"/>
      <c r="AI454" s="188"/>
      <c r="AJ454" s="188"/>
      <c r="AK454" s="188"/>
      <c r="AL454" s="188"/>
      <c r="AM454" s="24"/>
    </row>
    <row r="455" spans="16:39">
      <c r="P455"/>
      <c r="Q455"/>
      <c r="R455"/>
      <c r="S455"/>
      <c r="U455" s="2"/>
      <c r="V455" s="2"/>
      <c r="W455" s="188"/>
      <c r="X455" s="188"/>
      <c r="Y455" s="188"/>
      <c r="Z455" s="188"/>
      <c r="AA455" s="188"/>
      <c r="AB455" s="188"/>
      <c r="AC455" s="24"/>
      <c r="AE455" s="188"/>
      <c r="AF455" s="188"/>
      <c r="AG455" s="188"/>
      <c r="AH455" s="188"/>
      <c r="AI455" s="188"/>
      <c r="AJ455" s="188"/>
      <c r="AK455" s="188"/>
      <c r="AL455" s="188"/>
      <c r="AM455" s="24"/>
    </row>
    <row r="456" spans="16:39">
      <c r="P456"/>
      <c r="Q456"/>
      <c r="R456"/>
      <c r="S456"/>
      <c r="U456" s="2"/>
      <c r="V456" s="2"/>
      <c r="W456" s="188"/>
      <c r="X456" s="188"/>
      <c r="Y456" s="188"/>
      <c r="Z456" s="188"/>
      <c r="AA456" s="188"/>
      <c r="AB456" s="188"/>
      <c r="AC456" s="24"/>
      <c r="AE456" s="188"/>
      <c r="AF456" s="188"/>
      <c r="AG456" s="188"/>
      <c r="AH456" s="188"/>
      <c r="AI456" s="188"/>
      <c r="AJ456" s="188"/>
      <c r="AK456" s="188"/>
      <c r="AL456" s="188"/>
      <c r="AM456" s="24"/>
    </row>
    <row r="457" spans="16:39">
      <c r="P457"/>
      <c r="Q457"/>
      <c r="R457"/>
      <c r="S457"/>
      <c r="U457" s="189"/>
      <c r="V457" s="2"/>
      <c r="W457" s="188"/>
      <c r="X457" s="188"/>
      <c r="Y457" s="188"/>
      <c r="Z457" s="188"/>
      <c r="AA457" s="188"/>
      <c r="AB457" s="188"/>
      <c r="AC457" s="24"/>
      <c r="AE457" s="191"/>
      <c r="AF457" s="188"/>
      <c r="AG457" s="188"/>
      <c r="AH457" s="188"/>
      <c r="AI457" s="188"/>
      <c r="AJ457" s="188"/>
      <c r="AK457" s="188"/>
      <c r="AL457" s="188"/>
      <c r="AM457" s="24"/>
    </row>
    <row r="458" spans="16:39">
      <c r="P458"/>
      <c r="Q458"/>
      <c r="R458"/>
      <c r="S458"/>
      <c r="U458" s="2"/>
      <c r="V458" s="2"/>
      <c r="W458" s="188"/>
      <c r="X458" s="188"/>
      <c r="Y458" s="191"/>
      <c r="Z458" s="188"/>
      <c r="AA458" s="188"/>
      <c r="AB458" s="188"/>
      <c r="AC458" s="24"/>
      <c r="AE458" s="188"/>
      <c r="AF458" s="188"/>
      <c r="AG458" s="188"/>
      <c r="AH458" s="188"/>
      <c r="AI458" s="188"/>
      <c r="AJ458" s="188"/>
      <c r="AK458" s="188"/>
      <c r="AL458" s="188"/>
      <c r="AM458" s="24"/>
    </row>
    <row r="459" spans="16:39">
      <c r="P459"/>
      <c r="Q459"/>
      <c r="R459"/>
      <c r="S459"/>
      <c r="U459" s="2"/>
      <c r="V459" s="2"/>
      <c r="W459" s="188"/>
      <c r="X459" s="188"/>
      <c r="Y459" s="188"/>
      <c r="Z459" s="188"/>
      <c r="AA459" s="188"/>
      <c r="AB459" s="188"/>
      <c r="AC459" s="24"/>
      <c r="AE459" s="188"/>
      <c r="AF459" s="188"/>
      <c r="AG459" s="188"/>
      <c r="AH459" s="188"/>
      <c r="AI459" s="188"/>
      <c r="AJ459" s="188"/>
      <c r="AK459" s="188"/>
      <c r="AL459" s="188"/>
      <c r="AM459" s="24"/>
    </row>
    <row r="460" spans="16:39">
      <c r="P460"/>
      <c r="Q460"/>
      <c r="R460"/>
      <c r="S460"/>
      <c r="U460" s="2"/>
      <c r="V460" s="2"/>
      <c r="W460" s="188"/>
      <c r="X460" s="188"/>
      <c r="Y460" s="188"/>
      <c r="Z460" s="188"/>
      <c r="AA460" s="191"/>
      <c r="AB460" s="188"/>
      <c r="AC460" s="24"/>
      <c r="AE460" s="188"/>
      <c r="AF460" s="188"/>
      <c r="AG460" s="188"/>
      <c r="AH460" s="188"/>
      <c r="AI460" s="188"/>
      <c r="AJ460" s="188"/>
      <c r="AK460" s="188"/>
      <c r="AL460" s="188"/>
      <c r="AM460" s="24"/>
    </row>
    <row r="461" spans="16:39">
      <c r="P461"/>
      <c r="Q461"/>
      <c r="R461"/>
      <c r="S461"/>
      <c r="V461" s="2"/>
      <c r="W461" s="188"/>
      <c r="X461" s="188"/>
      <c r="Y461" s="188"/>
      <c r="Z461" s="191"/>
      <c r="AA461" s="188"/>
      <c r="AB461" s="188"/>
      <c r="AC461" s="24"/>
      <c r="AF461" s="2"/>
      <c r="AG461" s="188"/>
      <c r="AK461" s="188"/>
      <c r="AM461" s="24"/>
    </row>
    <row r="462" spans="16:39">
      <c r="P462"/>
      <c r="Q462"/>
      <c r="R462"/>
      <c r="S462"/>
      <c r="V462" s="2"/>
      <c r="W462" s="188"/>
      <c r="X462" s="191"/>
      <c r="Y462" s="188"/>
      <c r="Z462" s="188"/>
      <c r="AA462" s="191"/>
      <c r="AB462" s="188"/>
      <c r="AC462" s="24"/>
      <c r="AF462" s="2"/>
      <c r="AG462" s="188"/>
      <c r="AK462" s="188"/>
      <c r="AM462" s="24"/>
    </row>
    <row r="463" spans="16:39">
      <c r="P463"/>
      <c r="Q463"/>
      <c r="R463"/>
      <c r="S463"/>
      <c r="V463" s="2"/>
      <c r="W463" s="188"/>
      <c r="X463" s="188"/>
      <c r="Y463" s="188"/>
      <c r="Z463" s="188"/>
      <c r="AA463" s="188"/>
      <c r="AB463" s="188"/>
      <c r="AC463" s="24"/>
      <c r="AF463" s="2"/>
      <c r="AG463" s="188"/>
      <c r="AK463" s="188"/>
      <c r="AM463" s="24"/>
    </row>
    <row r="464" spans="16:39">
      <c r="P464"/>
      <c r="Q464"/>
      <c r="R464"/>
      <c r="S464"/>
      <c r="W464" s="24"/>
      <c r="X464" s="24"/>
      <c r="Y464" s="24"/>
      <c r="Z464" s="24"/>
      <c r="AA464" s="24"/>
      <c r="AB464" s="24"/>
      <c r="AC464" s="24"/>
    </row>
    <row r="465" spans="16:29">
      <c r="P465"/>
      <c r="Q465"/>
      <c r="R465"/>
      <c r="S465"/>
      <c r="W465" s="24"/>
      <c r="X465" s="24"/>
      <c r="Y465" s="24"/>
      <c r="Z465" s="24"/>
      <c r="AA465" s="24"/>
      <c r="AB465" s="24"/>
      <c r="AC465" s="24"/>
    </row>
    <row r="466" spans="16:29">
      <c r="P466"/>
      <c r="Q466"/>
      <c r="R466"/>
      <c r="S466"/>
      <c r="W466" s="24"/>
      <c r="X466" s="24"/>
      <c r="Y466" s="24"/>
      <c r="Z466" s="24"/>
      <c r="AA466" s="24"/>
      <c r="AB466" s="24"/>
      <c r="AC466" s="24"/>
    </row>
    <row r="467" spans="16:29">
      <c r="P467"/>
      <c r="Q467"/>
      <c r="R467"/>
      <c r="S467"/>
      <c r="W467" s="24"/>
      <c r="X467" s="24"/>
      <c r="Y467" s="24"/>
      <c r="Z467" s="24"/>
      <c r="AA467" s="24"/>
      <c r="AB467" s="24"/>
      <c r="AC467" s="24"/>
    </row>
    <row r="468" spans="16:29">
      <c r="P468"/>
      <c r="Q468"/>
      <c r="R468"/>
      <c r="S468"/>
      <c r="W468" s="24"/>
      <c r="X468" s="24"/>
      <c r="Y468" s="24"/>
      <c r="Z468" s="24"/>
      <c r="AA468" s="24"/>
      <c r="AB468" s="24"/>
      <c r="AC468" s="24"/>
    </row>
    <row r="469" spans="16:29">
      <c r="P469"/>
      <c r="Q469"/>
      <c r="R469"/>
      <c r="S469"/>
      <c r="W469" s="24"/>
      <c r="X469" s="24"/>
      <c r="Y469" s="24"/>
      <c r="Z469" s="24"/>
      <c r="AA469" s="24"/>
      <c r="AB469" s="24"/>
      <c r="AC469" s="24"/>
    </row>
    <row r="470" spans="16:29">
      <c r="P470"/>
      <c r="Q470"/>
      <c r="R470"/>
      <c r="S470"/>
      <c r="W470" s="24"/>
      <c r="X470" s="24"/>
      <c r="Y470" s="24"/>
      <c r="Z470" s="24"/>
      <c r="AA470" s="24"/>
      <c r="AB470" s="24"/>
      <c r="AC470" s="24"/>
    </row>
    <row r="471" spans="16:29">
      <c r="P471"/>
      <c r="Q471"/>
      <c r="R471"/>
      <c r="S471"/>
      <c r="W471" s="24"/>
      <c r="X471" s="24"/>
      <c r="Y471" s="24"/>
      <c r="Z471" s="24"/>
      <c r="AA471" s="24"/>
      <c r="AB471" s="24"/>
      <c r="AC471" s="24"/>
    </row>
    <row r="472" spans="16:29">
      <c r="P472"/>
      <c r="Q472"/>
      <c r="R472"/>
      <c r="S472"/>
      <c r="W472" s="24"/>
      <c r="X472" s="24"/>
      <c r="Y472" s="24"/>
      <c r="Z472" s="24"/>
      <c r="AA472" s="24"/>
      <c r="AB472" s="24"/>
      <c r="AC472" s="24"/>
    </row>
    <row r="473" spans="16:29">
      <c r="P473"/>
      <c r="Q473"/>
      <c r="R473"/>
      <c r="S473"/>
      <c r="W473" s="24"/>
      <c r="X473" s="24"/>
      <c r="Y473" s="24"/>
      <c r="Z473" s="24"/>
      <c r="AA473" s="24"/>
      <c r="AB473" s="24"/>
      <c r="AC473" s="24"/>
    </row>
    <row r="474" spans="16:29">
      <c r="P474"/>
      <c r="Q474"/>
      <c r="R474"/>
      <c r="S474"/>
      <c r="W474" s="24"/>
      <c r="X474" s="24"/>
      <c r="Y474" s="24"/>
      <c r="Z474" s="24"/>
      <c r="AA474" s="24"/>
      <c r="AB474" s="24"/>
      <c r="AC474" s="24"/>
    </row>
    <row r="475" spans="16:29">
      <c r="P475"/>
      <c r="Q475"/>
      <c r="R475"/>
      <c r="S475"/>
      <c r="W475" s="24"/>
      <c r="X475" s="24"/>
      <c r="Y475" s="24"/>
      <c r="Z475" s="24"/>
      <c r="AA475" s="24"/>
      <c r="AB475" s="24"/>
      <c r="AC475" s="24"/>
    </row>
    <row r="476" spans="16:29">
      <c r="P476"/>
      <c r="Q476"/>
      <c r="R476"/>
      <c r="S476"/>
      <c r="W476" s="24"/>
      <c r="X476" s="24"/>
      <c r="Y476" s="24"/>
      <c r="Z476" s="24"/>
      <c r="AA476" s="24"/>
      <c r="AB476" s="24"/>
      <c r="AC476" s="24"/>
    </row>
    <row r="477" spans="16:29">
      <c r="P477"/>
      <c r="Q477"/>
      <c r="R477"/>
      <c r="S477"/>
      <c r="W477" s="24"/>
      <c r="X477" s="24"/>
      <c r="Y477" s="24"/>
      <c r="Z477" s="24"/>
      <c r="AA477" s="24"/>
      <c r="AB477" s="24"/>
      <c r="AC477" s="24"/>
    </row>
    <row r="478" spans="16:29">
      <c r="P478"/>
      <c r="Q478"/>
      <c r="R478"/>
      <c r="S478"/>
      <c r="W478" s="24"/>
      <c r="X478" s="24"/>
      <c r="Y478" s="24"/>
      <c r="Z478" s="24"/>
      <c r="AA478" s="24"/>
      <c r="AB478" s="24"/>
      <c r="AC478" s="24"/>
    </row>
    <row r="479" spans="16:29">
      <c r="P479"/>
      <c r="Q479"/>
      <c r="R479"/>
      <c r="S479"/>
      <c r="W479" s="24"/>
      <c r="X479" s="24"/>
      <c r="Y479" s="24"/>
      <c r="Z479" s="24"/>
      <c r="AA479" s="24"/>
      <c r="AB479" s="24"/>
      <c r="AC479" s="24"/>
    </row>
    <row r="480" spans="16:29">
      <c r="P480"/>
      <c r="Q480"/>
      <c r="R480"/>
      <c r="S480"/>
      <c r="W480" s="24"/>
      <c r="X480" s="24"/>
      <c r="Y480" s="24"/>
      <c r="Z480" s="24"/>
      <c r="AA480" s="24"/>
      <c r="AB480" s="24"/>
      <c r="AC480" s="24"/>
    </row>
    <row r="481" spans="16:29">
      <c r="P481"/>
      <c r="Q481"/>
      <c r="R481"/>
      <c r="S481"/>
      <c r="W481" s="24"/>
      <c r="X481" s="24"/>
      <c r="Y481" s="24"/>
      <c r="Z481" s="24"/>
      <c r="AA481" s="24"/>
      <c r="AB481" s="24"/>
      <c r="AC481" s="24"/>
    </row>
    <row r="482" spans="16:29">
      <c r="P482"/>
      <c r="Q482"/>
      <c r="R482"/>
      <c r="S482"/>
      <c r="W482" s="24"/>
      <c r="X482" s="24"/>
      <c r="Y482" s="24"/>
      <c r="Z482" s="24"/>
      <c r="AA482" s="24"/>
      <c r="AB482" s="24"/>
      <c r="AC482" s="24"/>
    </row>
    <row r="483" spans="16:29">
      <c r="P483"/>
      <c r="Q483"/>
      <c r="R483"/>
      <c r="S483"/>
      <c r="W483" s="24"/>
      <c r="X483" s="24"/>
      <c r="Y483" s="24"/>
      <c r="Z483" s="24"/>
      <c r="AA483" s="24"/>
      <c r="AB483" s="24"/>
      <c r="AC483" s="24"/>
    </row>
    <row r="484" spans="16:29">
      <c r="P484"/>
      <c r="Q484"/>
      <c r="R484"/>
      <c r="S484"/>
      <c r="W484" s="24"/>
      <c r="X484" s="24"/>
      <c r="Y484" s="24"/>
      <c r="Z484" s="24"/>
      <c r="AA484" s="24"/>
      <c r="AB484" s="24"/>
      <c r="AC484" s="24"/>
    </row>
    <row r="485" spans="16:29">
      <c r="P485"/>
      <c r="Q485"/>
      <c r="R485"/>
      <c r="S485"/>
      <c r="W485" s="24"/>
      <c r="X485" s="24"/>
      <c r="Y485" s="24"/>
      <c r="Z485" s="24"/>
      <c r="AA485" s="24"/>
      <c r="AB485" s="24"/>
      <c r="AC485" s="24"/>
    </row>
    <row r="486" spans="16:29">
      <c r="P486"/>
      <c r="Q486"/>
      <c r="R486"/>
      <c r="S486"/>
      <c r="W486" s="24"/>
      <c r="X486" s="24"/>
      <c r="Y486" s="24"/>
      <c r="Z486" s="24"/>
      <c r="AA486" s="24"/>
      <c r="AB486" s="24"/>
      <c r="AC486" s="24"/>
    </row>
    <row r="487" spans="16:29">
      <c r="P487"/>
      <c r="Q487"/>
      <c r="R487"/>
      <c r="S487"/>
      <c r="W487" s="24"/>
      <c r="X487" s="24"/>
      <c r="Y487" s="24"/>
      <c r="Z487" s="24"/>
      <c r="AA487" s="24"/>
      <c r="AB487" s="24"/>
      <c r="AC487" s="24"/>
    </row>
    <row r="488" spans="16:29">
      <c r="P488"/>
      <c r="Q488"/>
      <c r="R488"/>
      <c r="S488"/>
      <c r="W488" s="24"/>
      <c r="X488" s="24"/>
      <c r="Y488" s="24"/>
      <c r="Z488" s="24"/>
      <c r="AA488" s="24"/>
      <c r="AB488" s="24"/>
      <c r="AC488" s="24"/>
    </row>
    <row r="489" spans="16:29">
      <c r="P489"/>
      <c r="Q489"/>
      <c r="R489"/>
      <c r="S489"/>
      <c r="W489" s="24"/>
      <c r="X489" s="24"/>
      <c r="Y489" s="24"/>
      <c r="Z489" s="24"/>
      <c r="AA489" s="24"/>
      <c r="AB489" s="24"/>
      <c r="AC489" s="24"/>
    </row>
    <row r="490" spans="16:29">
      <c r="P490"/>
      <c r="Q490"/>
      <c r="R490"/>
      <c r="S490"/>
      <c r="W490" s="24"/>
      <c r="X490" s="24"/>
      <c r="Y490" s="24"/>
      <c r="Z490" s="24"/>
      <c r="AA490" s="24"/>
      <c r="AB490" s="24"/>
      <c r="AC490" s="24"/>
    </row>
    <row r="491" spans="16:29">
      <c r="P491"/>
      <c r="Q491"/>
      <c r="R491"/>
      <c r="S491"/>
      <c r="W491" s="24"/>
      <c r="X491" s="24"/>
      <c r="Y491" s="24"/>
      <c r="Z491" s="24"/>
      <c r="AA491" s="24"/>
      <c r="AB491" s="24"/>
      <c r="AC491" s="24"/>
    </row>
    <row r="492" spans="16:29">
      <c r="P492"/>
      <c r="Q492"/>
      <c r="R492"/>
      <c r="S492"/>
      <c r="W492" s="24"/>
      <c r="X492" s="24"/>
      <c r="Y492" s="24"/>
      <c r="Z492" s="24"/>
      <c r="AA492" s="24"/>
      <c r="AB492" s="24"/>
      <c r="AC492" s="24"/>
    </row>
    <row r="493" spans="16:29">
      <c r="P493"/>
      <c r="Q493"/>
      <c r="R493"/>
      <c r="S493"/>
      <c r="W493" s="24"/>
      <c r="X493" s="24"/>
      <c r="Y493" s="24"/>
      <c r="Z493" s="24"/>
      <c r="AA493" s="24"/>
      <c r="AB493" s="24"/>
      <c r="AC493" s="24"/>
    </row>
    <row r="494" spans="16:29">
      <c r="P494"/>
      <c r="Q494"/>
      <c r="R494"/>
      <c r="S494"/>
      <c r="W494" s="24"/>
      <c r="X494" s="24"/>
      <c r="Y494" s="24"/>
      <c r="Z494" s="24"/>
      <c r="AA494" s="24"/>
      <c r="AB494" s="24"/>
      <c r="AC494" s="24"/>
    </row>
    <row r="495" spans="16:29">
      <c r="P495"/>
      <c r="Q495"/>
      <c r="R495"/>
      <c r="S495"/>
      <c r="W495" s="24"/>
      <c r="X495" s="24"/>
      <c r="Y495" s="24"/>
      <c r="Z495" s="24"/>
      <c r="AA495" s="24"/>
      <c r="AB495" s="24"/>
      <c r="AC495" s="24"/>
    </row>
    <row r="496" spans="16:29">
      <c r="P496"/>
      <c r="Q496"/>
      <c r="R496"/>
      <c r="S496"/>
      <c r="W496" s="24"/>
      <c r="X496" s="24"/>
      <c r="Y496" s="24"/>
      <c r="Z496" s="24"/>
      <c r="AA496" s="24"/>
      <c r="AB496" s="24"/>
      <c r="AC496" s="24"/>
    </row>
    <row r="497" spans="16:29">
      <c r="P497"/>
      <c r="Q497"/>
      <c r="R497"/>
      <c r="S497"/>
      <c r="W497" s="24"/>
      <c r="X497" s="24"/>
      <c r="Y497" s="24"/>
      <c r="Z497" s="24"/>
      <c r="AA497" s="24"/>
      <c r="AB497" s="24"/>
      <c r="AC497" s="24"/>
    </row>
    <row r="498" spans="16:29">
      <c r="P498"/>
      <c r="Q498"/>
      <c r="R498"/>
      <c r="S498"/>
      <c r="W498" s="24"/>
      <c r="X498" s="24"/>
      <c r="Y498" s="24"/>
      <c r="Z498" s="24"/>
      <c r="AA498" s="24"/>
      <c r="AB498" s="24"/>
      <c r="AC498" s="24"/>
    </row>
    <row r="499" spans="16:29">
      <c r="P499"/>
      <c r="Q499"/>
      <c r="R499"/>
      <c r="S499"/>
      <c r="W499" s="24"/>
      <c r="X499" s="24"/>
      <c r="Y499" s="24"/>
      <c r="Z499" s="24"/>
      <c r="AA499" s="24"/>
      <c r="AB499" s="24"/>
      <c r="AC499" s="24"/>
    </row>
    <row r="500" spans="16:29">
      <c r="P500"/>
      <c r="Q500"/>
      <c r="R500"/>
      <c r="S500"/>
      <c r="W500" s="24"/>
      <c r="X500" s="24"/>
      <c r="Y500" s="24"/>
      <c r="Z500" s="24"/>
      <c r="AA500" s="24"/>
      <c r="AB500" s="24"/>
      <c r="AC500" s="24"/>
    </row>
    <row r="501" spans="16:29">
      <c r="P501"/>
      <c r="Q501"/>
      <c r="R501"/>
      <c r="S501"/>
      <c r="W501" s="24"/>
      <c r="X501" s="24"/>
      <c r="Y501" s="24"/>
      <c r="Z501" s="24"/>
      <c r="AA501" s="24"/>
      <c r="AB501" s="24"/>
      <c r="AC501" s="24"/>
    </row>
    <row r="502" spans="16:29">
      <c r="P502"/>
      <c r="Q502"/>
      <c r="R502"/>
      <c r="S502"/>
      <c r="W502" s="24"/>
      <c r="X502" s="24"/>
      <c r="Y502" s="24"/>
      <c r="Z502" s="24"/>
      <c r="AA502" s="24"/>
      <c r="AB502" s="24"/>
      <c r="AC502" s="24"/>
    </row>
    <row r="503" spans="16:29">
      <c r="P503"/>
      <c r="Q503"/>
      <c r="R503"/>
      <c r="S503"/>
      <c r="W503" s="24"/>
      <c r="X503" s="24"/>
      <c r="Y503" s="24"/>
      <c r="Z503" s="24"/>
      <c r="AA503" s="24"/>
      <c r="AB503" s="24"/>
      <c r="AC503" s="24"/>
    </row>
    <row r="504" spans="16:29">
      <c r="P504"/>
      <c r="Q504"/>
      <c r="R504"/>
      <c r="S504"/>
      <c r="W504" s="24"/>
      <c r="X504" s="24"/>
      <c r="Y504" s="24"/>
      <c r="Z504" s="24"/>
      <c r="AA504" s="24"/>
      <c r="AB504" s="24"/>
      <c r="AC504" s="24"/>
    </row>
    <row r="505" spans="16:29">
      <c r="P505"/>
      <c r="Q505"/>
      <c r="R505"/>
      <c r="S505"/>
      <c r="W505" s="24"/>
      <c r="X505" s="24"/>
      <c r="Y505" s="24"/>
      <c r="Z505" s="24"/>
      <c r="AA505" s="24"/>
      <c r="AB505" s="24"/>
      <c r="AC505" s="24"/>
    </row>
    <row r="506" spans="16:29">
      <c r="P506"/>
      <c r="Q506"/>
      <c r="R506"/>
      <c r="S506"/>
      <c r="W506" s="24"/>
      <c r="X506" s="24"/>
      <c r="Y506" s="24"/>
      <c r="Z506" s="24"/>
      <c r="AA506" s="24"/>
      <c r="AB506" s="24"/>
      <c r="AC506" s="24"/>
    </row>
    <row r="507" spans="16:29">
      <c r="P507"/>
      <c r="Q507"/>
      <c r="R507"/>
      <c r="S507"/>
      <c r="W507" s="24"/>
      <c r="X507" s="24"/>
      <c r="Y507" s="24"/>
      <c r="Z507" s="24"/>
      <c r="AA507" s="24"/>
      <c r="AB507" s="24"/>
      <c r="AC507" s="24"/>
    </row>
    <row r="508" spans="16:29">
      <c r="P508"/>
      <c r="Q508"/>
      <c r="R508"/>
      <c r="S508"/>
      <c r="W508" s="24"/>
      <c r="X508" s="24"/>
      <c r="Y508" s="24"/>
      <c r="Z508" s="24"/>
      <c r="AA508" s="24"/>
      <c r="AB508" s="24"/>
      <c r="AC508" s="24"/>
    </row>
    <row r="509" spans="16:29">
      <c r="P509"/>
      <c r="Q509"/>
      <c r="R509"/>
      <c r="S509"/>
      <c r="W509" s="24"/>
      <c r="X509" s="24"/>
      <c r="Y509" s="24"/>
      <c r="Z509" s="24"/>
      <c r="AA509" s="24"/>
      <c r="AB509" s="24"/>
      <c r="AC509" s="24"/>
    </row>
    <row r="510" spans="16:29">
      <c r="P510"/>
      <c r="Q510"/>
      <c r="R510"/>
      <c r="S510"/>
      <c r="W510" s="24"/>
      <c r="X510" s="24"/>
      <c r="Y510" s="24"/>
      <c r="Z510" s="24"/>
      <c r="AA510" s="24"/>
      <c r="AB510" s="24"/>
      <c r="AC510" s="24"/>
    </row>
    <row r="511" spans="16:29">
      <c r="P511"/>
      <c r="Q511"/>
      <c r="R511"/>
      <c r="S511"/>
      <c r="W511" s="24"/>
      <c r="X511" s="24"/>
      <c r="Y511" s="24"/>
      <c r="Z511" s="24"/>
      <c r="AA511" s="24"/>
      <c r="AB511" s="24"/>
      <c r="AC511" s="24"/>
    </row>
    <row r="512" spans="16:29">
      <c r="P512"/>
      <c r="Q512"/>
      <c r="R512"/>
      <c r="S512"/>
      <c r="W512" s="24"/>
      <c r="X512" s="24"/>
      <c r="Y512" s="24"/>
      <c r="Z512" s="24"/>
      <c r="AA512" s="24"/>
      <c r="AB512" s="24"/>
      <c r="AC512" s="24"/>
    </row>
    <row r="513" spans="16:29">
      <c r="P513"/>
      <c r="Q513"/>
      <c r="R513"/>
      <c r="S513"/>
      <c r="W513" s="24"/>
      <c r="X513" s="24"/>
      <c r="Y513" s="24"/>
      <c r="Z513" s="24"/>
      <c r="AA513" s="24"/>
      <c r="AB513" s="24"/>
      <c r="AC513" s="24"/>
    </row>
    <row r="514" spans="16:29">
      <c r="P514"/>
      <c r="Q514"/>
      <c r="R514"/>
      <c r="S514"/>
      <c r="W514" s="24"/>
      <c r="X514" s="24"/>
      <c r="Y514" s="24"/>
      <c r="Z514" s="24"/>
      <c r="AA514" s="24"/>
      <c r="AB514" s="24"/>
      <c r="AC514" s="24"/>
    </row>
    <row r="515" spans="16:29">
      <c r="P515"/>
      <c r="Q515"/>
      <c r="R515"/>
      <c r="S515"/>
      <c r="W515" s="24"/>
      <c r="X515" s="24"/>
      <c r="Y515" s="24"/>
      <c r="Z515" s="24"/>
      <c r="AA515" s="24"/>
      <c r="AB515" s="24"/>
      <c r="AC515" s="24"/>
    </row>
    <row r="516" spans="16:29">
      <c r="P516"/>
      <c r="Q516"/>
      <c r="R516"/>
      <c r="S516"/>
      <c r="W516" s="24"/>
      <c r="X516" s="24"/>
      <c r="Y516" s="24"/>
      <c r="Z516" s="24"/>
      <c r="AA516" s="24"/>
      <c r="AB516" s="24"/>
      <c r="AC516" s="24"/>
    </row>
    <row r="517" spans="16:29">
      <c r="P517"/>
      <c r="Q517"/>
      <c r="R517"/>
      <c r="S517"/>
      <c r="W517" s="24"/>
      <c r="X517" s="24"/>
      <c r="Y517" s="24"/>
      <c r="Z517" s="24"/>
      <c r="AA517" s="24"/>
      <c r="AB517" s="24"/>
      <c r="AC517" s="24"/>
    </row>
    <row r="518" spans="16:29">
      <c r="P518"/>
      <c r="Q518"/>
      <c r="R518"/>
      <c r="S518"/>
      <c r="W518" s="24"/>
      <c r="X518" s="24"/>
      <c r="Y518" s="24"/>
      <c r="Z518" s="24"/>
      <c r="AA518" s="24"/>
      <c r="AB518" s="24"/>
      <c r="AC518" s="24"/>
    </row>
    <row r="519" spans="16:29">
      <c r="P519"/>
      <c r="Q519"/>
      <c r="R519"/>
      <c r="S519"/>
      <c r="W519" s="24"/>
      <c r="X519" s="24"/>
      <c r="Y519" s="24"/>
      <c r="Z519" s="24"/>
      <c r="AA519" s="24"/>
      <c r="AB519" s="24"/>
      <c r="AC519" s="24"/>
    </row>
    <row r="520" spans="16:29">
      <c r="P520"/>
      <c r="Q520"/>
      <c r="R520"/>
      <c r="S520"/>
      <c r="W520" s="24"/>
      <c r="X520" s="24"/>
      <c r="Y520" s="24"/>
      <c r="Z520" s="24"/>
      <c r="AA520" s="24"/>
      <c r="AB520" s="24"/>
      <c r="AC520" s="24"/>
    </row>
    <row r="521" spans="16:29">
      <c r="P521"/>
      <c r="Q521"/>
      <c r="R521"/>
      <c r="S521"/>
      <c r="W521" s="24"/>
      <c r="X521" s="24"/>
      <c r="Y521" s="24"/>
      <c r="Z521" s="24"/>
      <c r="AA521" s="24"/>
      <c r="AB521" s="24"/>
      <c r="AC521" s="24"/>
    </row>
    <row r="522" spans="16:29">
      <c r="P522"/>
      <c r="Q522"/>
      <c r="R522"/>
      <c r="S522"/>
      <c r="W522" s="24"/>
      <c r="X522" s="24"/>
      <c r="Y522" s="24"/>
      <c r="Z522" s="24"/>
      <c r="AA522" s="24"/>
      <c r="AB522" s="24"/>
      <c r="AC522" s="24"/>
    </row>
    <row r="523" spans="16:29">
      <c r="P523"/>
      <c r="Q523"/>
      <c r="R523"/>
      <c r="S523"/>
      <c r="W523" s="24"/>
      <c r="X523" s="24"/>
      <c r="Y523" s="24"/>
      <c r="Z523" s="24"/>
      <c r="AA523" s="24"/>
      <c r="AB523" s="24"/>
      <c r="AC523" s="24"/>
    </row>
    <row r="524" spans="16:29">
      <c r="P524"/>
      <c r="Q524"/>
      <c r="R524"/>
      <c r="S524"/>
      <c r="W524" s="24"/>
      <c r="X524" s="24"/>
      <c r="Y524" s="24"/>
      <c r="Z524" s="24"/>
      <c r="AA524" s="24"/>
      <c r="AB524" s="24"/>
      <c r="AC524" s="24"/>
    </row>
    <row r="525" spans="16:29">
      <c r="P525"/>
      <c r="Q525"/>
      <c r="R525"/>
      <c r="S525"/>
      <c r="W525" s="24"/>
      <c r="X525" s="24"/>
      <c r="Y525" s="24"/>
      <c r="Z525" s="24"/>
      <c r="AA525" s="24"/>
      <c r="AB525" s="24"/>
      <c r="AC525" s="24"/>
    </row>
    <row r="526" spans="16:29">
      <c r="P526"/>
      <c r="Q526"/>
      <c r="R526"/>
      <c r="S526"/>
      <c r="W526" s="24"/>
      <c r="X526" s="24"/>
      <c r="Y526" s="24"/>
      <c r="Z526" s="24"/>
      <c r="AA526" s="24"/>
      <c r="AB526" s="24"/>
      <c r="AC526" s="24"/>
    </row>
    <row r="527" spans="16:29">
      <c r="P527"/>
      <c r="Q527"/>
      <c r="R527"/>
      <c r="S527"/>
      <c r="W527" s="24"/>
      <c r="X527" s="24"/>
      <c r="Y527" s="24"/>
      <c r="Z527" s="24"/>
      <c r="AA527" s="24"/>
      <c r="AB527" s="24"/>
      <c r="AC527" s="24"/>
    </row>
    <row r="528" spans="16:29">
      <c r="P528"/>
      <c r="Q528"/>
      <c r="R528"/>
      <c r="S528"/>
      <c r="W528" s="24"/>
      <c r="X528" s="24"/>
      <c r="Y528" s="24"/>
      <c r="Z528" s="24"/>
      <c r="AA528" s="24"/>
      <c r="AB528" s="24"/>
      <c r="AC528" s="24"/>
    </row>
    <row r="529" spans="16:29">
      <c r="P529"/>
      <c r="Q529"/>
      <c r="R529"/>
      <c r="S529"/>
      <c r="W529" s="24"/>
      <c r="X529" s="24"/>
      <c r="Y529" s="24"/>
      <c r="Z529" s="24"/>
      <c r="AA529" s="24"/>
      <c r="AB529" s="24"/>
      <c r="AC529" s="24"/>
    </row>
    <row r="530" spans="16:29">
      <c r="P530"/>
      <c r="Q530"/>
      <c r="R530"/>
      <c r="S530"/>
      <c r="W530" s="24"/>
      <c r="X530" s="24"/>
      <c r="Y530" s="24"/>
      <c r="Z530" s="24"/>
      <c r="AA530" s="24"/>
      <c r="AB530" s="24"/>
      <c r="AC530" s="24"/>
    </row>
    <row r="531" spans="16:29">
      <c r="P531"/>
      <c r="Q531"/>
      <c r="R531"/>
      <c r="S531"/>
      <c r="W531" s="24"/>
      <c r="X531" s="24"/>
      <c r="Y531" s="24"/>
      <c r="Z531" s="24"/>
      <c r="AA531" s="24"/>
      <c r="AB531" s="24"/>
      <c r="AC531" s="24"/>
    </row>
    <row r="532" spans="16:29">
      <c r="P532"/>
      <c r="Q532"/>
      <c r="R532"/>
      <c r="S532"/>
      <c r="W532" s="24"/>
      <c r="X532" s="24"/>
      <c r="Y532" s="24"/>
      <c r="Z532" s="24"/>
      <c r="AA532" s="24"/>
      <c r="AB532" s="24"/>
      <c r="AC532" s="24"/>
    </row>
    <row r="533" spans="16:29">
      <c r="P533"/>
      <c r="Q533"/>
      <c r="R533"/>
      <c r="S533"/>
      <c r="W533" s="24"/>
      <c r="X533" s="24"/>
      <c r="Y533" s="24"/>
      <c r="Z533" s="24"/>
      <c r="AA533" s="24"/>
      <c r="AB533" s="24"/>
      <c r="AC533" s="24"/>
    </row>
    <row r="534" spans="16:29">
      <c r="P534"/>
      <c r="Q534"/>
      <c r="R534"/>
      <c r="S534"/>
      <c r="W534" s="24"/>
      <c r="X534" s="24"/>
      <c r="Y534" s="24"/>
      <c r="Z534" s="24"/>
      <c r="AA534" s="24"/>
      <c r="AB534" s="24"/>
      <c r="AC534" s="24"/>
    </row>
    <row r="535" spans="16:29">
      <c r="P535"/>
      <c r="Q535"/>
      <c r="R535"/>
      <c r="S535"/>
      <c r="W535" s="24"/>
      <c r="X535" s="24"/>
      <c r="Y535" s="24"/>
      <c r="Z535" s="24"/>
      <c r="AA535" s="24"/>
      <c r="AB535" s="24"/>
      <c r="AC535" s="24"/>
    </row>
    <row r="536" spans="16:29">
      <c r="P536"/>
      <c r="Q536"/>
      <c r="R536"/>
      <c r="S536"/>
      <c r="W536" s="24"/>
      <c r="X536" s="24"/>
      <c r="Y536" s="24"/>
      <c r="Z536" s="24"/>
      <c r="AA536" s="24"/>
      <c r="AB536" s="24"/>
      <c r="AC536" s="24"/>
    </row>
    <row r="537" spans="16:29">
      <c r="P537"/>
      <c r="Q537"/>
      <c r="R537"/>
      <c r="S537"/>
      <c r="W537" s="24"/>
      <c r="X537" s="24"/>
      <c r="Y537" s="24"/>
      <c r="Z537" s="24"/>
      <c r="AA537" s="24"/>
      <c r="AB537" s="24"/>
      <c r="AC537" s="24"/>
    </row>
    <row r="538" spans="16:29">
      <c r="P538"/>
      <c r="Q538"/>
      <c r="R538"/>
      <c r="S538"/>
      <c r="W538" s="24"/>
      <c r="X538" s="24"/>
      <c r="Y538" s="24"/>
      <c r="Z538" s="24"/>
      <c r="AA538" s="24"/>
      <c r="AB538" s="24"/>
      <c r="AC538" s="24"/>
    </row>
    <row r="539" spans="16:29">
      <c r="P539"/>
      <c r="Q539"/>
      <c r="R539"/>
      <c r="S539"/>
      <c r="W539" s="24"/>
      <c r="X539" s="24"/>
      <c r="Y539" s="24"/>
      <c r="Z539" s="24"/>
      <c r="AA539" s="24"/>
      <c r="AB539" s="24"/>
      <c r="AC539" s="24"/>
    </row>
    <row r="540" spans="16:29">
      <c r="P540"/>
      <c r="Q540"/>
      <c r="R540"/>
      <c r="S540"/>
      <c r="W540" s="24"/>
      <c r="X540" s="24"/>
      <c r="Y540" s="24"/>
      <c r="Z540" s="24"/>
      <c r="AA540" s="24"/>
      <c r="AB540" s="24"/>
      <c r="AC540" s="24"/>
    </row>
    <row r="541" spans="16:29">
      <c r="P541"/>
      <c r="Q541"/>
      <c r="R541"/>
      <c r="S541"/>
      <c r="W541" s="24"/>
      <c r="X541" s="24"/>
      <c r="Y541" s="24"/>
      <c r="Z541" s="24"/>
      <c r="AA541" s="24"/>
      <c r="AB541" s="24"/>
      <c r="AC541" s="24"/>
    </row>
    <row r="542" spans="16:29">
      <c r="P542"/>
      <c r="Q542"/>
      <c r="R542"/>
      <c r="S542"/>
      <c r="W542" s="24"/>
      <c r="X542" s="24"/>
      <c r="Y542" s="24"/>
      <c r="Z542" s="24"/>
      <c r="AA542" s="24"/>
      <c r="AB542" s="24"/>
      <c r="AC542" s="24"/>
    </row>
    <row r="543" spans="16:29">
      <c r="P543"/>
      <c r="Q543"/>
      <c r="R543"/>
      <c r="S543"/>
      <c r="W543" s="24"/>
      <c r="X543" s="24"/>
      <c r="Y543" s="24"/>
      <c r="Z543" s="24"/>
      <c r="AA543" s="24"/>
      <c r="AB543" s="24"/>
      <c r="AC543" s="24"/>
    </row>
    <row r="544" spans="16:29">
      <c r="P544"/>
      <c r="Q544"/>
      <c r="R544"/>
      <c r="S544"/>
      <c r="W544" s="24"/>
      <c r="X544" s="24"/>
      <c r="Y544" s="24"/>
      <c r="Z544" s="24"/>
      <c r="AA544" s="24"/>
      <c r="AB544" s="24"/>
      <c r="AC544" s="24"/>
    </row>
    <row r="545" spans="16:29">
      <c r="P545"/>
      <c r="Q545"/>
      <c r="R545"/>
      <c r="S545"/>
      <c r="W545" s="24"/>
      <c r="X545" s="24"/>
      <c r="Y545" s="24"/>
      <c r="Z545" s="24"/>
      <c r="AA545" s="24"/>
      <c r="AB545" s="24"/>
      <c r="AC545" s="24"/>
    </row>
    <row r="546" spans="16:29">
      <c r="P546"/>
      <c r="Q546"/>
      <c r="R546"/>
      <c r="S546"/>
      <c r="W546" s="24"/>
      <c r="X546" s="24"/>
      <c r="Y546" s="24"/>
      <c r="Z546" s="24"/>
      <c r="AA546" s="24"/>
      <c r="AB546" s="24"/>
      <c r="AC546" s="24"/>
    </row>
    <row r="547" spans="16:29">
      <c r="P547"/>
      <c r="Q547"/>
      <c r="R547"/>
      <c r="S547"/>
      <c r="W547" s="24"/>
      <c r="X547" s="24"/>
      <c r="Y547" s="24"/>
      <c r="Z547" s="24"/>
      <c r="AA547" s="24"/>
      <c r="AB547" s="24"/>
      <c r="AC547" s="24"/>
    </row>
    <row r="548" spans="16:29">
      <c r="P548"/>
      <c r="Q548"/>
      <c r="R548"/>
      <c r="S548"/>
      <c r="W548" s="24"/>
      <c r="X548" s="24"/>
      <c r="Y548" s="24"/>
      <c r="Z548" s="24"/>
      <c r="AA548" s="24"/>
      <c r="AB548" s="24"/>
      <c r="AC548" s="24"/>
    </row>
    <row r="549" spans="16:29">
      <c r="P549"/>
      <c r="Q549"/>
      <c r="R549"/>
      <c r="S549"/>
      <c r="W549" s="24"/>
      <c r="X549" s="24"/>
      <c r="Y549" s="24"/>
      <c r="Z549" s="24"/>
      <c r="AA549" s="24"/>
      <c r="AB549" s="24"/>
      <c r="AC549" s="24"/>
    </row>
    <row r="550" spans="16:29">
      <c r="P550"/>
      <c r="Q550"/>
      <c r="R550"/>
      <c r="S550"/>
      <c r="W550" s="24"/>
      <c r="X550" s="24"/>
      <c r="Y550" s="24"/>
      <c r="Z550" s="24"/>
      <c r="AA550" s="24"/>
      <c r="AB550" s="24"/>
      <c r="AC550" s="24"/>
    </row>
    <row r="551" spans="16:29">
      <c r="P551"/>
      <c r="Q551"/>
      <c r="R551"/>
      <c r="S551"/>
      <c r="W551" s="24"/>
      <c r="X551" s="24"/>
      <c r="Y551" s="24"/>
      <c r="Z551" s="24"/>
      <c r="AA551" s="24"/>
      <c r="AB551" s="24"/>
      <c r="AC551" s="24"/>
    </row>
    <row r="552" spans="16:29">
      <c r="P552"/>
      <c r="Q552"/>
      <c r="R552"/>
      <c r="S552"/>
      <c r="W552" s="24"/>
      <c r="X552" s="24"/>
      <c r="Y552" s="24"/>
      <c r="Z552" s="24"/>
      <c r="AA552" s="24"/>
      <c r="AB552" s="24"/>
      <c r="AC552" s="24"/>
    </row>
    <row r="553" spans="16:29">
      <c r="P553"/>
      <c r="Q553"/>
      <c r="R553"/>
      <c r="S553"/>
      <c r="W553" s="24"/>
      <c r="X553" s="24"/>
      <c r="Y553" s="24"/>
      <c r="Z553" s="24"/>
      <c r="AA553" s="24"/>
      <c r="AB553" s="24"/>
      <c r="AC553" s="24"/>
    </row>
    <row r="554" spans="16:29">
      <c r="P554"/>
      <c r="Q554"/>
      <c r="R554"/>
      <c r="S554"/>
      <c r="W554" s="24"/>
      <c r="X554" s="24"/>
      <c r="Y554" s="24"/>
      <c r="Z554" s="24"/>
      <c r="AA554" s="24"/>
      <c r="AB554" s="24"/>
      <c r="AC554" s="24"/>
    </row>
    <row r="555" spans="16:29">
      <c r="P555"/>
      <c r="Q555"/>
      <c r="R555"/>
      <c r="S555"/>
      <c r="W555" s="24"/>
      <c r="X555" s="24"/>
      <c r="Y555" s="24"/>
      <c r="Z555" s="24"/>
      <c r="AA555" s="24"/>
      <c r="AB555" s="24"/>
      <c r="AC555" s="24"/>
    </row>
    <row r="556" spans="16:29">
      <c r="P556"/>
      <c r="Q556"/>
      <c r="R556"/>
      <c r="S556"/>
      <c r="W556" s="24"/>
      <c r="X556" s="24"/>
      <c r="Y556" s="24"/>
      <c r="Z556" s="24"/>
      <c r="AA556" s="24"/>
      <c r="AB556" s="24"/>
      <c r="AC556" s="24"/>
    </row>
    <row r="557" spans="16:29">
      <c r="P557"/>
      <c r="Q557"/>
      <c r="R557"/>
      <c r="S557"/>
      <c r="W557" s="24"/>
      <c r="X557" s="24"/>
      <c r="Y557" s="24"/>
      <c r="Z557" s="24"/>
      <c r="AA557" s="24"/>
      <c r="AB557" s="24"/>
      <c r="AC557" s="24"/>
    </row>
    <row r="558" spans="16:29">
      <c r="P558"/>
      <c r="Q558"/>
      <c r="R558"/>
      <c r="S558"/>
      <c r="W558" s="24"/>
      <c r="X558" s="24"/>
      <c r="Y558" s="24"/>
      <c r="Z558" s="24"/>
      <c r="AA558" s="24"/>
      <c r="AB558" s="24"/>
      <c r="AC558" s="24"/>
    </row>
    <row r="559" spans="16:29">
      <c r="P559"/>
      <c r="Q559"/>
      <c r="R559"/>
      <c r="S559"/>
      <c r="W559" s="24"/>
      <c r="X559" s="24"/>
      <c r="Y559" s="24"/>
      <c r="Z559" s="24"/>
      <c r="AA559" s="24"/>
      <c r="AB559" s="24"/>
      <c r="AC559" s="24"/>
    </row>
    <row r="560" spans="16:29">
      <c r="P560"/>
      <c r="Q560"/>
      <c r="R560"/>
      <c r="S560"/>
      <c r="W560" s="24"/>
      <c r="X560" s="24"/>
      <c r="Y560" s="24"/>
      <c r="Z560" s="24"/>
      <c r="AA560" s="24"/>
      <c r="AB560" s="24"/>
      <c r="AC560" s="24"/>
    </row>
    <row r="561" spans="16:29">
      <c r="P561"/>
      <c r="Q561"/>
      <c r="R561"/>
      <c r="S561"/>
      <c r="W561" s="24"/>
      <c r="X561" s="24"/>
      <c r="Y561" s="24"/>
      <c r="Z561" s="24"/>
      <c r="AA561" s="24"/>
      <c r="AB561" s="24"/>
      <c r="AC561" s="24"/>
    </row>
  </sheetData>
  <sheetProtection algorithmName="SHA-512" hashValue="rvH+OA6PqfKqWzQsb1DA5loexhJh0ZlheRaSxuxMHfckrwXYdY7bQquyl7cm7fnj66LIYeoKW4dWtnULsLr+xA==" saltValue="6XfJASfYYBDhVko8PPUcxQ==" spinCount="100000" sheet="1" objects="1" scenarios="1" selectLockedCells="1"/>
  <customSheetViews>
    <customSheetView guid="{88029C9E-0AAA-4AEA-8FBA-3530118F01BF}" hiddenRows="1" topLeftCell="A124">
      <selection activeCell="H47" sqref="H47"/>
      <pageMargins left="0.7" right="0.7" top="0.78740157499999996" bottom="0.78740157499999996" header="0.3" footer="0.3"/>
      <pageSetup paperSize="9" orientation="portrait" r:id="rId1"/>
    </customSheetView>
  </customSheetViews>
  <mergeCells count="39">
    <mergeCell ref="G413:G414"/>
    <mergeCell ref="K347:N347"/>
    <mergeCell ref="S347:V347"/>
    <mergeCell ref="K348:N348"/>
    <mergeCell ref="P348:Q348"/>
    <mergeCell ref="S348:V348"/>
    <mergeCell ref="K365:N365"/>
    <mergeCell ref="S365:V365"/>
    <mergeCell ref="K366:N366"/>
    <mergeCell ref="S366:V366"/>
    <mergeCell ref="K367:N367"/>
    <mergeCell ref="P367:Q367"/>
    <mergeCell ref="S367:V367"/>
    <mergeCell ref="K317:O317"/>
    <mergeCell ref="Q317:U317"/>
    <mergeCell ref="K346:N346"/>
    <mergeCell ref="S346:V346"/>
    <mergeCell ref="V317:W317"/>
    <mergeCell ref="A170:A172"/>
    <mergeCell ref="B172:C172"/>
    <mergeCell ref="D172:E172"/>
    <mergeCell ref="W180:AA180"/>
    <mergeCell ref="W189:AA189"/>
    <mergeCell ref="P3:T3"/>
    <mergeCell ref="L33:L34"/>
    <mergeCell ref="P33:T33"/>
    <mergeCell ref="V38:Z38"/>
    <mergeCell ref="P109:T109"/>
    <mergeCell ref="H155:H156"/>
    <mergeCell ref="P155:T155"/>
    <mergeCell ref="B246:B258"/>
    <mergeCell ref="B302:C314"/>
    <mergeCell ref="AC189:AG189"/>
    <mergeCell ref="J274:L284"/>
    <mergeCell ref="J207:L217"/>
    <mergeCell ref="J218:L228"/>
    <mergeCell ref="B235:B245"/>
    <mergeCell ref="J263:L273"/>
    <mergeCell ref="B291:C301"/>
  </mergeCells>
  <dataValidations count="1">
    <dataValidation type="list" allowBlank="1" showInputMessage="1" showErrorMessage="1" sqref="B30 B409 B197 B189 B40 B142" xr:uid="{00000000-0002-0000-0200-000000000000}">
      <formula1>$V$5:$V$10</formula1>
    </dataValidation>
  </dataValidations>
  <pageMargins left="0.7" right="0.7" top="0.78740157499999996" bottom="0.78740157499999996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Equation.3" shapeId="4097" r:id="rId5">
          <objectPr defaultSize="0" autoPict="0" r:id="rId6">
            <anchor moveWithCells="1">
              <from>
                <xdr:col>7</xdr:col>
                <xdr:colOff>685800</xdr:colOff>
                <xdr:row>29</xdr:row>
                <xdr:rowOff>161925</xdr:rowOff>
              </from>
              <to>
                <xdr:col>11</xdr:col>
                <xdr:colOff>571500</xdr:colOff>
                <xdr:row>31</xdr:row>
                <xdr:rowOff>38100</xdr:rowOff>
              </to>
            </anchor>
          </objectPr>
        </oleObject>
      </mc:Choice>
      <mc:Fallback>
        <oleObject progId="Equation.3" shapeId="4097" r:id="rId5"/>
      </mc:Fallback>
    </mc:AlternateContent>
    <mc:AlternateContent xmlns:mc="http://schemas.openxmlformats.org/markup-compatibility/2006">
      <mc:Choice Requires="x14">
        <oleObject progId="Equation.3" shapeId="4098" r:id="rId7">
          <objectPr defaultSize="0" autoPict="0" r:id="rId8">
            <anchor moveWithCells="1">
              <from>
                <xdr:col>4</xdr:col>
                <xdr:colOff>676275</xdr:colOff>
                <xdr:row>39</xdr:row>
                <xdr:rowOff>142875</xdr:rowOff>
              </from>
              <to>
                <xdr:col>9</xdr:col>
                <xdr:colOff>361950</xdr:colOff>
                <xdr:row>41</xdr:row>
                <xdr:rowOff>0</xdr:rowOff>
              </to>
            </anchor>
          </objectPr>
        </oleObject>
      </mc:Choice>
      <mc:Fallback>
        <oleObject progId="Equation.3" shapeId="4098" r:id="rId7"/>
      </mc:Fallback>
    </mc:AlternateContent>
    <mc:AlternateContent xmlns:mc="http://schemas.openxmlformats.org/markup-compatibility/2006">
      <mc:Choice Requires="x14">
        <oleObject progId="Equation.3" shapeId="4099" r:id="rId9">
          <objectPr defaultSize="0" autoPict="0" r:id="rId10">
            <anchor moveWithCells="1">
              <from>
                <xdr:col>4</xdr:col>
                <xdr:colOff>542925</xdr:colOff>
                <xdr:row>47</xdr:row>
                <xdr:rowOff>123825</xdr:rowOff>
              </from>
              <to>
                <xdr:col>6</xdr:col>
                <xdr:colOff>400050</xdr:colOff>
                <xdr:row>48</xdr:row>
                <xdr:rowOff>190500</xdr:rowOff>
              </to>
            </anchor>
          </objectPr>
        </oleObject>
      </mc:Choice>
      <mc:Fallback>
        <oleObject progId="Equation.3" shapeId="4099" r:id="rId9"/>
      </mc:Fallback>
    </mc:AlternateContent>
    <mc:AlternateContent xmlns:mc="http://schemas.openxmlformats.org/markup-compatibility/2006">
      <mc:Choice Requires="x14">
        <oleObject progId="Equation.3" shapeId="4100" r:id="rId11">
          <objectPr defaultSize="0" autoPict="0" r:id="rId12">
            <anchor moveWithCells="1">
              <from>
                <xdr:col>4</xdr:col>
                <xdr:colOff>571500</xdr:colOff>
                <xdr:row>49</xdr:row>
                <xdr:rowOff>19050</xdr:rowOff>
              </from>
              <to>
                <xdr:col>6</xdr:col>
                <xdr:colOff>457200</xdr:colOff>
                <xdr:row>50</xdr:row>
                <xdr:rowOff>0</xdr:rowOff>
              </to>
            </anchor>
          </objectPr>
        </oleObject>
      </mc:Choice>
      <mc:Fallback>
        <oleObject progId="Equation.3" shapeId="4100" r:id="rId11"/>
      </mc:Fallback>
    </mc:AlternateContent>
    <mc:AlternateContent xmlns:mc="http://schemas.openxmlformats.org/markup-compatibility/2006">
      <mc:Choice Requires="x14">
        <oleObject progId="Equation.3" shapeId="4101" r:id="rId13">
          <objectPr defaultSize="0" autoPict="0" r:id="rId14">
            <anchor moveWithCells="1">
              <from>
                <xdr:col>7</xdr:col>
                <xdr:colOff>352425</xdr:colOff>
                <xdr:row>108</xdr:row>
                <xdr:rowOff>9525</xdr:rowOff>
              </from>
              <to>
                <xdr:col>12</xdr:col>
                <xdr:colOff>9525</xdr:colOff>
                <xdr:row>112</xdr:row>
                <xdr:rowOff>123825</xdr:rowOff>
              </to>
            </anchor>
          </objectPr>
        </oleObject>
      </mc:Choice>
      <mc:Fallback>
        <oleObject progId="Equation.3" shapeId="4101" r:id="rId13"/>
      </mc:Fallback>
    </mc:AlternateContent>
    <mc:AlternateContent xmlns:mc="http://schemas.openxmlformats.org/markup-compatibility/2006">
      <mc:Choice Requires="x14">
        <oleObject progId="Equation.3" shapeId="4102" r:id="rId15">
          <objectPr defaultSize="0" autoPict="0" r:id="rId10">
            <anchor moveWithCells="1">
              <from>
                <xdr:col>4</xdr:col>
                <xdr:colOff>542925</xdr:colOff>
                <xdr:row>199</xdr:row>
                <xdr:rowOff>123825</xdr:rowOff>
              </from>
              <to>
                <xdr:col>6</xdr:col>
                <xdr:colOff>400050</xdr:colOff>
                <xdr:row>200</xdr:row>
                <xdr:rowOff>190500</xdr:rowOff>
              </to>
            </anchor>
          </objectPr>
        </oleObject>
      </mc:Choice>
      <mc:Fallback>
        <oleObject progId="Equation.3" shapeId="4102" r:id="rId15"/>
      </mc:Fallback>
    </mc:AlternateContent>
    <mc:AlternateContent xmlns:mc="http://schemas.openxmlformats.org/markup-compatibility/2006">
      <mc:Choice Requires="x14">
        <oleObject progId="Equation.3" shapeId="4103" r:id="rId16">
          <objectPr defaultSize="0" autoPict="0" r:id="rId12">
            <anchor moveWithCells="1">
              <from>
                <xdr:col>4</xdr:col>
                <xdr:colOff>571500</xdr:colOff>
                <xdr:row>201</xdr:row>
                <xdr:rowOff>19050</xdr:rowOff>
              </from>
              <to>
                <xdr:col>6</xdr:col>
                <xdr:colOff>457200</xdr:colOff>
                <xdr:row>202</xdr:row>
                <xdr:rowOff>0</xdr:rowOff>
              </to>
            </anchor>
          </objectPr>
        </oleObject>
      </mc:Choice>
      <mc:Fallback>
        <oleObject progId="Equation.3" shapeId="4103" r:id="rId16"/>
      </mc:Fallback>
    </mc:AlternateContent>
    <mc:AlternateContent xmlns:mc="http://schemas.openxmlformats.org/markup-compatibility/2006">
      <mc:Choice Requires="x14">
        <oleObject progId="Equation.3" shapeId="4104" r:id="rId17">
          <objectPr defaultSize="0" autoPict="0" r:id="rId8">
            <anchor moveWithCells="1">
              <from>
                <xdr:col>4</xdr:col>
                <xdr:colOff>676275</xdr:colOff>
                <xdr:row>39</xdr:row>
                <xdr:rowOff>142875</xdr:rowOff>
              </from>
              <to>
                <xdr:col>9</xdr:col>
                <xdr:colOff>361950</xdr:colOff>
                <xdr:row>41</xdr:row>
                <xdr:rowOff>0</xdr:rowOff>
              </to>
            </anchor>
          </objectPr>
        </oleObject>
      </mc:Choice>
      <mc:Fallback>
        <oleObject progId="Equation.3" shapeId="4104" r:id="rId17"/>
      </mc:Fallback>
    </mc:AlternateContent>
    <mc:AlternateContent xmlns:mc="http://schemas.openxmlformats.org/markup-compatibility/2006">
      <mc:Choice Requires="x14">
        <oleObject progId="Equation.3" shapeId="4105" r:id="rId18">
          <objectPr defaultSize="0" autoPict="0" r:id="rId10">
            <anchor moveWithCells="1">
              <from>
                <xdr:col>4</xdr:col>
                <xdr:colOff>542925</xdr:colOff>
                <xdr:row>47</xdr:row>
                <xdr:rowOff>123825</xdr:rowOff>
              </from>
              <to>
                <xdr:col>6</xdr:col>
                <xdr:colOff>400050</xdr:colOff>
                <xdr:row>48</xdr:row>
                <xdr:rowOff>190500</xdr:rowOff>
              </to>
            </anchor>
          </objectPr>
        </oleObject>
      </mc:Choice>
      <mc:Fallback>
        <oleObject progId="Equation.3" shapeId="4105" r:id="rId18"/>
      </mc:Fallback>
    </mc:AlternateContent>
    <mc:AlternateContent xmlns:mc="http://schemas.openxmlformats.org/markup-compatibility/2006">
      <mc:Choice Requires="x14">
        <oleObject progId="Equation.3" shapeId="4106" r:id="rId19">
          <objectPr defaultSize="0" autoPict="0" r:id="rId12">
            <anchor moveWithCells="1">
              <from>
                <xdr:col>4</xdr:col>
                <xdr:colOff>571500</xdr:colOff>
                <xdr:row>49</xdr:row>
                <xdr:rowOff>19050</xdr:rowOff>
              </from>
              <to>
                <xdr:col>6</xdr:col>
                <xdr:colOff>457200</xdr:colOff>
                <xdr:row>50</xdr:row>
                <xdr:rowOff>0</xdr:rowOff>
              </to>
            </anchor>
          </objectPr>
        </oleObject>
      </mc:Choice>
      <mc:Fallback>
        <oleObject progId="Equation.3" shapeId="4106" r:id="rId19"/>
      </mc:Fallback>
    </mc:AlternateContent>
    <mc:AlternateContent xmlns:mc="http://schemas.openxmlformats.org/markup-compatibility/2006">
      <mc:Choice Requires="x14">
        <oleObject progId="Equation.3" shapeId="4107" r:id="rId20">
          <objectPr defaultSize="0" autoPict="0" r:id="rId10">
            <anchor moveWithCells="1">
              <from>
                <xdr:col>4</xdr:col>
                <xdr:colOff>542925</xdr:colOff>
                <xdr:row>199</xdr:row>
                <xdr:rowOff>123825</xdr:rowOff>
              </from>
              <to>
                <xdr:col>6</xdr:col>
                <xdr:colOff>400050</xdr:colOff>
                <xdr:row>200</xdr:row>
                <xdr:rowOff>190500</xdr:rowOff>
              </to>
            </anchor>
          </objectPr>
        </oleObject>
      </mc:Choice>
      <mc:Fallback>
        <oleObject progId="Equation.3" shapeId="4107" r:id="rId20"/>
      </mc:Fallback>
    </mc:AlternateContent>
    <mc:AlternateContent xmlns:mc="http://schemas.openxmlformats.org/markup-compatibility/2006">
      <mc:Choice Requires="x14">
        <oleObject progId="Equation.3" shapeId="4108" r:id="rId21">
          <objectPr defaultSize="0" autoPict="0" r:id="rId12">
            <anchor moveWithCells="1">
              <from>
                <xdr:col>4</xdr:col>
                <xdr:colOff>571500</xdr:colOff>
                <xdr:row>201</xdr:row>
                <xdr:rowOff>19050</xdr:rowOff>
              </from>
              <to>
                <xdr:col>6</xdr:col>
                <xdr:colOff>457200</xdr:colOff>
                <xdr:row>202</xdr:row>
                <xdr:rowOff>0</xdr:rowOff>
              </to>
            </anchor>
          </objectPr>
        </oleObject>
      </mc:Choice>
      <mc:Fallback>
        <oleObject progId="Equation.3" shapeId="4108" r:id="rId21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227"/>
  <sheetViews>
    <sheetView topLeftCell="K31" workbookViewId="0">
      <selection activeCell="O42" sqref="O42"/>
    </sheetView>
  </sheetViews>
  <sheetFormatPr baseColWidth="10" defaultRowHeight="15"/>
  <cols>
    <col min="1" max="1" width="27.42578125" hidden="1" customWidth="1"/>
    <col min="2" max="2" width="0" hidden="1" customWidth="1"/>
    <col min="3" max="3" width="13.7109375" hidden="1" customWidth="1"/>
    <col min="4" max="10" width="0" hidden="1" customWidth="1"/>
    <col min="11" max="11" width="27.42578125" customWidth="1"/>
    <col min="12" max="12" width="24.85546875" customWidth="1"/>
    <col min="14" max="14" width="13.7109375" customWidth="1"/>
  </cols>
  <sheetData>
    <row r="1" spans="1:19" ht="21" customHeight="1">
      <c r="A1" s="765" t="s">
        <v>423</v>
      </c>
      <c r="B1" s="765"/>
      <c r="C1" s="765"/>
      <c r="D1" s="765"/>
      <c r="E1" s="765"/>
      <c r="F1" s="765"/>
      <c r="G1" s="765"/>
      <c r="H1" s="765"/>
      <c r="K1" s="765" t="s">
        <v>444</v>
      </c>
      <c r="L1" s="765"/>
      <c r="M1" s="765"/>
      <c r="N1" s="765"/>
      <c r="O1" s="765"/>
      <c r="P1" s="765"/>
      <c r="Q1" s="765"/>
      <c r="R1" s="765"/>
      <c r="S1" s="765"/>
    </row>
    <row r="2" spans="1:19" ht="21.6" customHeight="1">
      <c r="A2" s="765"/>
      <c r="B2" s="765"/>
      <c r="C2" s="765"/>
      <c r="D2" s="765"/>
      <c r="E2" s="765"/>
      <c r="F2" s="765"/>
      <c r="G2" s="765"/>
      <c r="H2" s="765"/>
      <c r="K2" s="765"/>
      <c r="L2" s="765"/>
      <c r="M2" s="765"/>
      <c r="N2" s="765"/>
      <c r="O2" s="765"/>
      <c r="P2" s="765"/>
      <c r="Q2" s="765"/>
      <c r="R2" s="765"/>
      <c r="S2" s="765"/>
    </row>
    <row r="3" spans="1:19" ht="21.6" customHeight="1">
      <c r="A3" s="529"/>
      <c r="B3" s="529"/>
      <c r="C3" s="529"/>
      <c r="D3" s="529"/>
      <c r="E3" s="529"/>
      <c r="F3" s="529"/>
      <c r="G3" s="529"/>
      <c r="H3" s="529"/>
      <c r="K3" s="529"/>
      <c r="L3" s="529"/>
      <c r="M3" s="529"/>
      <c r="N3" s="529"/>
      <c r="O3" s="529"/>
      <c r="P3" s="529"/>
      <c r="Q3" s="529"/>
      <c r="R3" s="529"/>
      <c r="S3" s="529"/>
    </row>
    <row r="4" spans="1:19" ht="18.75">
      <c r="A4" s="767" t="s">
        <v>472</v>
      </c>
      <c r="B4" s="767"/>
      <c r="C4" s="767"/>
      <c r="D4" s="767"/>
      <c r="E4" s="767"/>
      <c r="F4" s="767"/>
      <c r="G4" s="767"/>
      <c r="H4" s="767"/>
      <c r="K4" s="543" t="s">
        <v>473</v>
      </c>
      <c r="L4" s="543"/>
      <c r="M4" s="543"/>
      <c r="N4" s="543"/>
      <c r="O4" s="543"/>
      <c r="P4" s="543"/>
      <c r="Q4" s="543"/>
      <c r="R4" s="543"/>
      <c r="S4" s="543"/>
    </row>
    <row r="5" spans="1:19" ht="18.75">
      <c r="A5" s="511" t="s">
        <v>507</v>
      </c>
      <c r="K5" s="511" t="s">
        <v>445</v>
      </c>
      <c r="L5" s="511"/>
    </row>
    <row r="8" spans="1:19" ht="21.6" customHeight="1">
      <c r="A8" s="519"/>
      <c r="B8" s="519"/>
      <c r="C8" s="519"/>
      <c r="D8" s="519"/>
      <c r="E8" s="519"/>
      <c r="F8" s="519"/>
      <c r="G8" s="519"/>
      <c r="H8" s="519"/>
      <c r="K8" s="519"/>
      <c r="L8" s="529"/>
      <c r="M8" s="519"/>
      <c r="N8" s="519"/>
      <c r="O8" s="519"/>
      <c r="P8" s="519"/>
      <c r="Q8" s="519"/>
      <c r="R8" s="519"/>
      <c r="S8" s="519"/>
    </row>
    <row r="9" spans="1:19" ht="21.6" customHeight="1">
      <c r="A9" s="519"/>
      <c r="B9" s="519"/>
      <c r="C9" s="519"/>
      <c r="D9" s="519"/>
      <c r="E9" s="519"/>
      <c r="F9" s="519"/>
      <c r="G9" s="519"/>
      <c r="H9" s="519"/>
      <c r="K9" s="519"/>
      <c r="L9" s="529"/>
      <c r="M9" s="519"/>
      <c r="N9" s="519"/>
      <c r="O9" s="519"/>
      <c r="P9" s="519"/>
      <c r="Q9" s="519"/>
      <c r="R9" s="519"/>
      <c r="S9" s="519"/>
    </row>
    <row r="10" spans="1:19" ht="21.6" customHeight="1">
      <c r="A10" s="519"/>
      <c r="B10" s="519"/>
      <c r="C10" s="519"/>
      <c r="D10" s="519"/>
      <c r="E10" s="519"/>
      <c r="F10" s="519"/>
      <c r="G10" s="519"/>
      <c r="H10" s="519"/>
      <c r="K10" s="519"/>
      <c r="L10" s="529"/>
      <c r="M10" s="519"/>
      <c r="N10" s="519"/>
      <c r="O10" s="519"/>
      <c r="P10" s="519"/>
      <c r="Q10" s="519"/>
      <c r="R10" s="519"/>
      <c r="S10" s="519"/>
    </row>
    <row r="11" spans="1:19" ht="21.6" customHeight="1">
      <c r="A11" s="519"/>
      <c r="B11" s="519"/>
      <c r="C11" s="519"/>
      <c r="D11" s="519"/>
      <c r="E11" s="519"/>
      <c r="F11" s="519"/>
      <c r="G11" s="519"/>
      <c r="H11" s="519"/>
      <c r="K11" s="519"/>
      <c r="L11" s="529"/>
      <c r="M11" s="519"/>
      <c r="N11" s="519"/>
      <c r="O11" s="519"/>
      <c r="P11" s="519"/>
      <c r="Q11" s="519"/>
      <c r="R11" s="519"/>
      <c r="S11" s="519"/>
    </row>
    <row r="12" spans="1:19" ht="21.6" customHeight="1">
      <c r="A12" s="519"/>
      <c r="B12" s="519"/>
      <c r="C12" s="519"/>
      <c r="D12" s="519"/>
      <c r="E12" s="519"/>
      <c r="F12" s="519"/>
      <c r="G12" s="519"/>
      <c r="H12" s="519"/>
      <c r="K12" s="519"/>
      <c r="L12" s="529"/>
      <c r="M12" s="519"/>
      <c r="N12" s="519"/>
      <c r="O12" s="519"/>
      <c r="P12" s="519"/>
      <c r="Q12" s="519"/>
      <c r="R12" s="519"/>
      <c r="S12" s="519"/>
    </row>
    <row r="13" spans="1:19" ht="21.6" customHeight="1">
      <c r="A13" s="519"/>
      <c r="B13" s="519"/>
      <c r="C13" s="519"/>
      <c r="D13" s="519"/>
      <c r="E13" s="519"/>
      <c r="F13" s="519"/>
      <c r="G13" s="519"/>
      <c r="H13" s="519"/>
      <c r="K13" s="519"/>
      <c r="L13" s="529"/>
      <c r="M13" s="519"/>
      <c r="N13" s="519"/>
      <c r="O13" s="519"/>
      <c r="P13" s="519"/>
      <c r="Q13" s="519"/>
      <c r="R13" s="519"/>
      <c r="S13" s="519"/>
    </row>
    <row r="14" spans="1:19" ht="18.75">
      <c r="A14" s="511"/>
      <c r="K14" s="511"/>
      <c r="L14" s="511"/>
    </row>
    <row r="15" spans="1:19" ht="21">
      <c r="A15" s="508" t="s">
        <v>410</v>
      </c>
      <c r="K15" s="508" t="s">
        <v>478</v>
      </c>
      <c r="L15" s="508"/>
    </row>
    <row r="16" spans="1:19" ht="15" customHeight="1">
      <c r="A16" s="4" t="s">
        <v>413</v>
      </c>
      <c r="B16" s="682" t="s">
        <v>414</v>
      </c>
      <c r="C16" s="684"/>
      <c r="D16" s="682" t="s">
        <v>421</v>
      </c>
      <c r="E16" s="683"/>
      <c r="F16" s="683"/>
      <c r="G16" s="683"/>
      <c r="H16" s="684"/>
      <c r="K16" s="4" t="s">
        <v>446</v>
      </c>
      <c r="L16" s="535" t="s">
        <v>613</v>
      </c>
      <c r="M16" s="766" t="s">
        <v>450</v>
      </c>
      <c r="N16" s="766"/>
      <c r="O16" s="682" t="s">
        <v>448</v>
      </c>
      <c r="P16" s="683"/>
      <c r="Q16" s="683"/>
      <c r="R16" s="683"/>
      <c r="S16" s="684"/>
    </row>
    <row r="17" spans="1:19" ht="15" customHeight="1">
      <c r="A17" s="8" t="s">
        <v>418</v>
      </c>
      <c r="B17" s="44" t="s">
        <v>411</v>
      </c>
      <c r="C17" s="44" t="s">
        <v>412</v>
      </c>
      <c r="D17" s="95">
        <v>0.6</v>
      </c>
      <c r="E17" s="95">
        <v>0.7</v>
      </c>
      <c r="F17" s="95">
        <v>0.8</v>
      </c>
      <c r="G17" s="95">
        <v>0.9</v>
      </c>
      <c r="H17" s="95">
        <v>1</v>
      </c>
      <c r="K17" s="8" t="s">
        <v>447</v>
      </c>
      <c r="L17" s="534" t="s">
        <v>612</v>
      </c>
      <c r="M17" s="44" t="s">
        <v>411</v>
      </c>
      <c r="N17" s="44" t="s">
        <v>412</v>
      </c>
      <c r="O17" s="95">
        <v>0.6</v>
      </c>
      <c r="P17" s="95">
        <v>0.7</v>
      </c>
      <c r="Q17" s="95">
        <v>0.8</v>
      </c>
      <c r="R17" s="95">
        <v>0.9</v>
      </c>
      <c r="S17" s="95">
        <v>1</v>
      </c>
    </row>
    <row r="18" spans="1:19" ht="45">
      <c r="A18" s="396" t="s">
        <v>508</v>
      </c>
      <c r="B18" s="500">
        <f>'RICON_RICON-S-EK_GIGANT_WALCO '!C165</f>
        <v>6</v>
      </c>
      <c r="C18" s="500">
        <f>'RICON_RICON-S-EK_GIGANT_WALCO '!F165</f>
        <v>5.0131385975895597</v>
      </c>
      <c r="D18" s="500">
        <f t="shared" ref="D18:H30" si="0">MIN($B18/1,$C18*D$17/1.3)</f>
        <v>2.3137562758105656</v>
      </c>
      <c r="E18" s="500">
        <f t="shared" si="0"/>
        <v>2.6993823217789936</v>
      </c>
      <c r="F18" s="500">
        <f t="shared" si="0"/>
        <v>3.0850083677474216</v>
      </c>
      <c r="G18" s="500">
        <f t="shared" si="0"/>
        <v>3.4706344137158487</v>
      </c>
      <c r="H18" s="500">
        <f t="shared" si="0"/>
        <v>3.8562604596842767</v>
      </c>
      <c r="K18" s="396" t="s">
        <v>509</v>
      </c>
      <c r="L18" s="525" t="s">
        <v>491</v>
      </c>
      <c r="M18" s="500">
        <f>'RICON_RICON-S-EK_GIGANT_WALCO '!C165</f>
        <v>6</v>
      </c>
      <c r="N18" s="500">
        <f>'RICON_RICON-S-EK_GIGANT_WALCO '!F165</f>
        <v>5.0131385975895597</v>
      </c>
      <c r="O18" s="500">
        <f t="shared" ref="O18:S30" si="1">MIN($B18/1,$C18*O$17/1.3)</f>
        <v>2.3137562758105656</v>
      </c>
      <c r="P18" s="500">
        <f t="shared" si="1"/>
        <v>2.6993823217789936</v>
      </c>
      <c r="Q18" s="500">
        <f t="shared" si="1"/>
        <v>3.0850083677474216</v>
      </c>
      <c r="R18" s="500">
        <f t="shared" si="1"/>
        <v>3.4706344137158487</v>
      </c>
      <c r="S18" s="500">
        <f t="shared" si="1"/>
        <v>3.8562604596842767</v>
      </c>
    </row>
    <row r="19" spans="1:19" ht="45">
      <c r="A19" s="396" t="s">
        <v>510</v>
      </c>
      <c r="B19" s="500">
        <f>'RICON_RICON-S-EK_GIGANT_WALCO '!C166</f>
        <v>11</v>
      </c>
      <c r="C19" s="500">
        <f>'RICON_RICON-S-EK_GIGANT_WALCO '!F166</f>
        <v>7.2988007866232749</v>
      </c>
      <c r="D19" s="500">
        <f t="shared" si="0"/>
        <v>3.3686772861338188</v>
      </c>
      <c r="E19" s="500">
        <f t="shared" si="0"/>
        <v>3.9301235004894552</v>
      </c>
      <c r="F19" s="500">
        <f t="shared" si="0"/>
        <v>4.4915697148450926</v>
      </c>
      <c r="G19" s="500">
        <f t="shared" si="0"/>
        <v>5.0530159292007291</v>
      </c>
      <c r="H19" s="500">
        <f t="shared" si="0"/>
        <v>5.6144621435563655</v>
      </c>
      <c r="K19" s="396" t="s">
        <v>511</v>
      </c>
      <c r="L19" s="525" t="s">
        <v>648</v>
      </c>
      <c r="M19" s="500">
        <f>'RICON_RICON-S-EK_GIGANT_WALCO '!C166</f>
        <v>11</v>
      </c>
      <c r="N19" s="500">
        <f>'RICON_RICON-S-EK_GIGANT_WALCO '!F166</f>
        <v>7.2988007866232749</v>
      </c>
      <c r="O19" s="500">
        <f t="shared" si="1"/>
        <v>3.3686772861338188</v>
      </c>
      <c r="P19" s="500">
        <f t="shared" si="1"/>
        <v>3.9301235004894552</v>
      </c>
      <c r="Q19" s="500">
        <f t="shared" si="1"/>
        <v>4.4915697148450926</v>
      </c>
      <c r="R19" s="500">
        <f t="shared" si="1"/>
        <v>5.0530159292007291</v>
      </c>
      <c r="S19" s="500">
        <f t="shared" si="1"/>
        <v>5.6144621435563655</v>
      </c>
    </row>
    <row r="20" spans="1:19" ht="45">
      <c r="A20" s="396" t="s">
        <v>512</v>
      </c>
      <c r="B20" s="500">
        <f>'RICON_RICON-S-EK_GIGANT_WALCO '!C167</f>
        <v>14</v>
      </c>
      <c r="C20" s="500">
        <f>'RICON_RICON-S-EK_GIGANT_WALCO '!F167</f>
        <v>10.026277195179119</v>
      </c>
      <c r="D20" s="500">
        <f t="shared" si="0"/>
        <v>4.6275125516211313</v>
      </c>
      <c r="E20" s="500">
        <f t="shared" si="0"/>
        <v>5.3987646435579872</v>
      </c>
      <c r="F20" s="500">
        <f t="shared" si="0"/>
        <v>6.1700167354948432</v>
      </c>
      <c r="G20" s="500">
        <f t="shared" si="0"/>
        <v>6.9412688274316974</v>
      </c>
      <c r="H20" s="500">
        <f t="shared" si="0"/>
        <v>7.7125209193685533</v>
      </c>
      <c r="K20" s="396" t="s">
        <v>513</v>
      </c>
      <c r="L20" s="525" t="s">
        <v>495</v>
      </c>
      <c r="M20" s="500">
        <f>'RICON_RICON-S-EK_GIGANT_WALCO '!C167</f>
        <v>14</v>
      </c>
      <c r="N20" s="500">
        <f>'RICON_RICON-S-EK_GIGANT_WALCO '!F167</f>
        <v>10.026277195179119</v>
      </c>
      <c r="O20" s="500">
        <f t="shared" si="1"/>
        <v>4.6275125516211313</v>
      </c>
      <c r="P20" s="500">
        <f t="shared" si="1"/>
        <v>5.3987646435579872</v>
      </c>
      <c r="Q20" s="500">
        <f t="shared" si="1"/>
        <v>6.1700167354948432</v>
      </c>
      <c r="R20" s="500">
        <f t="shared" si="1"/>
        <v>6.9412688274316974</v>
      </c>
      <c r="S20" s="500">
        <f t="shared" si="1"/>
        <v>7.7125209193685533</v>
      </c>
    </row>
    <row r="21" spans="1:19" ht="45">
      <c r="A21" s="396" t="s">
        <v>514</v>
      </c>
      <c r="B21" s="500">
        <f>'RICON_RICON-S-EK_GIGANT_WALCO '!C168</f>
        <v>18</v>
      </c>
      <c r="C21" s="500">
        <f>'RICON_RICON-S-EK_GIGANT_WALCO '!F168</f>
        <v>12.753753603734964</v>
      </c>
      <c r="D21" s="500">
        <f t="shared" si="0"/>
        <v>5.8863478171084447</v>
      </c>
      <c r="E21" s="500">
        <f t="shared" si="0"/>
        <v>6.8674057866265183</v>
      </c>
      <c r="F21" s="500">
        <f t="shared" si="0"/>
        <v>7.8484637561445938</v>
      </c>
      <c r="G21" s="500">
        <f t="shared" si="0"/>
        <v>8.8295217256626675</v>
      </c>
      <c r="H21" s="500">
        <f t="shared" si="0"/>
        <v>9.810579695180742</v>
      </c>
      <c r="K21" s="396" t="s">
        <v>515</v>
      </c>
      <c r="L21" s="525" t="s">
        <v>496</v>
      </c>
      <c r="M21" s="500">
        <f>'RICON_RICON-S-EK_GIGANT_WALCO '!C168</f>
        <v>18</v>
      </c>
      <c r="N21" s="500">
        <f>'RICON_RICON-S-EK_GIGANT_WALCO '!F168</f>
        <v>12.753753603734964</v>
      </c>
      <c r="O21" s="500">
        <f t="shared" si="1"/>
        <v>5.8863478171084447</v>
      </c>
      <c r="P21" s="500">
        <f t="shared" si="1"/>
        <v>6.8674057866265183</v>
      </c>
      <c r="Q21" s="500">
        <f t="shared" si="1"/>
        <v>7.8484637561445938</v>
      </c>
      <c r="R21" s="500">
        <f t="shared" si="1"/>
        <v>8.8295217256626675</v>
      </c>
      <c r="S21" s="500">
        <f t="shared" si="1"/>
        <v>9.810579695180742</v>
      </c>
    </row>
    <row r="22" spans="1:19" ht="45">
      <c r="A22" s="396" t="s">
        <v>516</v>
      </c>
      <c r="B22" s="500">
        <f>'RICON_RICON-S-EK_GIGANT_WALCO '!C169</f>
        <v>18</v>
      </c>
      <c r="C22" s="500">
        <f>'RICON_RICON-S-EK_GIGANT_WALCO '!F169</f>
        <v>15.481230012290808</v>
      </c>
      <c r="D22" s="500">
        <f t="shared" si="0"/>
        <v>7.1451830825957581</v>
      </c>
      <c r="E22" s="500">
        <f t="shared" si="0"/>
        <v>8.3360469296950495</v>
      </c>
      <c r="F22" s="500">
        <f t="shared" si="0"/>
        <v>9.5269107767943435</v>
      </c>
      <c r="G22" s="500">
        <f t="shared" si="0"/>
        <v>10.717774623893636</v>
      </c>
      <c r="H22" s="500">
        <f t="shared" si="0"/>
        <v>11.90863847099293</v>
      </c>
      <c r="K22" s="396" t="s">
        <v>517</v>
      </c>
      <c r="L22" s="525" t="s">
        <v>497</v>
      </c>
      <c r="M22" s="500">
        <f>'RICON_RICON-S-EK_GIGANT_WALCO '!C169</f>
        <v>18</v>
      </c>
      <c r="N22" s="500">
        <f>'RICON_RICON-S-EK_GIGANT_WALCO '!F169</f>
        <v>15.481230012290808</v>
      </c>
      <c r="O22" s="500">
        <f t="shared" si="1"/>
        <v>7.1451830825957581</v>
      </c>
      <c r="P22" s="500">
        <f t="shared" si="1"/>
        <v>8.3360469296950495</v>
      </c>
      <c r="Q22" s="500">
        <f t="shared" si="1"/>
        <v>9.5269107767943435</v>
      </c>
      <c r="R22" s="500">
        <f t="shared" si="1"/>
        <v>10.717774623893636</v>
      </c>
      <c r="S22" s="500">
        <f t="shared" si="1"/>
        <v>11.90863847099293</v>
      </c>
    </row>
    <row r="23" spans="1:19" ht="45">
      <c r="A23" s="396" t="s">
        <v>518</v>
      </c>
      <c r="B23" s="500">
        <f>'RICON_RICON-S-EK_GIGANT_WALCO '!C170</f>
        <v>18</v>
      </c>
      <c r="C23" s="500">
        <f>'RICON_RICON-S-EK_GIGANT_WALCO '!F170</f>
        <v>18.208706420846653</v>
      </c>
      <c r="D23" s="500">
        <f t="shared" si="0"/>
        <v>8.4040183480830706</v>
      </c>
      <c r="E23" s="500">
        <f t="shared" si="0"/>
        <v>9.8046880727635806</v>
      </c>
      <c r="F23" s="500">
        <f t="shared" si="0"/>
        <v>11.205357797444094</v>
      </c>
      <c r="G23" s="500">
        <f t="shared" si="0"/>
        <v>12.606027522124606</v>
      </c>
      <c r="H23" s="500">
        <f t="shared" si="0"/>
        <v>14.006697246805118</v>
      </c>
      <c r="K23" s="396" t="s">
        <v>519</v>
      </c>
      <c r="L23" s="525" t="s">
        <v>482</v>
      </c>
      <c r="M23" s="500">
        <f>'RICON_RICON-S-EK_GIGANT_WALCO '!C170</f>
        <v>18</v>
      </c>
      <c r="N23" s="500">
        <f>'RICON_RICON-S-EK_GIGANT_WALCO '!F170</f>
        <v>18.208706420846653</v>
      </c>
      <c r="O23" s="500">
        <f t="shared" si="1"/>
        <v>8.4040183480830706</v>
      </c>
      <c r="P23" s="500">
        <f t="shared" si="1"/>
        <v>9.8046880727635806</v>
      </c>
      <c r="Q23" s="500">
        <f t="shared" si="1"/>
        <v>11.205357797444094</v>
      </c>
      <c r="R23" s="500">
        <f t="shared" si="1"/>
        <v>12.606027522124606</v>
      </c>
      <c r="S23" s="500">
        <f t="shared" si="1"/>
        <v>14.006697246805118</v>
      </c>
    </row>
    <row r="24" spans="1:19" ht="45">
      <c r="A24" s="408" t="s">
        <v>520</v>
      </c>
      <c r="B24" s="500">
        <f>'RICON_RICON-S-EK_GIGANT_WALCO '!C173</f>
        <v>18</v>
      </c>
      <c r="C24" s="500">
        <f>'RICON_RICON-S-EK_GIGANT_WALCO '!F173</f>
        <v>19.321640441339383</v>
      </c>
      <c r="D24" s="500">
        <f t="shared" si="0"/>
        <v>8.9176802036950988</v>
      </c>
      <c r="E24" s="500">
        <f t="shared" si="0"/>
        <v>10.403960237644283</v>
      </c>
      <c r="F24" s="500">
        <f t="shared" si="0"/>
        <v>11.890240271593468</v>
      </c>
      <c r="G24" s="500">
        <f t="shared" si="0"/>
        <v>13.37652030554265</v>
      </c>
      <c r="H24" s="500">
        <f t="shared" si="0"/>
        <v>14.862800339491832</v>
      </c>
      <c r="K24" s="408" t="s">
        <v>521</v>
      </c>
      <c r="L24" s="525" t="s">
        <v>497</v>
      </c>
      <c r="M24" s="500">
        <f>'RICON_RICON-S-EK_GIGANT_WALCO '!C173</f>
        <v>18</v>
      </c>
      <c r="N24" s="500">
        <f>'RICON_RICON-S-EK_GIGANT_WALCO '!F173</f>
        <v>19.321640441339383</v>
      </c>
      <c r="O24" s="500">
        <f t="shared" si="1"/>
        <v>8.9176802036950988</v>
      </c>
      <c r="P24" s="500">
        <f t="shared" si="1"/>
        <v>10.403960237644283</v>
      </c>
      <c r="Q24" s="500">
        <f t="shared" si="1"/>
        <v>11.890240271593468</v>
      </c>
      <c r="R24" s="500">
        <f t="shared" si="1"/>
        <v>13.37652030554265</v>
      </c>
      <c r="S24" s="500">
        <f t="shared" si="1"/>
        <v>14.862800339491832</v>
      </c>
    </row>
    <row r="25" spans="1:19" ht="45">
      <c r="A25" s="408" t="s">
        <v>522</v>
      </c>
      <c r="B25" s="500">
        <f>'RICON_RICON-S-EK_GIGANT_WALCO '!C174</f>
        <v>18</v>
      </c>
      <c r="C25" s="500">
        <f>'RICON_RICON-S-EK_GIGANT_WALCO '!F174</f>
        <v>22.049116849895228</v>
      </c>
      <c r="D25" s="500">
        <f t="shared" si="0"/>
        <v>10.176515469182412</v>
      </c>
      <c r="E25" s="500">
        <f t="shared" si="0"/>
        <v>11.872601380712814</v>
      </c>
      <c r="F25" s="500">
        <f t="shared" si="0"/>
        <v>13.568687292243217</v>
      </c>
      <c r="G25" s="500">
        <f t="shared" si="0"/>
        <v>15.264773203773618</v>
      </c>
      <c r="H25" s="500">
        <f t="shared" si="0"/>
        <v>16.960859115304022</v>
      </c>
      <c r="K25" s="408" t="s">
        <v>523</v>
      </c>
      <c r="L25" s="525" t="s">
        <v>482</v>
      </c>
      <c r="M25" s="500">
        <f>'RICON_RICON-S-EK_GIGANT_WALCO '!C174</f>
        <v>18</v>
      </c>
      <c r="N25" s="500">
        <f>'RICON_RICON-S-EK_GIGANT_WALCO '!F174</f>
        <v>22.049116849895228</v>
      </c>
      <c r="O25" s="500">
        <f t="shared" si="1"/>
        <v>10.176515469182412</v>
      </c>
      <c r="P25" s="500">
        <f t="shared" si="1"/>
        <v>11.872601380712814</v>
      </c>
      <c r="Q25" s="500">
        <f t="shared" si="1"/>
        <v>13.568687292243217</v>
      </c>
      <c r="R25" s="500">
        <f t="shared" si="1"/>
        <v>15.264773203773618</v>
      </c>
      <c r="S25" s="500">
        <f t="shared" si="1"/>
        <v>16.960859115304022</v>
      </c>
    </row>
    <row r="26" spans="1:19" ht="45">
      <c r="A26" s="396" t="s">
        <v>524</v>
      </c>
      <c r="B26" s="500">
        <f>'RICON_RICON-S-EK_GIGANT_WALCO '!C175</f>
        <v>11</v>
      </c>
      <c r="C26" s="500">
        <f>'RICON_RICON-S-EK_GIGANT_WALCO '!F175</f>
        <v>12.311939384212835</v>
      </c>
      <c r="D26" s="500">
        <f t="shared" si="0"/>
        <v>5.6824335619443849</v>
      </c>
      <c r="E26" s="500">
        <f t="shared" si="0"/>
        <v>6.6295058222684489</v>
      </c>
      <c r="F26" s="500">
        <f t="shared" si="0"/>
        <v>7.5765780825925138</v>
      </c>
      <c r="G26" s="500">
        <f t="shared" si="0"/>
        <v>8.5236503429165786</v>
      </c>
      <c r="H26" s="500">
        <f t="shared" si="0"/>
        <v>9.4707226032406417</v>
      </c>
      <c r="K26" s="396" t="s">
        <v>525</v>
      </c>
      <c r="L26" s="525" t="s">
        <v>482</v>
      </c>
      <c r="M26" s="500">
        <f>'RICON_RICON-S-EK_GIGANT_WALCO '!C175</f>
        <v>11</v>
      </c>
      <c r="N26" s="500">
        <f>'RICON_RICON-S-EK_GIGANT_WALCO '!F175</f>
        <v>12.311939384212835</v>
      </c>
      <c r="O26" s="500">
        <f t="shared" si="1"/>
        <v>5.6824335619443849</v>
      </c>
      <c r="P26" s="500">
        <f t="shared" si="1"/>
        <v>6.6295058222684489</v>
      </c>
      <c r="Q26" s="500">
        <f t="shared" si="1"/>
        <v>7.5765780825925138</v>
      </c>
      <c r="R26" s="500">
        <f t="shared" si="1"/>
        <v>8.5236503429165786</v>
      </c>
      <c r="S26" s="500">
        <f t="shared" si="1"/>
        <v>9.4707226032406417</v>
      </c>
    </row>
    <row r="27" spans="1:19" ht="45">
      <c r="A27" s="396" t="s">
        <v>526</v>
      </c>
      <c r="B27" s="500">
        <f>'RICON_RICON-S-EK_GIGANT_WALCO '!C176</f>
        <v>14</v>
      </c>
      <c r="C27" s="500">
        <f>'RICON_RICON-S-EK_GIGANT_WALCO '!F176</f>
        <v>17.766892201324524</v>
      </c>
      <c r="D27" s="500">
        <f t="shared" si="0"/>
        <v>8.2001040929190108</v>
      </c>
      <c r="E27" s="500">
        <f t="shared" si="0"/>
        <v>9.5667881084055111</v>
      </c>
      <c r="F27" s="500">
        <f t="shared" si="0"/>
        <v>10.933472123892015</v>
      </c>
      <c r="G27" s="500">
        <f t="shared" si="0"/>
        <v>12.300156139378517</v>
      </c>
      <c r="H27" s="500">
        <f t="shared" si="0"/>
        <v>13.666840154865017</v>
      </c>
      <c r="K27" s="396" t="s">
        <v>527</v>
      </c>
      <c r="L27" s="525" t="s">
        <v>483</v>
      </c>
      <c r="M27" s="500">
        <f>'RICON_RICON-S-EK_GIGANT_WALCO '!C176</f>
        <v>14</v>
      </c>
      <c r="N27" s="500">
        <f>'RICON_RICON-S-EK_GIGANT_WALCO '!F176</f>
        <v>17.766892201324524</v>
      </c>
      <c r="O27" s="500">
        <f t="shared" si="1"/>
        <v>8.2001040929190108</v>
      </c>
      <c r="P27" s="500">
        <f t="shared" si="1"/>
        <v>9.5667881084055111</v>
      </c>
      <c r="Q27" s="500">
        <f t="shared" si="1"/>
        <v>10.933472123892015</v>
      </c>
      <c r="R27" s="500">
        <f t="shared" si="1"/>
        <v>12.300156139378517</v>
      </c>
      <c r="S27" s="500">
        <f t="shared" si="1"/>
        <v>13.666840154865017</v>
      </c>
    </row>
    <row r="28" spans="1:19" ht="45">
      <c r="A28" s="396" t="s">
        <v>528</v>
      </c>
      <c r="B28" s="500">
        <f>'RICON_RICON-S-EK_GIGANT_WALCO '!C177</f>
        <v>18</v>
      </c>
      <c r="C28" s="500">
        <f>'RICON_RICON-S-EK_GIGANT_WALCO '!F177</f>
        <v>23.221845018436213</v>
      </c>
      <c r="D28" s="500">
        <f t="shared" si="0"/>
        <v>10.717774623893636</v>
      </c>
      <c r="E28" s="500">
        <f t="shared" si="0"/>
        <v>12.504070394542575</v>
      </c>
      <c r="F28" s="500">
        <f t="shared" si="0"/>
        <v>14.290366165191516</v>
      </c>
      <c r="G28" s="500">
        <f t="shared" si="0"/>
        <v>16.076661935840455</v>
      </c>
      <c r="H28" s="500">
        <f t="shared" si="0"/>
        <v>17.862957706489393</v>
      </c>
      <c r="K28" s="396" t="s">
        <v>529</v>
      </c>
      <c r="L28" s="525" t="s">
        <v>484</v>
      </c>
      <c r="M28" s="500">
        <f>'RICON_RICON-S-EK_GIGANT_WALCO '!C177</f>
        <v>18</v>
      </c>
      <c r="N28" s="500">
        <f>'RICON_RICON-S-EK_GIGANT_WALCO '!F177</f>
        <v>23.221845018436213</v>
      </c>
      <c r="O28" s="500">
        <f t="shared" si="1"/>
        <v>10.717774623893636</v>
      </c>
      <c r="P28" s="500">
        <f t="shared" si="1"/>
        <v>12.504070394542575</v>
      </c>
      <c r="Q28" s="500">
        <f t="shared" si="1"/>
        <v>14.290366165191516</v>
      </c>
      <c r="R28" s="500">
        <f t="shared" si="1"/>
        <v>16.076661935840455</v>
      </c>
      <c r="S28" s="500">
        <f t="shared" si="1"/>
        <v>17.862957706489393</v>
      </c>
    </row>
    <row r="29" spans="1:19" ht="45">
      <c r="A29" s="396" t="s">
        <v>530</v>
      </c>
      <c r="B29" s="500">
        <f>'RICON_RICON-S-EK_GIGANT_WALCO '!C178</f>
        <v>18</v>
      </c>
      <c r="C29" s="500">
        <f>'RICON_RICON-S-EK_GIGANT_WALCO '!F178</f>
        <v>28.676797835547902</v>
      </c>
      <c r="D29" s="500">
        <f t="shared" si="0"/>
        <v>13.235445154868261</v>
      </c>
      <c r="E29" s="500">
        <f t="shared" si="0"/>
        <v>15.441352680679639</v>
      </c>
      <c r="F29" s="500">
        <f t="shared" si="0"/>
        <v>17.647260206491016</v>
      </c>
      <c r="G29" s="500">
        <f t="shared" si="0"/>
        <v>18</v>
      </c>
      <c r="H29" s="500">
        <f t="shared" si="0"/>
        <v>18</v>
      </c>
      <c r="K29" s="396" t="s">
        <v>531</v>
      </c>
      <c r="L29" s="525" t="s">
        <v>485</v>
      </c>
      <c r="M29" s="500">
        <f>'RICON_RICON-S-EK_GIGANT_WALCO '!C178</f>
        <v>18</v>
      </c>
      <c r="N29" s="500">
        <f>'RICON_RICON-S-EK_GIGANT_WALCO '!F178</f>
        <v>28.676797835547902</v>
      </c>
      <c r="O29" s="500">
        <f t="shared" si="1"/>
        <v>13.235445154868261</v>
      </c>
      <c r="P29" s="500">
        <f t="shared" si="1"/>
        <v>15.441352680679639</v>
      </c>
      <c r="Q29" s="500">
        <f t="shared" si="1"/>
        <v>17.647260206491016</v>
      </c>
      <c r="R29" s="500">
        <f t="shared" si="1"/>
        <v>18</v>
      </c>
      <c r="S29" s="500">
        <f t="shared" si="1"/>
        <v>18</v>
      </c>
    </row>
    <row r="30" spans="1:19" ht="45">
      <c r="A30" s="396" t="s">
        <v>532</v>
      </c>
      <c r="B30" s="500">
        <f>'RICON_RICON-S-EK_GIGANT_WALCO '!C179</f>
        <v>18</v>
      </c>
      <c r="C30" s="500">
        <f>'RICON_RICON-S-EK_GIGANT_WALCO '!F179</f>
        <v>34.131750652659591</v>
      </c>
      <c r="D30" s="500">
        <f t="shared" si="0"/>
        <v>15.753115685842886</v>
      </c>
      <c r="E30" s="500">
        <f t="shared" si="0"/>
        <v>18</v>
      </c>
      <c r="F30" s="500">
        <f t="shared" si="0"/>
        <v>18</v>
      </c>
      <c r="G30" s="500">
        <f t="shared" si="0"/>
        <v>18</v>
      </c>
      <c r="H30" s="500">
        <f t="shared" si="0"/>
        <v>18</v>
      </c>
      <c r="K30" s="396" t="s">
        <v>533</v>
      </c>
      <c r="L30" s="525" t="s">
        <v>486</v>
      </c>
      <c r="M30" s="500">
        <f>'RICON_RICON-S-EK_GIGANT_WALCO '!C179</f>
        <v>18</v>
      </c>
      <c r="N30" s="500">
        <f>'RICON_RICON-S-EK_GIGANT_WALCO '!F179</f>
        <v>34.131750652659591</v>
      </c>
      <c r="O30" s="500">
        <f t="shared" si="1"/>
        <v>15.753115685842886</v>
      </c>
      <c r="P30" s="500">
        <f t="shared" si="1"/>
        <v>18</v>
      </c>
      <c r="Q30" s="500">
        <f t="shared" si="1"/>
        <v>18</v>
      </c>
      <c r="R30" s="500">
        <f t="shared" si="1"/>
        <v>18</v>
      </c>
      <c r="S30" s="500">
        <f t="shared" si="1"/>
        <v>18</v>
      </c>
    </row>
    <row r="31" spans="1:19">
      <c r="A31" s="418"/>
      <c r="B31" s="510"/>
      <c r="C31" s="510"/>
      <c r="D31" s="510"/>
      <c r="E31" s="510"/>
      <c r="F31" s="510"/>
      <c r="G31" s="510"/>
      <c r="H31" s="510"/>
      <c r="K31" s="418"/>
      <c r="L31" s="418"/>
      <c r="M31" s="510"/>
      <c r="N31" s="510"/>
      <c r="O31" s="510"/>
      <c r="P31" s="510"/>
      <c r="Q31" s="510"/>
      <c r="R31" s="510"/>
      <c r="S31" s="510"/>
    </row>
    <row r="32" spans="1:19">
      <c r="A32" s="418"/>
      <c r="B32" s="510"/>
      <c r="C32" s="510"/>
      <c r="D32" s="510"/>
      <c r="E32" s="510"/>
      <c r="F32" s="510"/>
      <c r="G32" s="510"/>
      <c r="H32" s="510"/>
      <c r="K32" s="418"/>
      <c r="L32" s="418"/>
      <c r="M32" s="510"/>
      <c r="N32" s="510"/>
      <c r="O32" s="510"/>
      <c r="P32" s="510"/>
      <c r="Q32" s="510"/>
      <c r="R32" s="510"/>
      <c r="S32" s="510"/>
    </row>
    <row r="33" spans="1:19">
      <c r="A33" s="418"/>
      <c r="B33" s="510"/>
      <c r="C33" s="510"/>
      <c r="D33" s="510"/>
      <c r="E33" s="510"/>
      <c r="F33" s="510"/>
      <c r="G33" s="510"/>
      <c r="H33" s="510"/>
      <c r="K33" s="418"/>
      <c r="L33" s="418"/>
      <c r="M33" s="510"/>
      <c r="N33" s="510"/>
      <c r="O33" s="510"/>
      <c r="P33" s="510"/>
      <c r="Q33" s="510"/>
      <c r="R33" s="510"/>
      <c r="S33" s="510"/>
    </row>
    <row r="34" spans="1:19">
      <c r="A34" s="418"/>
      <c r="B34" s="510"/>
      <c r="C34" s="510"/>
      <c r="D34" s="510"/>
      <c r="E34" s="510"/>
      <c r="F34" s="510"/>
      <c r="G34" s="510"/>
      <c r="H34" s="510"/>
      <c r="K34" s="418"/>
      <c r="L34" s="418"/>
      <c r="M34" s="510"/>
      <c r="N34" s="510"/>
      <c r="O34" s="510"/>
      <c r="P34" s="510"/>
      <c r="Q34" s="510"/>
      <c r="R34" s="510"/>
      <c r="S34" s="510"/>
    </row>
    <row r="35" spans="1:19">
      <c r="A35" s="418"/>
      <c r="B35" s="510"/>
      <c r="C35" s="510"/>
      <c r="D35" s="510"/>
      <c r="E35" s="510"/>
      <c r="F35" s="510"/>
      <c r="G35" s="510"/>
      <c r="H35" s="510"/>
      <c r="K35" s="418"/>
      <c r="L35" s="418"/>
      <c r="M35" s="510"/>
      <c r="N35" s="510"/>
      <c r="O35" s="510"/>
      <c r="P35" s="510"/>
      <c r="Q35" s="510"/>
      <c r="R35" s="510"/>
      <c r="S35" s="510"/>
    </row>
    <row r="36" spans="1:19">
      <c r="A36" s="418"/>
      <c r="B36" s="510"/>
      <c r="C36" s="510"/>
      <c r="D36" s="510"/>
      <c r="E36" s="510"/>
      <c r="F36" s="510"/>
      <c r="G36" s="510"/>
      <c r="H36" s="510"/>
      <c r="K36" s="418"/>
      <c r="L36" s="418"/>
      <c r="M36" s="510"/>
      <c r="N36" s="510"/>
      <c r="O36" s="510"/>
      <c r="P36" s="510"/>
      <c r="Q36" s="510"/>
      <c r="R36" s="510"/>
      <c r="S36" s="510"/>
    </row>
    <row r="37" spans="1:19">
      <c r="A37" s="418"/>
      <c r="B37" s="510"/>
      <c r="C37" s="510"/>
      <c r="D37" s="510"/>
      <c r="E37" s="510"/>
      <c r="F37" s="510"/>
      <c r="G37" s="510"/>
      <c r="H37" s="510"/>
      <c r="K37" s="418"/>
      <c r="L37" s="418"/>
      <c r="M37" s="510"/>
      <c r="N37" s="510"/>
      <c r="O37" s="510"/>
      <c r="P37" s="510"/>
      <c r="Q37" s="510"/>
      <c r="R37" s="510"/>
      <c r="S37" s="510"/>
    </row>
    <row r="38" spans="1:19" ht="18.75">
      <c r="A38" s="767" t="s">
        <v>472</v>
      </c>
      <c r="B38" s="767"/>
      <c r="C38" s="767"/>
      <c r="D38" s="767"/>
      <c r="E38" s="767"/>
      <c r="F38" s="767"/>
      <c r="G38" s="767"/>
      <c r="H38" s="767"/>
      <c r="K38" s="767" t="s">
        <v>473</v>
      </c>
      <c r="L38" s="767"/>
      <c r="M38" s="767"/>
      <c r="N38" s="767"/>
      <c r="O38" s="767"/>
      <c r="P38" s="767"/>
      <c r="Q38" s="767"/>
      <c r="R38" s="767"/>
      <c r="S38" s="767"/>
    </row>
    <row r="39" spans="1:19" ht="18.75">
      <c r="A39" s="511" t="s">
        <v>507</v>
      </c>
      <c r="K39" s="511" t="s">
        <v>445</v>
      </c>
      <c r="L39" s="511"/>
    </row>
    <row r="40" spans="1:19" ht="42">
      <c r="A40" s="507" t="s">
        <v>416</v>
      </c>
      <c r="K40" s="507" t="s">
        <v>449</v>
      </c>
      <c r="L40" s="507"/>
    </row>
    <row r="41" spans="1:19">
      <c r="A41" s="4" t="s">
        <v>2</v>
      </c>
      <c r="B41" s="682" t="s">
        <v>414</v>
      </c>
      <c r="C41" s="684"/>
      <c r="D41" s="682" t="s">
        <v>421</v>
      </c>
      <c r="E41" s="683"/>
      <c r="F41" s="683"/>
      <c r="G41" s="683"/>
      <c r="H41" s="684"/>
      <c r="K41" s="4" t="s">
        <v>2</v>
      </c>
      <c r="L41" s="535" t="s">
        <v>613</v>
      </c>
      <c r="M41" s="766" t="s">
        <v>450</v>
      </c>
      <c r="N41" s="766"/>
      <c r="O41" s="682" t="s">
        <v>448</v>
      </c>
      <c r="P41" s="683"/>
      <c r="Q41" s="683"/>
      <c r="R41" s="683"/>
      <c r="S41" s="684"/>
    </row>
    <row r="42" spans="1:19">
      <c r="A42" s="8" t="s">
        <v>417</v>
      </c>
      <c r="B42" s="44" t="s">
        <v>411</v>
      </c>
      <c r="C42" s="44" t="s">
        <v>412</v>
      </c>
      <c r="D42" s="95">
        <v>0.6</v>
      </c>
      <c r="E42" s="95">
        <v>0.7</v>
      </c>
      <c r="F42" s="95">
        <v>0.8</v>
      </c>
      <c r="G42" s="95">
        <v>0.9</v>
      </c>
      <c r="H42" s="95">
        <v>1</v>
      </c>
      <c r="K42" s="8" t="s">
        <v>337</v>
      </c>
      <c r="L42" s="534" t="s">
        <v>612</v>
      </c>
      <c r="M42" s="44" t="s">
        <v>411</v>
      </c>
      <c r="N42" s="44" t="s">
        <v>412</v>
      </c>
      <c r="O42" s="95">
        <v>0.6</v>
      </c>
      <c r="P42" s="95">
        <v>0.7</v>
      </c>
      <c r="Q42" s="95">
        <v>0.8</v>
      </c>
      <c r="R42" s="95">
        <v>0.9</v>
      </c>
      <c r="S42" s="95">
        <v>1</v>
      </c>
    </row>
    <row r="43" spans="1:19" ht="45">
      <c r="A43" s="396" t="s">
        <v>534</v>
      </c>
      <c r="B43" s="500">
        <f>RICON_Edelstahl!C111</f>
        <v>4.5</v>
      </c>
      <c r="C43" s="500">
        <f>RICON_Edelstahl!F111</f>
        <v>5.1804296195027444</v>
      </c>
      <c r="D43" s="500">
        <f t="shared" ref="D43:D66" si="2">MIN($B43/1,$C43*D$42/1.3)</f>
        <v>2.3909675166935744</v>
      </c>
      <c r="E43" s="500">
        <f t="shared" ref="E43:H58" si="3">MIN($B43/1,$C43*E$42/1.3)</f>
        <v>2.7894621028091695</v>
      </c>
      <c r="F43" s="500">
        <f t="shared" si="3"/>
        <v>3.1879566889247655</v>
      </c>
      <c r="G43" s="500">
        <f t="shared" si="3"/>
        <v>3.5864512750403614</v>
      </c>
      <c r="H43" s="500">
        <f t="shared" si="3"/>
        <v>3.9849458611559569</v>
      </c>
      <c r="K43" s="396" t="s">
        <v>535</v>
      </c>
      <c r="L43" s="525" t="s">
        <v>491</v>
      </c>
      <c r="M43" s="500">
        <f>RICON_Edelstahl!C111</f>
        <v>4.5</v>
      </c>
      <c r="N43" s="500">
        <f>RICON_Edelstahl!F111</f>
        <v>5.1804296195027444</v>
      </c>
      <c r="O43" s="500">
        <f t="shared" ref="O43:S52" si="4">MIN($B43/1,$C43*O$42/1.3)</f>
        <v>2.3909675166935744</v>
      </c>
      <c r="P43" s="500">
        <f t="shared" si="4"/>
        <v>2.7894621028091695</v>
      </c>
      <c r="Q43" s="500">
        <f t="shared" si="4"/>
        <v>3.1879566889247655</v>
      </c>
      <c r="R43" s="500">
        <f t="shared" si="4"/>
        <v>3.5864512750403614</v>
      </c>
      <c r="S43" s="500">
        <f t="shared" si="4"/>
        <v>3.9849458611559569</v>
      </c>
    </row>
    <row r="44" spans="1:19" ht="45">
      <c r="A44" s="396" t="s">
        <v>536</v>
      </c>
      <c r="B44" s="500">
        <f>RICON_Edelstahl!C112</f>
        <v>8.1999999999999993</v>
      </c>
      <c r="C44" s="500">
        <f>RICON_Edelstahl!F112</f>
        <v>7.5161100233272613</v>
      </c>
      <c r="D44" s="500">
        <f t="shared" si="2"/>
        <v>3.4689738569202739</v>
      </c>
      <c r="E44" s="500">
        <f t="shared" si="3"/>
        <v>4.0471361664069869</v>
      </c>
      <c r="F44" s="500">
        <f t="shared" si="3"/>
        <v>4.6252984758936995</v>
      </c>
      <c r="G44" s="500">
        <f t="shared" si="3"/>
        <v>5.203460785380412</v>
      </c>
      <c r="H44" s="500">
        <f t="shared" si="3"/>
        <v>5.7816230948671237</v>
      </c>
      <c r="K44" s="396" t="s">
        <v>537</v>
      </c>
      <c r="L44" s="525" t="s">
        <v>494</v>
      </c>
      <c r="M44" s="500">
        <f>RICON_Edelstahl!C112</f>
        <v>8.1999999999999993</v>
      </c>
      <c r="N44" s="500">
        <f>RICON_Edelstahl!F112</f>
        <v>7.5161100233272613</v>
      </c>
      <c r="O44" s="500">
        <f t="shared" si="4"/>
        <v>3.4689738569202739</v>
      </c>
      <c r="P44" s="500">
        <f t="shared" si="4"/>
        <v>4.0471361664069869</v>
      </c>
      <c r="Q44" s="500">
        <f t="shared" si="4"/>
        <v>4.6252984758936995</v>
      </c>
      <c r="R44" s="500">
        <f t="shared" si="4"/>
        <v>5.203460785380412</v>
      </c>
      <c r="S44" s="500">
        <f t="shared" si="4"/>
        <v>5.7816230948671237</v>
      </c>
    </row>
    <row r="45" spans="1:19" ht="45">
      <c r="A45" s="396" t="s">
        <v>538</v>
      </c>
      <c r="B45" s="500">
        <f>RICON_Edelstahl!C113</f>
        <v>10.4</v>
      </c>
      <c r="C45" s="500">
        <f>RICON_Edelstahl!F113</f>
        <v>10.360859239005489</v>
      </c>
      <c r="D45" s="500">
        <f t="shared" si="2"/>
        <v>4.7819350333871489</v>
      </c>
      <c r="E45" s="500">
        <f t="shared" si="3"/>
        <v>5.578924205618339</v>
      </c>
      <c r="F45" s="500">
        <f t="shared" si="3"/>
        <v>6.3759133778495309</v>
      </c>
      <c r="G45" s="500">
        <f t="shared" si="3"/>
        <v>7.1729025500807229</v>
      </c>
      <c r="H45" s="500">
        <f t="shared" si="3"/>
        <v>7.9698917223119139</v>
      </c>
      <c r="K45" s="396" t="s">
        <v>539</v>
      </c>
      <c r="L45" s="525" t="s">
        <v>495</v>
      </c>
      <c r="M45" s="500">
        <f>RICON_Edelstahl!C113</f>
        <v>10.4</v>
      </c>
      <c r="N45" s="500">
        <f>RICON_Edelstahl!F113</f>
        <v>10.360859239005489</v>
      </c>
      <c r="O45" s="500">
        <f t="shared" si="4"/>
        <v>4.7819350333871489</v>
      </c>
      <c r="P45" s="500">
        <f t="shared" si="4"/>
        <v>5.578924205618339</v>
      </c>
      <c r="Q45" s="500">
        <f t="shared" si="4"/>
        <v>6.3759133778495309</v>
      </c>
      <c r="R45" s="500">
        <f t="shared" si="4"/>
        <v>7.1729025500807229</v>
      </c>
      <c r="S45" s="500">
        <f t="shared" si="4"/>
        <v>7.9698917223119139</v>
      </c>
    </row>
    <row r="46" spans="1:19" ht="45">
      <c r="A46" s="396" t="s">
        <v>540</v>
      </c>
      <c r="B46" s="500">
        <f>RICON_Edelstahl!C114</f>
        <v>13.4</v>
      </c>
      <c r="C46" s="500">
        <f>RICON_Edelstahl!F114</f>
        <v>13.205608454683714</v>
      </c>
      <c r="D46" s="500">
        <f t="shared" si="2"/>
        <v>6.0948962098540216</v>
      </c>
      <c r="E46" s="500">
        <f t="shared" si="3"/>
        <v>7.1107122448296911</v>
      </c>
      <c r="F46" s="500">
        <f t="shared" si="3"/>
        <v>8.1265282798053633</v>
      </c>
      <c r="G46" s="500">
        <f t="shared" si="3"/>
        <v>9.1423443147810328</v>
      </c>
      <c r="H46" s="500">
        <f t="shared" si="3"/>
        <v>10.158160349756702</v>
      </c>
      <c r="K46" s="396" t="s">
        <v>541</v>
      </c>
      <c r="L46" s="525" t="s">
        <v>496</v>
      </c>
      <c r="M46" s="500">
        <f>RICON_Edelstahl!C114</f>
        <v>13.4</v>
      </c>
      <c r="N46" s="500">
        <f>RICON_Edelstahl!F114</f>
        <v>13.205608454683714</v>
      </c>
      <c r="O46" s="500">
        <f t="shared" si="4"/>
        <v>6.0948962098540216</v>
      </c>
      <c r="P46" s="500">
        <f t="shared" si="4"/>
        <v>7.1107122448296911</v>
      </c>
      <c r="Q46" s="500">
        <f t="shared" si="4"/>
        <v>8.1265282798053633</v>
      </c>
      <c r="R46" s="500">
        <f t="shared" si="4"/>
        <v>9.1423443147810328</v>
      </c>
      <c r="S46" s="500">
        <f t="shared" si="4"/>
        <v>10.158160349756702</v>
      </c>
    </row>
    <row r="47" spans="1:19" ht="45">
      <c r="A47" s="396" t="s">
        <v>542</v>
      </c>
      <c r="B47" s="500">
        <f>RICON_Edelstahl!C115</f>
        <v>13.4</v>
      </c>
      <c r="C47" s="500">
        <f>RICON_Edelstahl!F115</f>
        <v>16.05035767036194</v>
      </c>
      <c r="D47" s="500">
        <f t="shared" si="2"/>
        <v>7.4078573863208952</v>
      </c>
      <c r="E47" s="500">
        <f t="shared" si="3"/>
        <v>8.6425002840410432</v>
      </c>
      <c r="F47" s="500">
        <f t="shared" si="3"/>
        <v>9.8771431817611948</v>
      </c>
      <c r="G47" s="500">
        <f t="shared" si="3"/>
        <v>11.111786079481343</v>
      </c>
      <c r="H47" s="500">
        <f t="shared" si="3"/>
        <v>12.346428977201493</v>
      </c>
      <c r="K47" s="396" t="s">
        <v>543</v>
      </c>
      <c r="L47" s="525" t="s">
        <v>497</v>
      </c>
      <c r="M47" s="500">
        <f>RICON_Edelstahl!C115</f>
        <v>13.4</v>
      </c>
      <c r="N47" s="500">
        <f>RICON_Edelstahl!F115</f>
        <v>16.05035767036194</v>
      </c>
      <c r="O47" s="500">
        <f t="shared" si="4"/>
        <v>7.4078573863208952</v>
      </c>
      <c r="P47" s="500">
        <f t="shared" si="4"/>
        <v>8.6425002840410432</v>
      </c>
      <c r="Q47" s="500">
        <f t="shared" si="4"/>
        <v>9.8771431817611948</v>
      </c>
      <c r="R47" s="500">
        <f t="shared" si="4"/>
        <v>11.111786079481343</v>
      </c>
      <c r="S47" s="500">
        <f t="shared" si="4"/>
        <v>12.346428977201493</v>
      </c>
    </row>
    <row r="48" spans="1:19" ht="45">
      <c r="A48" s="396" t="s">
        <v>544</v>
      </c>
      <c r="B48" s="500">
        <f>RICON_Edelstahl!C116</f>
        <v>13.4</v>
      </c>
      <c r="C48" s="500">
        <f>RICON_Edelstahl!F116</f>
        <v>18.895106886040168</v>
      </c>
      <c r="D48" s="500">
        <f t="shared" si="2"/>
        <v>8.7208185627877697</v>
      </c>
      <c r="E48" s="500">
        <f t="shared" si="3"/>
        <v>10.174288323252396</v>
      </c>
      <c r="F48" s="500">
        <f t="shared" si="3"/>
        <v>11.627758083717026</v>
      </c>
      <c r="G48" s="500">
        <f t="shared" si="3"/>
        <v>13.081227844181655</v>
      </c>
      <c r="H48" s="500">
        <f t="shared" si="3"/>
        <v>13.4</v>
      </c>
      <c r="K48" s="396" t="s">
        <v>545</v>
      </c>
      <c r="L48" s="525" t="s">
        <v>482</v>
      </c>
      <c r="M48" s="500">
        <f>RICON_Edelstahl!C116</f>
        <v>13.4</v>
      </c>
      <c r="N48" s="500">
        <f>RICON_Edelstahl!F116</f>
        <v>18.895106886040168</v>
      </c>
      <c r="O48" s="500">
        <f t="shared" si="4"/>
        <v>8.7208185627877697</v>
      </c>
      <c r="P48" s="500">
        <f t="shared" si="4"/>
        <v>10.174288323252396</v>
      </c>
      <c r="Q48" s="500">
        <f t="shared" si="4"/>
        <v>11.627758083717026</v>
      </c>
      <c r="R48" s="500">
        <f t="shared" si="4"/>
        <v>13.081227844181655</v>
      </c>
      <c r="S48" s="500">
        <f t="shared" si="4"/>
        <v>13.4</v>
      </c>
    </row>
    <row r="49" spans="1:19" ht="45">
      <c r="A49" s="396" t="s">
        <v>546</v>
      </c>
      <c r="B49" s="500">
        <f>RICON_Edelstahl!C117</f>
        <v>8.1999999999999993</v>
      </c>
      <c r="C49" s="500">
        <f>RICON_Edelstahl!F117</f>
        <v>12.696539642830006</v>
      </c>
      <c r="D49" s="500">
        <f t="shared" si="2"/>
        <v>5.8599413736138484</v>
      </c>
      <c r="E49" s="500">
        <f t="shared" si="3"/>
        <v>6.8365982692161564</v>
      </c>
      <c r="F49" s="500">
        <f t="shared" si="3"/>
        <v>7.8132551648184654</v>
      </c>
      <c r="G49" s="500">
        <f t="shared" si="3"/>
        <v>8.1999999999999993</v>
      </c>
      <c r="H49" s="500">
        <f t="shared" si="3"/>
        <v>8.1999999999999993</v>
      </c>
      <c r="K49" s="396" t="s">
        <v>547</v>
      </c>
      <c r="L49" s="525" t="s">
        <v>482</v>
      </c>
      <c r="M49" s="500">
        <f>RICON_Edelstahl!C117</f>
        <v>8.1999999999999993</v>
      </c>
      <c r="N49" s="500">
        <f>RICON_Edelstahl!F117</f>
        <v>12.696539642830006</v>
      </c>
      <c r="O49" s="500">
        <f t="shared" si="4"/>
        <v>5.8599413736138484</v>
      </c>
      <c r="P49" s="500">
        <f t="shared" si="4"/>
        <v>6.8365982692161564</v>
      </c>
      <c r="Q49" s="500">
        <f t="shared" si="4"/>
        <v>7.8132551648184654</v>
      </c>
      <c r="R49" s="500">
        <f t="shared" si="4"/>
        <v>8.1999999999999993</v>
      </c>
      <c r="S49" s="500">
        <f t="shared" si="4"/>
        <v>8.1999999999999993</v>
      </c>
    </row>
    <row r="50" spans="1:19" ht="45">
      <c r="A50" s="396" t="s">
        <v>548</v>
      </c>
      <c r="B50" s="500">
        <f>RICON_Edelstahl!C118</f>
        <v>10.4</v>
      </c>
      <c r="C50" s="500">
        <f>RICON_Edelstahl!F118</f>
        <v>18.386038074186459</v>
      </c>
      <c r="D50" s="500">
        <f t="shared" si="2"/>
        <v>8.4858637265475956</v>
      </c>
      <c r="E50" s="500">
        <f t="shared" si="3"/>
        <v>9.9001743476388615</v>
      </c>
      <c r="F50" s="500">
        <f t="shared" si="3"/>
        <v>10.4</v>
      </c>
      <c r="G50" s="500">
        <f t="shared" si="3"/>
        <v>10.4</v>
      </c>
      <c r="H50" s="500">
        <f t="shared" si="3"/>
        <v>10.4</v>
      </c>
      <c r="K50" s="396" t="s">
        <v>549</v>
      </c>
      <c r="L50" s="525" t="s">
        <v>483</v>
      </c>
      <c r="M50" s="500">
        <f>RICON_Edelstahl!C118</f>
        <v>10.4</v>
      </c>
      <c r="N50" s="500">
        <f>RICON_Edelstahl!F118</f>
        <v>18.386038074186459</v>
      </c>
      <c r="O50" s="500">
        <f t="shared" si="4"/>
        <v>8.4858637265475956</v>
      </c>
      <c r="P50" s="500">
        <f t="shared" si="4"/>
        <v>9.9001743476388615</v>
      </c>
      <c r="Q50" s="500">
        <f t="shared" si="4"/>
        <v>10.4</v>
      </c>
      <c r="R50" s="500">
        <f t="shared" si="4"/>
        <v>10.4</v>
      </c>
      <c r="S50" s="500">
        <f t="shared" si="4"/>
        <v>10.4</v>
      </c>
    </row>
    <row r="51" spans="1:19" ht="45">
      <c r="A51" s="396" t="s">
        <v>550</v>
      </c>
      <c r="B51" s="500">
        <f>RICON_Edelstahl!C119</f>
        <v>13.4</v>
      </c>
      <c r="C51" s="500">
        <f>RICON_Edelstahl!F119</f>
        <v>24.07553650554291</v>
      </c>
      <c r="D51" s="500">
        <f t="shared" si="2"/>
        <v>11.111786079481341</v>
      </c>
      <c r="E51" s="500">
        <f t="shared" si="3"/>
        <v>12.963750426061566</v>
      </c>
      <c r="F51" s="500">
        <f t="shared" si="3"/>
        <v>13.4</v>
      </c>
      <c r="G51" s="500">
        <f t="shared" si="3"/>
        <v>13.4</v>
      </c>
      <c r="H51" s="500">
        <f t="shared" si="3"/>
        <v>13.4</v>
      </c>
      <c r="K51" s="396" t="s">
        <v>551</v>
      </c>
      <c r="L51" s="525" t="s">
        <v>484</v>
      </c>
      <c r="M51" s="500">
        <f>RICON_Edelstahl!C119</f>
        <v>13.4</v>
      </c>
      <c r="N51" s="500">
        <f>RICON_Edelstahl!F119</f>
        <v>24.07553650554291</v>
      </c>
      <c r="O51" s="500">
        <f t="shared" si="4"/>
        <v>11.111786079481341</v>
      </c>
      <c r="P51" s="500">
        <f t="shared" si="4"/>
        <v>12.963750426061566</v>
      </c>
      <c r="Q51" s="500">
        <f t="shared" si="4"/>
        <v>13.4</v>
      </c>
      <c r="R51" s="500">
        <f t="shared" si="4"/>
        <v>13.4</v>
      </c>
      <c r="S51" s="500">
        <f t="shared" si="4"/>
        <v>13.4</v>
      </c>
    </row>
    <row r="52" spans="1:19" ht="45">
      <c r="A52" s="396" t="s">
        <v>552</v>
      </c>
      <c r="B52" s="500">
        <f>RICON_Edelstahl!C120</f>
        <v>13.4</v>
      </c>
      <c r="C52" s="500">
        <f>RICON_Edelstahl!F120</f>
        <v>29.765034936899362</v>
      </c>
      <c r="D52" s="500">
        <f t="shared" si="2"/>
        <v>13.4</v>
      </c>
      <c r="E52" s="500">
        <f t="shared" si="3"/>
        <v>13.4</v>
      </c>
      <c r="F52" s="500">
        <f t="shared" si="3"/>
        <v>13.4</v>
      </c>
      <c r="G52" s="500">
        <f t="shared" si="3"/>
        <v>13.4</v>
      </c>
      <c r="H52" s="500">
        <f t="shared" si="3"/>
        <v>13.4</v>
      </c>
      <c r="K52" s="396" t="s">
        <v>553</v>
      </c>
      <c r="L52" s="525" t="s">
        <v>485</v>
      </c>
      <c r="M52" s="500">
        <f>RICON_Edelstahl!C120</f>
        <v>13.4</v>
      </c>
      <c r="N52" s="500">
        <f>RICON_Edelstahl!F120</f>
        <v>29.765034936899362</v>
      </c>
      <c r="O52" s="500">
        <f t="shared" si="4"/>
        <v>13.4</v>
      </c>
      <c r="P52" s="500">
        <f t="shared" si="4"/>
        <v>13.4</v>
      </c>
      <c r="Q52" s="500">
        <f t="shared" si="4"/>
        <v>13.4</v>
      </c>
      <c r="R52" s="500">
        <f t="shared" si="4"/>
        <v>13.4</v>
      </c>
      <c r="S52" s="500">
        <f t="shared" si="4"/>
        <v>13.4</v>
      </c>
    </row>
    <row r="53" spans="1:19" ht="45.75" thickBot="1">
      <c r="A53" s="438" t="s">
        <v>554</v>
      </c>
      <c r="B53" s="502">
        <f>RICON_Edelstahl!C121</f>
        <v>13.4</v>
      </c>
      <c r="C53" s="502">
        <f>RICON_Edelstahl!F121</f>
        <v>35.454533368255817</v>
      </c>
      <c r="D53" s="502">
        <f t="shared" si="2"/>
        <v>13.4</v>
      </c>
      <c r="E53" s="502">
        <f t="shared" si="3"/>
        <v>13.4</v>
      </c>
      <c r="F53" s="502">
        <f t="shared" si="3"/>
        <v>13.4</v>
      </c>
      <c r="G53" s="502">
        <f t="shared" si="3"/>
        <v>13.4</v>
      </c>
      <c r="H53" s="502">
        <f t="shared" si="3"/>
        <v>13.4</v>
      </c>
      <c r="K53" s="438" t="s">
        <v>555</v>
      </c>
      <c r="L53" s="537" t="s">
        <v>486</v>
      </c>
      <c r="M53" s="502">
        <f>RICON_Edelstahl!C121</f>
        <v>13.4</v>
      </c>
      <c r="N53" s="502">
        <f>RICON_Edelstahl!F121</f>
        <v>35.454533368255817</v>
      </c>
      <c r="O53" s="502">
        <f t="shared" ref="O53:S66" si="5">MIN($B53/1,$C53*O$42/1.3)</f>
        <v>13.4</v>
      </c>
      <c r="P53" s="502">
        <f t="shared" si="5"/>
        <v>13.4</v>
      </c>
      <c r="Q53" s="502">
        <f t="shared" si="5"/>
        <v>13.4</v>
      </c>
      <c r="R53" s="502">
        <f t="shared" si="5"/>
        <v>13.4</v>
      </c>
      <c r="S53" s="502">
        <f t="shared" si="5"/>
        <v>13.4</v>
      </c>
    </row>
    <row r="54" spans="1:19" ht="45.75" thickTop="1">
      <c r="A54" s="411" t="s">
        <v>556</v>
      </c>
      <c r="B54" s="501">
        <f>RICON_Edelstahl!C122</f>
        <v>4.5</v>
      </c>
      <c r="C54" s="501">
        <f>RICON_Edelstahl!F122</f>
        <v>5.1804296195027444</v>
      </c>
      <c r="D54" s="501">
        <f t="shared" si="2"/>
        <v>2.3909675166935744</v>
      </c>
      <c r="E54" s="501">
        <f t="shared" si="3"/>
        <v>2.7894621028091695</v>
      </c>
      <c r="F54" s="501">
        <f t="shared" si="3"/>
        <v>3.1879566889247655</v>
      </c>
      <c r="G54" s="501">
        <f t="shared" si="3"/>
        <v>3.5864512750403614</v>
      </c>
      <c r="H54" s="501">
        <f t="shared" si="3"/>
        <v>3.9849458611559569</v>
      </c>
      <c r="K54" s="411" t="s">
        <v>557</v>
      </c>
      <c r="L54" s="525" t="s">
        <v>491</v>
      </c>
      <c r="M54" s="501">
        <f>RICON_Edelstahl!C122</f>
        <v>4.5</v>
      </c>
      <c r="N54" s="501">
        <f>RICON_Edelstahl!F122</f>
        <v>5.1804296195027444</v>
      </c>
      <c r="O54" s="501">
        <f t="shared" si="5"/>
        <v>2.3909675166935744</v>
      </c>
      <c r="P54" s="501">
        <f t="shared" si="5"/>
        <v>2.7894621028091695</v>
      </c>
      <c r="Q54" s="501">
        <f t="shared" si="5"/>
        <v>3.1879566889247655</v>
      </c>
      <c r="R54" s="501">
        <f t="shared" si="5"/>
        <v>3.5864512750403614</v>
      </c>
      <c r="S54" s="501">
        <f t="shared" si="5"/>
        <v>3.9849458611559569</v>
      </c>
    </row>
    <row r="55" spans="1:19" ht="45">
      <c r="A55" s="396" t="s">
        <v>558</v>
      </c>
      <c r="B55" s="500">
        <f>RICON_Edelstahl!C123</f>
        <v>8.1999999999999993</v>
      </c>
      <c r="C55" s="500">
        <f>RICON_Edelstahl!F123</f>
        <v>7.5161100233272613</v>
      </c>
      <c r="D55" s="500">
        <f t="shared" si="2"/>
        <v>3.4689738569202739</v>
      </c>
      <c r="E55" s="500">
        <f t="shared" si="3"/>
        <v>4.0471361664069869</v>
      </c>
      <c r="F55" s="500">
        <f t="shared" si="3"/>
        <v>4.6252984758936995</v>
      </c>
      <c r="G55" s="500">
        <f t="shared" si="3"/>
        <v>5.203460785380412</v>
      </c>
      <c r="H55" s="500">
        <f t="shared" si="3"/>
        <v>5.7816230948671237</v>
      </c>
      <c r="K55" s="396" t="s">
        <v>559</v>
      </c>
      <c r="L55" s="525" t="s">
        <v>494</v>
      </c>
      <c r="M55" s="500">
        <f>RICON_Edelstahl!C123</f>
        <v>8.1999999999999993</v>
      </c>
      <c r="N55" s="500">
        <f>RICON_Edelstahl!F123</f>
        <v>7.5161100233272613</v>
      </c>
      <c r="O55" s="500">
        <f t="shared" si="5"/>
        <v>3.4689738569202739</v>
      </c>
      <c r="P55" s="500">
        <f t="shared" si="5"/>
        <v>4.0471361664069869</v>
      </c>
      <c r="Q55" s="500">
        <f t="shared" si="5"/>
        <v>4.6252984758936995</v>
      </c>
      <c r="R55" s="500">
        <f t="shared" si="5"/>
        <v>5.203460785380412</v>
      </c>
      <c r="S55" s="500">
        <f t="shared" si="5"/>
        <v>5.7816230948671237</v>
      </c>
    </row>
    <row r="56" spans="1:19" ht="45">
      <c r="A56" s="396" t="s">
        <v>560</v>
      </c>
      <c r="B56" s="500">
        <f>RICON_Edelstahl!C124</f>
        <v>10.4</v>
      </c>
      <c r="C56" s="500">
        <f>RICON_Edelstahl!F124</f>
        <v>10.360859239005489</v>
      </c>
      <c r="D56" s="500">
        <f t="shared" si="2"/>
        <v>4.7819350333871489</v>
      </c>
      <c r="E56" s="500">
        <f t="shared" si="3"/>
        <v>5.578924205618339</v>
      </c>
      <c r="F56" s="500">
        <f t="shared" si="3"/>
        <v>6.3759133778495309</v>
      </c>
      <c r="G56" s="500">
        <f t="shared" si="3"/>
        <v>7.1729025500807229</v>
      </c>
      <c r="H56" s="500">
        <f t="shared" si="3"/>
        <v>7.9698917223119139</v>
      </c>
      <c r="K56" s="396" t="s">
        <v>561</v>
      </c>
      <c r="L56" s="525" t="s">
        <v>495</v>
      </c>
      <c r="M56" s="500">
        <f>RICON_Edelstahl!C124</f>
        <v>10.4</v>
      </c>
      <c r="N56" s="500">
        <f>RICON_Edelstahl!F124</f>
        <v>10.360859239005489</v>
      </c>
      <c r="O56" s="500">
        <f t="shared" si="5"/>
        <v>4.7819350333871489</v>
      </c>
      <c r="P56" s="500">
        <f t="shared" si="5"/>
        <v>5.578924205618339</v>
      </c>
      <c r="Q56" s="500">
        <f t="shared" si="5"/>
        <v>6.3759133778495309</v>
      </c>
      <c r="R56" s="500">
        <f t="shared" si="5"/>
        <v>7.1729025500807229</v>
      </c>
      <c r="S56" s="500">
        <f t="shared" si="5"/>
        <v>7.9698917223119139</v>
      </c>
    </row>
    <row r="57" spans="1:19" ht="45">
      <c r="A57" s="396" t="s">
        <v>562</v>
      </c>
      <c r="B57" s="500">
        <f>RICON_Edelstahl!C125</f>
        <v>13.4</v>
      </c>
      <c r="C57" s="500">
        <f>RICON_Edelstahl!F125</f>
        <v>13.205608454683714</v>
      </c>
      <c r="D57" s="500">
        <f t="shared" si="2"/>
        <v>6.0948962098540216</v>
      </c>
      <c r="E57" s="500">
        <f t="shared" si="3"/>
        <v>7.1107122448296911</v>
      </c>
      <c r="F57" s="500">
        <f t="shared" si="3"/>
        <v>8.1265282798053633</v>
      </c>
      <c r="G57" s="500">
        <f t="shared" si="3"/>
        <v>9.1423443147810328</v>
      </c>
      <c r="H57" s="500">
        <f t="shared" si="3"/>
        <v>10.158160349756702</v>
      </c>
      <c r="K57" s="396" t="s">
        <v>563</v>
      </c>
      <c r="L57" s="525" t="s">
        <v>496</v>
      </c>
      <c r="M57" s="500">
        <f>RICON_Edelstahl!C125</f>
        <v>13.4</v>
      </c>
      <c r="N57" s="500">
        <f>RICON_Edelstahl!F125</f>
        <v>13.205608454683714</v>
      </c>
      <c r="O57" s="500">
        <f t="shared" si="5"/>
        <v>6.0948962098540216</v>
      </c>
      <c r="P57" s="500">
        <f t="shared" si="5"/>
        <v>7.1107122448296911</v>
      </c>
      <c r="Q57" s="500">
        <f t="shared" si="5"/>
        <v>8.1265282798053633</v>
      </c>
      <c r="R57" s="500">
        <f t="shared" si="5"/>
        <v>9.1423443147810328</v>
      </c>
      <c r="S57" s="500">
        <f t="shared" si="5"/>
        <v>10.158160349756702</v>
      </c>
    </row>
    <row r="58" spans="1:19" ht="45">
      <c r="A58" s="396" t="s">
        <v>564</v>
      </c>
      <c r="B58" s="500">
        <f>RICON_Edelstahl!C126</f>
        <v>13.4</v>
      </c>
      <c r="C58" s="500">
        <f>RICON_Edelstahl!F126</f>
        <v>16.05035767036194</v>
      </c>
      <c r="D58" s="500">
        <f t="shared" si="2"/>
        <v>7.4078573863208952</v>
      </c>
      <c r="E58" s="500">
        <f t="shared" si="3"/>
        <v>8.6425002840410432</v>
      </c>
      <c r="F58" s="500">
        <f t="shared" si="3"/>
        <v>9.8771431817611948</v>
      </c>
      <c r="G58" s="500">
        <f t="shared" si="3"/>
        <v>11.111786079481343</v>
      </c>
      <c r="H58" s="500">
        <f t="shared" si="3"/>
        <v>12.346428977201493</v>
      </c>
      <c r="K58" s="396" t="s">
        <v>565</v>
      </c>
      <c r="L58" s="525" t="s">
        <v>497</v>
      </c>
      <c r="M58" s="500">
        <f>RICON_Edelstahl!C126</f>
        <v>13.4</v>
      </c>
      <c r="N58" s="500">
        <f>RICON_Edelstahl!F126</f>
        <v>16.05035767036194</v>
      </c>
      <c r="O58" s="500">
        <f t="shared" si="5"/>
        <v>7.4078573863208952</v>
      </c>
      <c r="P58" s="500">
        <f t="shared" si="5"/>
        <v>8.6425002840410432</v>
      </c>
      <c r="Q58" s="500">
        <f t="shared" si="5"/>
        <v>9.8771431817611948</v>
      </c>
      <c r="R58" s="500">
        <f t="shared" si="5"/>
        <v>11.111786079481343</v>
      </c>
      <c r="S58" s="500">
        <f t="shared" si="5"/>
        <v>12.346428977201493</v>
      </c>
    </row>
    <row r="59" spans="1:19" ht="45">
      <c r="A59" s="396" t="s">
        <v>566</v>
      </c>
      <c r="B59" s="500">
        <f>RICON_Edelstahl!C127</f>
        <v>13.4</v>
      </c>
      <c r="C59" s="500">
        <f>RICON_Edelstahl!F127</f>
        <v>18.895106886040168</v>
      </c>
      <c r="D59" s="500">
        <f t="shared" si="2"/>
        <v>8.7208185627877697</v>
      </c>
      <c r="E59" s="500">
        <f t="shared" ref="E59:H66" si="6">MIN($B59/1,$C59*E$42/1.3)</f>
        <v>10.174288323252396</v>
      </c>
      <c r="F59" s="500">
        <f t="shared" si="6"/>
        <v>11.627758083717026</v>
      </c>
      <c r="G59" s="500">
        <f t="shared" si="6"/>
        <v>13.081227844181655</v>
      </c>
      <c r="H59" s="500">
        <f t="shared" si="6"/>
        <v>13.4</v>
      </c>
      <c r="K59" s="396" t="s">
        <v>567</v>
      </c>
      <c r="L59" s="525" t="s">
        <v>482</v>
      </c>
      <c r="M59" s="500">
        <f>RICON_Edelstahl!C127</f>
        <v>13.4</v>
      </c>
      <c r="N59" s="500">
        <f>RICON_Edelstahl!F127</f>
        <v>18.895106886040168</v>
      </c>
      <c r="O59" s="500">
        <f t="shared" si="5"/>
        <v>8.7208185627877697</v>
      </c>
      <c r="P59" s="500">
        <f t="shared" si="5"/>
        <v>10.174288323252396</v>
      </c>
      <c r="Q59" s="500">
        <f t="shared" si="5"/>
        <v>11.627758083717026</v>
      </c>
      <c r="R59" s="500">
        <f t="shared" si="5"/>
        <v>13.081227844181655</v>
      </c>
      <c r="S59" s="500">
        <f t="shared" si="5"/>
        <v>13.4</v>
      </c>
    </row>
    <row r="60" spans="1:19" ht="45">
      <c r="A60" s="396" t="s">
        <v>568</v>
      </c>
      <c r="B60" s="500">
        <f>RICON_Edelstahl!C128</f>
        <v>8.1999999999999993</v>
      </c>
      <c r="C60" s="500">
        <f>RICON_Edelstahl!F128</f>
        <v>12.696539642830006</v>
      </c>
      <c r="D60" s="500">
        <f t="shared" si="2"/>
        <v>5.8599413736138484</v>
      </c>
      <c r="E60" s="500">
        <f t="shared" si="6"/>
        <v>6.8365982692161564</v>
      </c>
      <c r="F60" s="500">
        <f t="shared" si="6"/>
        <v>7.8132551648184654</v>
      </c>
      <c r="G60" s="500">
        <f t="shared" si="6"/>
        <v>8.1999999999999993</v>
      </c>
      <c r="H60" s="500">
        <f t="shared" si="6"/>
        <v>8.1999999999999993</v>
      </c>
      <c r="K60" s="396" t="s">
        <v>569</v>
      </c>
      <c r="L60" s="525" t="s">
        <v>482</v>
      </c>
      <c r="M60" s="500">
        <f>RICON_Edelstahl!C128</f>
        <v>8.1999999999999993</v>
      </c>
      <c r="N60" s="500">
        <f>RICON_Edelstahl!F128</f>
        <v>12.696539642830006</v>
      </c>
      <c r="O60" s="500">
        <f t="shared" si="5"/>
        <v>5.8599413736138484</v>
      </c>
      <c r="P60" s="500">
        <f t="shared" si="5"/>
        <v>6.8365982692161564</v>
      </c>
      <c r="Q60" s="500">
        <f t="shared" si="5"/>
        <v>7.8132551648184654</v>
      </c>
      <c r="R60" s="500">
        <f t="shared" si="5"/>
        <v>8.1999999999999993</v>
      </c>
      <c r="S60" s="500">
        <f t="shared" si="5"/>
        <v>8.1999999999999993</v>
      </c>
    </row>
    <row r="61" spans="1:19" ht="45">
      <c r="A61" s="396" t="s">
        <v>570</v>
      </c>
      <c r="B61" s="500">
        <f>RICON_Edelstahl!C129</f>
        <v>10.4</v>
      </c>
      <c r="C61" s="500">
        <f>RICON_Edelstahl!F129</f>
        <v>18.386038074186459</v>
      </c>
      <c r="D61" s="500">
        <f t="shared" si="2"/>
        <v>8.4858637265475956</v>
      </c>
      <c r="E61" s="500">
        <f t="shared" si="6"/>
        <v>9.9001743476388615</v>
      </c>
      <c r="F61" s="500">
        <f t="shared" si="6"/>
        <v>10.4</v>
      </c>
      <c r="G61" s="500">
        <f t="shared" si="6"/>
        <v>10.4</v>
      </c>
      <c r="H61" s="500">
        <f t="shared" si="6"/>
        <v>10.4</v>
      </c>
      <c r="K61" s="396" t="s">
        <v>571</v>
      </c>
      <c r="L61" s="525" t="s">
        <v>483</v>
      </c>
      <c r="M61" s="500">
        <f>RICON_Edelstahl!C129</f>
        <v>10.4</v>
      </c>
      <c r="N61" s="500">
        <f>RICON_Edelstahl!F129</f>
        <v>18.386038074186459</v>
      </c>
      <c r="O61" s="500">
        <f t="shared" si="5"/>
        <v>8.4858637265475956</v>
      </c>
      <c r="P61" s="500">
        <f t="shared" si="5"/>
        <v>9.9001743476388615</v>
      </c>
      <c r="Q61" s="500">
        <f t="shared" si="5"/>
        <v>10.4</v>
      </c>
      <c r="R61" s="500">
        <f t="shared" si="5"/>
        <v>10.4</v>
      </c>
      <c r="S61" s="500">
        <f t="shared" si="5"/>
        <v>10.4</v>
      </c>
    </row>
    <row r="62" spans="1:19" ht="45">
      <c r="A62" s="396" t="s">
        <v>572</v>
      </c>
      <c r="B62" s="500">
        <f>RICON_Edelstahl!C130</f>
        <v>13.4</v>
      </c>
      <c r="C62" s="500">
        <f>RICON_Edelstahl!F130</f>
        <v>24.07553650554291</v>
      </c>
      <c r="D62" s="500">
        <f t="shared" si="2"/>
        <v>11.111786079481341</v>
      </c>
      <c r="E62" s="500">
        <f t="shared" si="6"/>
        <v>12.963750426061566</v>
      </c>
      <c r="F62" s="500">
        <f t="shared" si="6"/>
        <v>13.4</v>
      </c>
      <c r="G62" s="500">
        <f t="shared" si="6"/>
        <v>13.4</v>
      </c>
      <c r="H62" s="500">
        <f t="shared" si="6"/>
        <v>13.4</v>
      </c>
      <c r="K62" s="396" t="s">
        <v>573</v>
      </c>
      <c r="L62" s="525" t="s">
        <v>484</v>
      </c>
      <c r="M62" s="500">
        <f>RICON_Edelstahl!C130</f>
        <v>13.4</v>
      </c>
      <c r="N62" s="500">
        <f>RICON_Edelstahl!F130</f>
        <v>24.07553650554291</v>
      </c>
      <c r="O62" s="500">
        <f t="shared" si="5"/>
        <v>11.111786079481341</v>
      </c>
      <c r="P62" s="500">
        <f t="shared" si="5"/>
        <v>12.963750426061566</v>
      </c>
      <c r="Q62" s="500">
        <f t="shared" si="5"/>
        <v>13.4</v>
      </c>
      <c r="R62" s="500">
        <f t="shared" si="5"/>
        <v>13.4</v>
      </c>
      <c r="S62" s="500">
        <f t="shared" si="5"/>
        <v>13.4</v>
      </c>
    </row>
    <row r="63" spans="1:19" ht="45">
      <c r="A63" s="396" t="s">
        <v>574</v>
      </c>
      <c r="B63" s="500">
        <f>RICON_Edelstahl!C131</f>
        <v>13.4</v>
      </c>
      <c r="C63" s="500">
        <f>RICON_Edelstahl!F131</f>
        <v>29.765034936899362</v>
      </c>
      <c r="D63" s="500">
        <f t="shared" si="2"/>
        <v>13.4</v>
      </c>
      <c r="E63" s="500">
        <f t="shared" si="6"/>
        <v>13.4</v>
      </c>
      <c r="F63" s="500">
        <f t="shared" si="6"/>
        <v>13.4</v>
      </c>
      <c r="G63" s="500">
        <f t="shared" si="6"/>
        <v>13.4</v>
      </c>
      <c r="H63" s="500">
        <f t="shared" si="6"/>
        <v>13.4</v>
      </c>
      <c r="K63" s="396" t="s">
        <v>575</v>
      </c>
      <c r="L63" s="525" t="s">
        <v>485</v>
      </c>
      <c r="M63" s="500">
        <f>RICON_Edelstahl!C131</f>
        <v>13.4</v>
      </c>
      <c r="N63" s="500">
        <f>RICON_Edelstahl!F131</f>
        <v>29.765034936899362</v>
      </c>
      <c r="O63" s="500">
        <f t="shared" si="5"/>
        <v>13.4</v>
      </c>
      <c r="P63" s="500">
        <f t="shared" si="5"/>
        <v>13.4</v>
      </c>
      <c r="Q63" s="500">
        <f t="shared" si="5"/>
        <v>13.4</v>
      </c>
      <c r="R63" s="500">
        <f t="shared" si="5"/>
        <v>13.4</v>
      </c>
      <c r="S63" s="500">
        <f t="shared" si="5"/>
        <v>13.4</v>
      </c>
    </row>
    <row r="64" spans="1:19" ht="45.75" thickBot="1">
      <c r="A64" s="438" t="s">
        <v>576</v>
      </c>
      <c r="B64" s="502">
        <f>RICON_Edelstahl!C132</f>
        <v>13.4</v>
      </c>
      <c r="C64" s="502">
        <f>RICON_Edelstahl!F132</f>
        <v>35.454533368255817</v>
      </c>
      <c r="D64" s="502">
        <f t="shared" si="2"/>
        <v>13.4</v>
      </c>
      <c r="E64" s="502">
        <f t="shared" si="6"/>
        <v>13.4</v>
      </c>
      <c r="F64" s="502">
        <f t="shared" si="6"/>
        <v>13.4</v>
      </c>
      <c r="G64" s="502">
        <f t="shared" si="6"/>
        <v>13.4</v>
      </c>
      <c r="H64" s="502">
        <f t="shared" si="6"/>
        <v>13.4</v>
      </c>
      <c r="K64" s="438" t="s">
        <v>577</v>
      </c>
      <c r="L64" s="537" t="s">
        <v>486</v>
      </c>
      <c r="M64" s="502">
        <f>RICON_Edelstahl!C132</f>
        <v>13.4</v>
      </c>
      <c r="N64" s="502">
        <f>RICON_Edelstahl!F132</f>
        <v>35.454533368255817</v>
      </c>
      <c r="O64" s="502">
        <f t="shared" si="5"/>
        <v>13.4</v>
      </c>
      <c r="P64" s="502">
        <f t="shared" si="5"/>
        <v>13.4</v>
      </c>
      <c r="Q64" s="502">
        <f t="shared" si="5"/>
        <v>13.4</v>
      </c>
      <c r="R64" s="502">
        <f t="shared" si="5"/>
        <v>13.4</v>
      </c>
      <c r="S64" s="502">
        <f t="shared" si="5"/>
        <v>13.4</v>
      </c>
    </row>
    <row r="65" spans="1:19" ht="45.75" thickTop="1">
      <c r="A65" s="411" t="s">
        <v>578</v>
      </c>
      <c r="B65" s="501">
        <f>RICON_Edelstahl!C133</f>
        <v>3.7</v>
      </c>
      <c r="C65" s="501">
        <f>RICON_Edelstahl!F133</f>
        <v>5.0646478158177981</v>
      </c>
      <c r="D65" s="501">
        <f t="shared" si="2"/>
        <v>2.3375297611466759</v>
      </c>
      <c r="E65" s="501">
        <f t="shared" si="6"/>
        <v>2.7271180546711218</v>
      </c>
      <c r="F65" s="501">
        <f t="shared" si="6"/>
        <v>3.1167063481955686</v>
      </c>
      <c r="G65" s="501">
        <f t="shared" si="6"/>
        <v>3.5062946417200136</v>
      </c>
      <c r="H65" s="501">
        <f t="shared" si="6"/>
        <v>3.7</v>
      </c>
      <c r="K65" s="411" t="s">
        <v>579</v>
      </c>
      <c r="L65" s="536" t="s">
        <v>616</v>
      </c>
      <c r="M65" s="501">
        <f>RICON_Edelstahl!C133</f>
        <v>3.7</v>
      </c>
      <c r="N65" s="501">
        <f>RICON_Edelstahl!F133</f>
        <v>5.0646478158177981</v>
      </c>
      <c r="O65" s="501">
        <f t="shared" si="5"/>
        <v>2.3375297611466759</v>
      </c>
      <c r="P65" s="501">
        <f t="shared" si="5"/>
        <v>2.7271180546711218</v>
      </c>
      <c r="Q65" s="501">
        <f t="shared" si="5"/>
        <v>3.1167063481955686</v>
      </c>
      <c r="R65" s="501">
        <f t="shared" si="5"/>
        <v>3.5062946417200136</v>
      </c>
      <c r="S65" s="501">
        <f t="shared" si="5"/>
        <v>3.7</v>
      </c>
    </row>
    <row r="66" spans="1:19" ht="45">
      <c r="A66" s="411" t="s">
        <v>580</v>
      </c>
      <c r="B66" s="500">
        <f>RICON_Edelstahl!C134</f>
        <v>3.7</v>
      </c>
      <c r="C66" s="500">
        <f>RICON_Edelstahl!F134</f>
        <v>5.0646478158177981</v>
      </c>
      <c r="D66" s="500">
        <f t="shared" si="2"/>
        <v>2.3375297611466759</v>
      </c>
      <c r="E66" s="500">
        <f t="shared" si="6"/>
        <v>2.7271180546711218</v>
      </c>
      <c r="F66" s="500">
        <f t="shared" si="6"/>
        <v>3.1167063481955686</v>
      </c>
      <c r="G66" s="500">
        <f t="shared" si="6"/>
        <v>3.5062946417200136</v>
      </c>
      <c r="H66" s="500">
        <f t="shared" si="6"/>
        <v>3.7</v>
      </c>
      <c r="K66" s="411" t="s">
        <v>581</v>
      </c>
      <c r="L66" s="536" t="s">
        <v>615</v>
      </c>
      <c r="M66" s="500">
        <f>RICON_Edelstahl!C134</f>
        <v>3.7</v>
      </c>
      <c r="N66" s="500">
        <f>RICON_Edelstahl!F134</f>
        <v>5.0646478158177981</v>
      </c>
      <c r="O66" s="500">
        <f t="shared" si="5"/>
        <v>2.3375297611466759</v>
      </c>
      <c r="P66" s="500">
        <f t="shared" si="5"/>
        <v>2.7271180546711218</v>
      </c>
      <c r="Q66" s="500">
        <f t="shared" si="5"/>
        <v>3.1167063481955686</v>
      </c>
      <c r="R66" s="500">
        <f t="shared" si="5"/>
        <v>3.5062946417200136</v>
      </c>
      <c r="S66" s="500">
        <f t="shared" si="5"/>
        <v>3.7</v>
      </c>
    </row>
    <row r="67" spans="1:19">
      <c r="A67" s="418"/>
      <c r="B67" s="510"/>
      <c r="C67" s="510"/>
      <c r="D67" s="510"/>
      <c r="E67" s="510"/>
      <c r="F67" s="510"/>
      <c r="G67" s="510"/>
      <c r="H67" s="510"/>
      <c r="K67" s="418"/>
      <c r="L67" s="418"/>
      <c r="M67" s="510"/>
      <c r="N67" s="510"/>
      <c r="O67" s="510"/>
      <c r="P67" s="510"/>
      <c r="Q67" s="510"/>
      <c r="R67" s="510"/>
      <c r="S67" s="510"/>
    </row>
    <row r="68" spans="1:19">
      <c r="A68" s="418"/>
      <c r="B68" s="510"/>
      <c r="C68" s="510"/>
      <c r="D68" s="510"/>
      <c r="E68" s="510"/>
      <c r="F68" s="510"/>
      <c r="G68" s="510"/>
      <c r="H68" s="510"/>
      <c r="K68" s="418"/>
      <c r="L68" s="418"/>
      <c r="M68" s="510"/>
      <c r="N68" s="510"/>
      <c r="O68" s="510"/>
      <c r="P68" s="510"/>
      <c r="Q68" s="510"/>
      <c r="R68" s="510"/>
      <c r="S68" s="510"/>
    </row>
    <row r="69" spans="1:19" ht="18.75">
      <c r="A69" s="767" t="s">
        <v>472</v>
      </c>
      <c r="B69" s="767"/>
      <c r="C69" s="767"/>
      <c r="D69" s="767"/>
      <c r="E69" s="767"/>
      <c r="F69" s="767"/>
      <c r="G69" s="767"/>
      <c r="H69" s="767"/>
      <c r="K69" s="767" t="s">
        <v>473</v>
      </c>
      <c r="L69" s="767"/>
      <c r="M69" s="767"/>
      <c r="N69" s="767"/>
      <c r="O69" s="767"/>
      <c r="P69" s="767"/>
      <c r="Q69" s="767"/>
      <c r="R69" s="767"/>
      <c r="S69" s="767"/>
    </row>
    <row r="70" spans="1:19" ht="18.75">
      <c r="A70" s="511" t="s">
        <v>582</v>
      </c>
      <c r="K70" s="511" t="s">
        <v>451</v>
      </c>
      <c r="L70" s="511"/>
    </row>
    <row r="71" spans="1:19" ht="42">
      <c r="A71" s="507" t="s">
        <v>416</v>
      </c>
      <c r="K71" s="507" t="s">
        <v>449</v>
      </c>
      <c r="L71" s="507"/>
    </row>
    <row r="72" spans="1:19">
      <c r="A72" s="4" t="s">
        <v>2</v>
      </c>
      <c r="B72" s="682" t="s">
        <v>414</v>
      </c>
      <c r="C72" s="684"/>
      <c r="D72" s="682" t="s">
        <v>421</v>
      </c>
      <c r="E72" s="683"/>
      <c r="F72" s="683"/>
      <c r="G72" s="683"/>
      <c r="H72" s="684"/>
      <c r="K72" s="4" t="s">
        <v>2</v>
      </c>
      <c r="L72" s="535" t="s">
        <v>613</v>
      </c>
      <c r="M72" s="766" t="s">
        <v>450</v>
      </c>
      <c r="N72" s="766"/>
      <c r="O72" s="682" t="s">
        <v>448</v>
      </c>
      <c r="P72" s="683"/>
      <c r="Q72" s="683"/>
      <c r="R72" s="683"/>
      <c r="S72" s="684"/>
    </row>
    <row r="73" spans="1:19">
      <c r="A73" s="8" t="s">
        <v>417</v>
      </c>
      <c r="B73" s="44" t="s">
        <v>411</v>
      </c>
      <c r="C73" s="44" t="s">
        <v>412</v>
      </c>
      <c r="D73" s="512">
        <v>0.5</v>
      </c>
      <c r="E73" s="512">
        <v>0.55000000000000004</v>
      </c>
      <c r="F73" s="512">
        <v>0.65</v>
      </c>
      <c r="G73" s="512">
        <v>0.7</v>
      </c>
      <c r="H73" s="512">
        <v>0.8</v>
      </c>
      <c r="K73" s="8" t="s">
        <v>337</v>
      </c>
      <c r="L73" s="534" t="s">
        <v>612</v>
      </c>
      <c r="M73" s="44" t="s">
        <v>411</v>
      </c>
      <c r="N73" s="44" t="s">
        <v>412</v>
      </c>
      <c r="O73" s="512">
        <v>0.5</v>
      </c>
      <c r="P73" s="512">
        <v>0.55000000000000004</v>
      </c>
      <c r="Q73" s="512">
        <v>0.65</v>
      </c>
      <c r="R73" s="512">
        <v>0.7</v>
      </c>
      <c r="S73" s="512">
        <v>0.8</v>
      </c>
    </row>
    <row r="74" spans="1:19" ht="45">
      <c r="A74" s="396" t="s">
        <v>534</v>
      </c>
      <c r="B74" s="500">
        <f>RICON_Edelstahl!C111</f>
        <v>4.5</v>
      </c>
      <c r="C74" s="500">
        <f>RICON_Edelstahl!F111</f>
        <v>5.1804296195027444</v>
      </c>
      <c r="D74" s="500">
        <f t="shared" ref="D74:D97" si="7">MIN($B74/1,$C74*D$73/1.3)</f>
        <v>1.9924729305779785</v>
      </c>
      <c r="E74" s="500">
        <f t="shared" ref="E74:H89" si="8">MIN($B74/1,$C74*E$73/1.3)</f>
        <v>2.1917202236357767</v>
      </c>
      <c r="F74" s="500">
        <f t="shared" si="8"/>
        <v>2.5902148097513722</v>
      </c>
      <c r="G74" s="500">
        <f t="shared" si="8"/>
        <v>2.7894621028091695</v>
      </c>
      <c r="H74" s="500">
        <f t="shared" si="8"/>
        <v>3.1879566889247655</v>
      </c>
      <c r="K74" s="396" t="s">
        <v>535</v>
      </c>
      <c r="L74" s="525" t="s">
        <v>491</v>
      </c>
      <c r="M74" s="500">
        <f>RICON_Edelstahl!C111</f>
        <v>4.5</v>
      </c>
      <c r="N74" s="500">
        <f>RICON_Edelstahl!F111</f>
        <v>5.1804296195027444</v>
      </c>
      <c r="O74" s="500">
        <f t="shared" ref="O74:S83" si="9">MIN($B74/1,$C74*O$73/1.3)</f>
        <v>1.9924729305779785</v>
      </c>
      <c r="P74" s="500">
        <f t="shared" si="9"/>
        <v>2.1917202236357767</v>
      </c>
      <c r="Q74" s="500">
        <f t="shared" si="9"/>
        <v>2.5902148097513722</v>
      </c>
      <c r="R74" s="500">
        <f t="shared" si="9"/>
        <v>2.7894621028091695</v>
      </c>
      <c r="S74" s="500">
        <f t="shared" si="9"/>
        <v>3.1879566889247655</v>
      </c>
    </row>
    <row r="75" spans="1:19" ht="45">
      <c r="A75" s="396" t="s">
        <v>536</v>
      </c>
      <c r="B75" s="500">
        <f>RICON_Edelstahl!C112</f>
        <v>8.1999999999999993</v>
      </c>
      <c r="C75" s="500">
        <f>RICON_Edelstahl!F112</f>
        <v>7.5161100233272613</v>
      </c>
      <c r="D75" s="500">
        <f t="shared" si="7"/>
        <v>2.8908115474335618</v>
      </c>
      <c r="E75" s="500">
        <f t="shared" si="8"/>
        <v>3.1798927021769181</v>
      </c>
      <c r="F75" s="500">
        <f t="shared" si="8"/>
        <v>3.7580550116636311</v>
      </c>
      <c r="G75" s="500">
        <f t="shared" si="8"/>
        <v>4.0471361664069869</v>
      </c>
      <c r="H75" s="500">
        <f t="shared" si="8"/>
        <v>4.6252984758936995</v>
      </c>
      <c r="K75" s="396" t="s">
        <v>537</v>
      </c>
      <c r="L75" s="525" t="s">
        <v>494</v>
      </c>
      <c r="M75" s="500">
        <f>RICON_Edelstahl!C112</f>
        <v>8.1999999999999993</v>
      </c>
      <c r="N75" s="500">
        <f>RICON_Edelstahl!F112</f>
        <v>7.5161100233272613</v>
      </c>
      <c r="O75" s="500">
        <f t="shared" si="9"/>
        <v>2.8908115474335618</v>
      </c>
      <c r="P75" s="500">
        <f t="shared" si="9"/>
        <v>3.1798927021769181</v>
      </c>
      <c r="Q75" s="500">
        <f t="shared" si="9"/>
        <v>3.7580550116636311</v>
      </c>
      <c r="R75" s="500">
        <f t="shared" si="9"/>
        <v>4.0471361664069869</v>
      </c>
      <c r="S75" s="500">
        <f t="shared" si="9"/>
        <v>4.6252984758936995</v>
      </c>
    </row>
    <row r="76" spans="1:19" ht="45">
      <c r="A76" s="396" t="s">
        <v>538</v>
      </c>
      <c r="B76" s="500">
        <f>RICON_Edelstahl!C113</f>
        <v>10.4</v>
      </c>
      <c r="C76" s="500">
        <f>RICON_Edelstahl!F113</f>
        <v>10.360859239005489</v>
      </c>
      <c r="D76" s="500">
        <f t="shared" si="7"/>
        <v>3.9849458611559569</v>
      </c>
      <c r="E76" s="500">
        <f t="shared" si="8"/>
        <v>4.3834404472715534</v>
      </c>
      <c r="F76" s="500">
        <f t="shared" si="8"/>
        <v>5.1804296195027444</v>
      </c>
      <c r="G76" s="500">
        <f t="shared" si="8"/>
        <v>5.578924205618339</v>
      </c>
      <c r="H76" s="500">
        <f t="shared" si="8"/>
        <v>6.3759133778495309</v>
      </c>
      <c r="K76" s="396" t="s">
        <v>539</v>
      </c>
      <c r="L76" s="525" t="s">
        <v>495</v>
      </c>
      <c r="M76" s="500">
        <f>RICON_Edelstahl!C113</f>
        <v>10.4</v>
      </c>
      <c r="N76" s="500">
        <f>RICON_Edelstahl!F113</f>
        <v>10.360859239005489</v>
      </c>
      <c r="O76" s="500">
        <f t="shared" si="9"/>
        <v>3.9849458611559569</v>
      </c>
      <c r="P76" s="500">
        <f t="shared" si="9"/>
        <v>4.3834404472715534</v>
      </c>
      <c r="Q76" s="500">
        <f t="shared" si="9"/>
        <v>5.1804296195027444</v>
      </c>
      <c r="R76" s="500">
        <f t="shared" si="9"/>
        <v>5.578924205618339</v>
      </c>
      <c r="S76" s="500">
        <f t="shared" si="9"/>
        <v>6.3759133778495309</v>
      </c>
    </row>
    <row r="77" spans="1:19" ht="45">
      <c r="A77" s="396" t="s">
        <v>540</v>
      </c>
      <c r="B77" s="500">
        <f>RICON_Edelstahl!C114</f>
        <v>13.4</v>
      </c>
      <c r="C77" s="500">
        <f>RICON_Edelstahl!F114</f>
        <v>13.205608454683714</v>
      </c>
      <c r="D77" s="500">
        <f t="shared" si="7"/>
        <v>5.0790801748783512</v>
      </c>
      <c r="E77" s="500">
        <f t="shared" si="8"/>
        <v>5.5869881923661877</v>
      </c>
      <c r="F77" s="500">
        <f t="shared" si="8"/>
        <v>6.6028042273418572</v>
      </c>
      <c r="G77" s="500">
        <f t="shared" si="8"/>
        <v>7.1107122448296911</v>
      </c>
      <c r="H77" s="500">
        <f t="shared" si="8"/>
        <v>8.1265282798053633</v>
      </c>
      <c r="K77" s="396" t="s">
        <v>541</v>
      </c>
      <c r="L77" s="525" t="s">
        <v>496</v>
      </c>
      <c r="M77" s="500">
        <f>RICON_Edelstahl!C114</f>
        <v>13.4</v>
      </c>
      <c r="N77" s="500">
        <f>RICON_Edelstahl!F114</f>
        <v>13.205608454683714</v>
      </c>
      <c r="O77" s="500">
        <f t="shared" si="9"/>
        <v>5.0790801748783512</v>
      </c>
      <c r="P77" s="500">
        <f t="shared" si="9"/>
        <v>5.5869881923661877</v>
      </c>
      <c r="Q77" s="500">
        <f t="shared" si="9"/>
        <v>6.6028042273418572</v>
      </c>
      <c r="R77" s="500">
        <f t="shared" si="9"/>
        <v>7.1107122448296911</v>
      </c>
      <c r="S77" s="500">
        <f t="shared" si="9"/>
        <v>8.1265282798053633</v>
      </c>
    </row>
    <row r="78" spans="1:19" ht="45">
      <c r="A78" s="396" t="s">
        <v>542</v>
      </c>
      <c r="B78" s="500">
        <f>RICON_Edelstahl!C115</f>
        <v>13.4</v>
      </c>
      <c r="C78" s="500">
        <f>RICON_Edelstahl!F115</f>
        <v>16.05035767036194</v>
      </c>
      <c r="D78" s="500">
        <f t="shared" si="7"/>
        <v>6.1732144886007463</v>
      </c>
      <c r="E78" s="500">
        <f t="shared" si="8"/>
        <v>6.7905359374608212</v>
      </c>
      <c r="F78" s="500">
        <f t="shared" si="8"/>
        <v>8.0251788351809701</v>
      </c>
      <c r="G78" s="500">
        <f t="shared" si="8"/>
        <v>8.6425002840410432</v>
      </c>
      <c r="H78" s="500">
        <f t="shared" si="8"/>
        <v>9.8771431817611948</v>
      </c>
      <c r="K78" s="396" t="s">
        <v>543</v>
      </c>
      <c r="L78" s="525" t="s">
        <v>497</v>
      </c>
      <c r="M78" s="500">
        <f>RICON_Edelstahl!C115</f>
        <v>13.4</v>
      </c>
      <c r="N78" s="500">
        <f>RICON_Edelstahl!F115</f>
        <v>16.05035767036194</v>
      </c>
      <c r="O78" s="500">
        <f t="shared" si="9"/>
        <v>6.1732144886007463</v>
      </c>
      <c r="P78" s="500">
        <f t="shared" si="9"/>
        <v>6.7905359374608212</v>
      </c>
      <c r="Q78" s="500">
        <f t="shared" si="9"/>
        <v>8.0251788351809701</v>
      </c>
      <c r="R78" s="500">
        <f t="shared" si="9"/>
        <v>8.6425002840410432</v>
      </c>
      <c r="S78" s="500">
        <f t="shared" si="9"/>
        <v>9.8771431817611948</v>
      </c>
    </row>
    <row r="79" spans="1:19" ht="45">
      <c r="A79" s="396" t="s">
        <v>544</v>
      </c>
      <c r="B79" s="500">
        <f>RICON_Edelstahl!C116</f>
        <v>13.4</v>
      </c>
      <c r="C79" s="500">
        <f>RICON_Edelstahl!F116</f>
        <v>18.895106886040168</v>
      </c>
      <c r="D79" s="500">
        <f t="shared" si="7"/>
        <v>7.2673488023231414</v>
      </c>
      <c r="E79" s="500">
        <f t="shared" si="8"/>
        <v>7.9940836825554564</v>
      </c>
      <c r="F79" s="500">
        <f t="shared" si="8"/>
        <v>9.4475534430200838</v>
      </c>
      <c r="G79" s="500">
        <f t="shared" si="8"/>
        <v>10.174288323252396</v>
      </c>
      <c r="H79" s="500">
        <f t="shared" si="8"/>
        <v>11.627758083717026</v>
      </c>
      <c r="K79" s="396" t="s">
        <v>545</v>
      </c>
      <c r="L79" s="525" t="s">
        <v>482</v>
      </c>
      <c r="M79" s="500">
        <f>RICON_Edelstahl!C116</f>
        <v>13.4</v>
      </c>
      <c r="N79" s="500">
        <f>RICON_Edelstahl!F116</f>
        <v>18.895106886040168</v>
      </c>
      <c r="O79" s="500">
        <f t="shared" si="9"/>
        <v>7.2673488023231414</v>
      </c>
      <c r="P79" s="500">
        <f t="shared" si="9"/>
        <v>7.9940836825554564</v>
      </c>
      <c r="Q79" s="500">
        <f t="shared" si="9"/>
        <v>9.4475534430200838</v>
      </c>
      <c r="R79" s="500">
        <f t="shared" si="9"/>
        <v>10.174288323252396</v>
      </c>
      <c r="S79" s="500">
        <f t="shared" si="9"/>
        <v>11.627758083717026</v>
      </c>
    </row>
    <row r="80" spans="1:19" ht="45">
      <c r="A80" s="396" t="s">
        <v>546</v>
      </c>
      <c r="B80" s="500">
        <f>RICON_Edelstahl!C117</f>
        <v>8.1999999999999993</v>
      </c>
      <c r="C80" s="500">
        <f>RICON_Edelstahl!F117</f>
        <v>12.696539642830006</v>
      </c>
      <c r="D80" s="500">
        <f t="shared" si="7"/>
        <v>4.8832844780115403</v>
      </c>
      <c r="E80" s="500">
        <f t="shared" si="8"/>
        <v>5.3716129258126948</v>
      </c>
      <c r="F80" s="500">
        <f t="shared" si="8"/>
        <v>6.3482698214150037</v>
      </c>
      <c r="G80" s="500">
        <f t="shared" si="8"/>
        <v>6.8365982692161564</v>
      </c>
      <c r="H80" s="500">
        <f t="shared" si="8"/>
        <v>7.8132551648184654</v>
      </c>
      <c r="K80" s="396" t="s">
        <v>547</v>
      </c>
      <c r="L80" s="525" t="s">
        <v>482</v>
      </c>
      <c r="M80" s="500">
        <f>RICON_Edelstahl!C117</f>
        <v>8.1999999999999993</v>
      </c>
      <c r="N80" s="500">
        <f>RICON_Edelstahl!F117</f>
        <v>12.696539642830006</v>
      </c>
      <c r="O80" s="500">
        <f t="shared" si="9"/>
        <v>4.8832844780115403</v>
      </c>
      <c r="P80" s="500">
        <f t="shared" si="9"/>
        <v>5.3716129258126948</v>
      </c>
      <c r="Q80" s="500">
        <f t="shared" si="9"/>
        <v>6.3482698214150037</v>
      </c>
      <c r="R80" s="500">
        <f t="shared" si="9"/>
        <v>6.8365982692161564</v>
      </c>
      <c r="S80" s="500">
        <f t="shared" si="9"/>
        <v>7.8132551648184654</v>
      </c>
    </row>
    <row r="81" spans="1:19" ht="45">
      <c r="A81" s="396" t="s">
        <v>548</v>
      </c>
      <c r="B81" s="500">
        <f>RICON_Edelstahl!C118</f>
        <v>10.4</v>
      </c>
      <c r="C81" s="500">
        <f>RICON_Edelstahl!F118</f>
        <v>18.386038074186459</v>
      </c>
      <c r="D81" s="500">
        <f t="shared" si="7"/>
        <v>7.0715531054563296</v>
      </c>
      <c r="E81" s="500">
        <f t="shared" si="8"/>
        <v>7.7787084160019635</v>
      </c>
      <c r="F81" s="500">
        <f t="shared" si="8"/>
        <v>9.1930190370932294</v>
      </c>
      <c r="G81" s="500">
        <f t="shared" si="8"/>
        <v>9.9001743476388615</v>
      </c>
      <c r="H81" s="500">
        <f t="shared" si="8"/>
        <v>10.4</v>
      </c>
      <c r="K81" s="396" t="s">
        <v>549</v>
      </c>
      <c r="L81" s="525" t="s">
        <v>483</v>
      </c>
      <c r="M81" s="500">
        <f>RICON_Edelstahl!C118</f>
        <v>10.4</v>
      </c>
      <c r="N81" s="500">
        <f>RICON_Edelstahl!F118</f>
        <v>18.386038074186459</v>
      </c>
      <c r="O81" s="500">
        <f t="shared" si="9"/>
        <v>7.0715531054563296</v>
      </c>
      <c r="P81" s="500">
        <f t="shared" si="9"/>
        <v>7.7787084160019635</v>
      </c>
      <c r="Q81" s="500">
        <f t="shared" si="9"/>
        <v>9.1930190370932294</v>
      </c>
      <c r="R81" s="500">
        <f t="shared" si="9"/>
        <v>9.9001743476388615</v>
      </c>
      <c r="S81" s="500">
        <f t="shared" si="9"/>
        <v>10.4</v>
      </c>
    </row>
    <row r="82" spans="1:19" ht="45">
      <c r="A82" s="396" t="s">
        <v>550</v>
      </c>
      <c r="B82" s="500">
        <f>RICON_Edelstahl!C119</f>
        <v>13.4</v>
      </c>
      <c r="C82" s="500">
        <f>RICON_Edelstahl!F119</f>
        <v>24.07553650554291</v>
      </c>
      <c r="D82" s="500">
        <f t="shared" si="7"/>
        <v>9.2598217329011199</v>
      </c>
      <c r="E82" s="500">
        <f t="shared" si="8"/>
        <v>10.185803906191232</v>
      </c>
      <c r="F82" s="500">
        <f t="shared" si="8"/>
        <v>12.037768252771455</v>
      </c>
      <c r="G82" s="500">
        <f t="shared" si="8"/>
        <v>12.963750426061566</v>
      </c>
      <c r="H82" s="500">
        <f t="shared" si="8"/>
        <v>13.4</v>
      </c>
      <c r="K82" s="396" t="s">
        <v>551</v>
      </c>
      <c r="L82" s="525" t="s">
        <v>484</v>
      </c>
      <c r="M82" s="500">
        <f>RICON_Edelstahl!C119</f>
        <v>13.4</v>
      </c>
      <c r="N82" s="500">
        <f>RICON_Edelstahl!F119</f>
        <v>24.07553650554291</v>
      </c>
      <c r="O82" s="500">
        <f t="shared" si="9"/>
        <v>9.2598217329011199</v>
      </c>
      <c r="P82" s="500">
        <f t="shared" si="9"/>
        <v>10.185803906191232</v>
      </c>
      <c r="Q82" s="500">
        <f t="shared" si="9"/>
        <v>12.037768252771455</v>
      </c>
      <c r="R82" s="500">
        <f t="shared" si="9"/>
        <v>12.963750426061566</v>
      </c>
      <c r="S82" s="500">
        <f t="shared" si="9"/>
        <v>13.4</v>
      </c>
    </row>
    <row r="83" spans="1:19" ht="45">
      <c r="A83" s="396" t="s">
        <v>552</v>
      </c>
      <c r="B83" s="500">
        <f>RICON_Edelstahl!C120</f>
        <v>13.4</v>
      </c>
      <c r="C83" s="500">
        <f>RICON_Edelstahl!F120</f>
        <v>29.765034936899362</v>
      </c>
      <c r="D83" s="500">
        <f t="shared" si="7"/>
        <v>11.448090360345908</v>
      </c>
      <c r="E83" s="500">
        <f t="shared" si="8"/>
        <v>12.592899396380501</v>
      </c>
      <c r="F83" s="500">
        <f t="shared" si="8"/>
        <v>13.4</v>
      </c>
      <c r="G83" s="500">
        <f t="shared" si="8"/>
        <v>13.4</v>
      </c>
      <c r="H83" s="500">
        <f t="shared" si="8"/>
        <v>13.4</v>
      </c>
      <c r="K83" s="396" t="s">
        <v>553</v>
      </c>
      <c r="L83" s="525" t="s">
        <v>485</v>
      </c>
      <c r="M83" s="500">
        <f>RICON_Edelstahl!C120</f>
        <v>13.4</v>
      </c>
      <c r="N83" s="500">
        <f>RICON_Edelstahl!F120</f>
        <v>29.765034936899362</v>
      </c>
      <c r="O83" s="500">
        <f t="shared" si="9"/>
        <v>11.448090360345908</v>
      </c>
      <c r="P83" s="500">
        <f t="shared" si="9"/>
        <v>12.592899396380501</v>
      </c>
      <c r="Q83" s="500">
        <f t="shared" si="9"/>
        <v>13.4</v>
      </c>
      <c r="R83" s="500">
        <f t="shared" si="9"/>
        <v>13.4</v>
      </c>
      <c r="S83" s="500">
        <f t="shared" si="9"/>
        <v>13.4</v>
      </c>
    </row>
    <row r="84" spans="1:19" ht="45.75" thickBot="1">
      <c r="A84" s="438" t="s">
        <v>554</v>
      </c>
      <c r="B84" s="502">
        <f>RICON_Edelstahl!C121</f>
        <v>13.4</v>
      </c>
      <c r="C84" s="502">
        <f>RICON_Edelstahl!F121</f>
        <v>35.454533368255817</v>
      </c>
      <c r="D84" s="502">
        <f t="shared" si="7"/>
        <v>13.4</v>
      </c>
      <c r="E84" s="502">
        <f t="shared" si="8"/>
        <v>13.4</v>
      </c>
      <c r="F84" s="502">
        <f t="shared" si="8"/>
        <v>13.4</v>
      </c>
      <c r="G84" s="502">
        <f t="shared" si="8"/>
        <v>13.4</v>
      </c>
      <c r="H84" s="502">
        <f t="shared" si="8"/>
        <v>13.4</v>
      </c>
      <c r="K84" s="438" t="s">
        <v>555</v>
      </c>
      <c r="L84" s="537" t="s">
        <v>486</v>
      </c>
      <c r="M84" s="502">
        <f>RICON_Edelstahl!C121</f>
        <v>13.4</v>
      </c>
      <c r="N84" s="502">
        <f>RICON_Edelstahl!F121</f>
        <v>35.454533368255817</v>
      </c>
      <c r="O84" s="502">
        <f t="shared" ref="O84:S97" si="10">MIN($B84/1,$C84*O$73/1.3)</f>
        <v>13.4</v>
      </c>
      <c r="P84" s="502">
        <f t="shared" si="10"/>
        <v>13.4</v>
      </c>
      <c r="Q84" s="502">
        <f t="shared" si="10"/>
        <v>13.4</v>
      </c>
      <c r="R84" s="502">
        <f t="shared" si="10"/>
        <v>13.4</v>
      </c>
      <c r="S84" s="502">
        <f t="shared" si="10"/>
        <v>13.4</v>
      </c>
    </row>
    <row r="85" spans="1:19" ht="45.75" thickTop="1">
      <c r="A85" s="411" t="s">
        <v>556</v>
      </c>
      <c r="B85" s="501">
        <f>RICON_Edelstahl!C122</f>
        <v>4.5</v>
      </c>
      <c r="C85" s="501">
        <f>RICON_Edelstahl!F122</f>
        <v>5.1804296195027444</v>
      </c>
      <c r="D85" s="501">
        <f t="shared" si="7"/>
        <v>1.9924729305779785</v>
      </c>
      <c r="E85" s="501">
        <f t="shared" si="8"/>
        <v>2.1917202236357767</v>
      </c>
      <c r="F85" s="501">
        <f t="shared" si="8"/>
        <v>2.5902148097513722</v>
      </c>
      <c r="G85" s="501">
        <f t="shared" si="8"/>
        <v>2.7894621028091695</v>
      </c>
      <c r="H85" s="501">
        <f t="shared" si="8"/>
        <v>3.1879566889247655</v>
      </c>
      <c r="K85" s="411" t="s">
        <v>557</v>
      </c>
      <c r="L85" s="525" t="s">
        <v>491</v>
      </c>
      <c r="M85" s="501">
        <f>RICON_Edelstahl!C122</f>
        <v>4.5</v>
      </c>
      <c r="N85" s="501">
        <f>RICON_Edelstahl!F122</f>
        <v>5.1804296195027444</v>
      </c>
      <c r="O85" s="501">
        <f t="shared" si="10"/>
        <v>1.9924729305779785</v>
      </c>
      <c r="P85" s="501">
        <f t="shared" si="10"/>
        <v>2.1917202236357767</v>
      </c>
      <c r="Q85" s="501">
        <f t="shared" si="10"/>
        <v>2.5902148097513722</v>
      </c>
      <c r="R85" s="501">
        <f t="shared" si="10"/>
        <v>2.7894621028091695</v>
      </c>
      <c r="S85" s="501">
        <f t="shared" si="10"/>
        <v>3.1879566889247655</v>
      </c>
    </row>
    <row r="86" spans="1:19" ht="45">
      <c r="A86" s="396" t="s">
        <v>558</v>
      </c>
      <c r="B86" s="500">
        <f>RICON_Edelstahl!C123</f>
        <v>8.1999999999999993</v>
      </c>
      <c r="C86" s="500">
        <f>RICON_Edelstahl!F123</f>
        <v>7.5161100233272613</v>
      </c>
      <c r="D86" s="500">
        <f t="shared" si="7"/>
        <v>2.8908115474335618</v>
      </c>
      <c r="E86" s="500">
        <f t="shared" si="8"/>
        <v>3.1798927021769181</v>
      </c>
      <c r="F86" s="500">
        <f t="shared" si="8"/>
        <v>3.7580550116636311</v>
      </c>
      <c r="G86" s="500">
        <f t="shared" si="8"/>
        <v>4.0471361664069869</v>
      </c>
      <c r="H86" s="500">
        <f t="shared" si="8"/>
        <v>4.6252984758936995</v>
      </c>
      <c r="K86" s="396" t="s">
        <v>559</v>
      </c>
      <c r="L86" s="525" t="s">
        <v>494</v>
      </c>
      <c r="M86" s="500">
        <f>RICON_Edelstahl!C123</f>
        <v>8.1999999999999993</v>
      </c>
      <c r="N86" s="500">
        <f>RICON_Edelstahl!F123</f>
        <v>7.5161100233272613</v>
      </c>
      <c r="O86" s="500">
        <f t="shared" si="10"/>
        <v>2.8908115474335618</v>
      </c>
      <c r="P86" s="500">
        <f t="shared" si="10"/>
        <v>3.1798927021769181</v>
      </c>
      <c r="Q86" s="500">
        <f t="shared" si="10"/>
        <v>3.7580550116636311</v>
      </c>
      <c r="R86" s="500">
        <f t="shared" si="10"/>
        <v>4.0471361664069869</v>
      </c>
      <c r="S86" s="500">
        <f t="shared" si="10"/>
        <v>4.6252984758936995</v>
      </c>
    </row>
    <row r="87" spans="1:19" ht="45">
      <c r="A87" s="396" t="s">
        <v>560</v>
      </c>
      <c r="B87" s="500">
        <f>RICON_Edelstahl!C124</f>
        <v>10.4</v>
      </c>
      <c r="C87" s="500">
        <f>RICON_Edelstahl!F124</f>
        <v>10.360859239005489</v>
      </c>
      <c r="D87" s="500">
        <f t="shared" si="7"/>
        <v>3.9849458611559569</v>
      </c>
      <c r="E87" s="500">
        <f t="shared" si="8"/>
        <v>4.3834404472715534</v>
      </c>
      <c r="F87" s="500">
        <f t="shared" si="8"/>
        <v>5.1804296195027444</v>
      </c>
      <c r="G87" s="500">
        <f t="shared" si="8"/>
        <v>5.578924205618339</v>
      </c>
      <c r="H87" s="500">
        <f t="shared" si="8"/>
        <v>6.3759133778495309</v>
      </c>
      <c r="K87" s="396" t="s">
        <v>561</v>
      </c>
      <c r="L87" s="525" t="s">
        <v>495</v>
      </c>
      <c r="M87" s="500">
        <f>RICON_Edelstahl!C124</f>
        <v>10.4</v>
      </c>
      <c r="N87" s="500">
        <f>RICON_Edelstahl!F124</f>
        <v>10.360859239005489</v>
      </c>
      <c r="O87" s="500">
        <f t="shared" si="10"/>
        <v>3.9849458611559569</v>
      </c>
      <c r="P87" s="500">
        <f t="shared" si="10"/>
        <v>4.3834404472715534</v>
      </c>
      <c r="Q87" s="500">
        <f t="shared" si="10"/>
        <v>5.1804296195027444</v>
      </c>
      <c r="R87" s="500">
        <f t="shared" si="10"/>
        <v>5.578924205618339</v>
      </c>
      <c r="S87" s="500">
        <f t="shared" si="10"/>
        <v>6.3759133778495309</v>
      </c>
    </row>
    <row r="88" spans="1:19" ht="45">
      <c r="A88" s="396" t="s">
        <v>562</v>
      </c>
      <c r="B88" s="500">
        <f>RICON_Edelstahl!C125</f>
        <v>13.4</v>
      </c>
      <c r="C88" s="500">
        <f>RICON_Edelstahl!F125</f>
        <v>13.205608454683714</v>
      </c>
      <c r="D88" s="500">
        <f t="shared" si="7"/>
        <v>5.0790801748783512</v>
      </c>
      <c r="E88" s="500">
        <f t="shared" si="8"/>
        <v>5.5869881923661877</v>
      </c>
      <c r="F88" s="500">
        <f t="shared" si="8"/>
        <v>6.6028042273418572</v>
      </c>
      <c r="G88" s="500">
        <f t="shared" si="8"/>
        <v>7.1107122448296911</v>
      </c>
      <c r="H88" s="500">
        <f t="shared" si="8"/>
        <v>8.1265282798053633</v>
      </c>
      <c r="K88" s="396" t="s">
        <v>563</v>
      </c>
      <c r="L88" s="525" t="s">
        <v>496</v>
      </c>
      <c r="M88" s="500">
        <f>RICON_Edelstahl!C125</f>
        <v>13.4</v>
      </c>
      <c r="N88" s="500">
        <f>RICON_Edelstahl!F125</f>
        <v>13.205608454683714</v>
      </c>
      <c r="O88" s="500">
        <f t="shared" si="10"/>
        <v>5.0790801748783512</v>
      </c>
      <c r="P88" s="500">
        <f t="shared" si="10"/>
        <v>5.5869881923661877</v>
      </c>
      <c r="Q88" s="500">
        <f t="shared" si="10"/>
        <v>6.6028042273418572</v>
      </c>
      <c r="R88" s="500">
        <f t="shared" si="10"/>
        <v>7.1107122448296911</v>
      </c>
      <c r="S88" s="500">
        <f t="shared" si="10"/>
        <v>8.1265282798053633</v>
      </c>
    </row>
    <row r="89" spans="1:19" ht="45">
      <c r="A89" s="396" t="s">
        <v>564</v>
      </c>
      <c r="B89" s="500">
        <f>RICON_Edelstahl!C126</f>
        <v>13.4</v>
      </c>
      <c r="C89" s="500">
        <f>RICON_Edelstahl!F126</f>
        <v>16.05035767036194</v>
      </c>
      <c r="D89" s="500">
        <f t="shared" si="7"/>
        <v>6.1732144886007463</v>
      </c>
      <c r="E89" s="500">
        <f t="shared" si="8"/>
        <v>6.7905359374608212</v>
      </c>
      <c r="F89" s="500">
        <f t="shared" si="8"/>
        <v>8.0251788351809701</v>
      </c>
      <c r="G89" s="500">
        <f t="shared" si="8"/>
        <v>8.6425002840410432</v>
      </c>
      <c r="H89" s="500">
        <f t="shared" si="8"/>
        <v>9.8771431817611948</v>
      </c>
      <c r="K89" s="396" t="s">
        <v>565</v>
      </c>
      <c r="L89" s="525" t="s">
        <v>497</v>
      </c>
      <c r="M89" s="500">
        <f>RICON_Edelstahl!C126</f>
        <v>13.4</v>
      </c>
      <c r="N89" s="500">
        <f>RICON_Edelstahl!F126</f>
        <v>16.05035767036194</v>
      </c>
      <c r="O89" s="500">
        <f t="shared" si="10"/>
        <v>6.1732144886007463</v>
      </c>
      <c r="P89" s="500">
        <f t="shared" si="10"/>
        <v>6.7905359374608212</v>
      </c>
      <c r="Q89" s="500">
        <f t="shared" si="10"/>
        <v>8.0251788351809701</v>
      </c>
      <c r="R89" s="500">
        <f t="shared" si="10"/>
        <v>8.6425002840410432</v>
      </c>
      <c r="S89" s="500">
        <f t="shared" si="10"/>
        <v>9.8771431817611948</v>
      </c>
    </row>
    <row r="90" spans="1:19" ht="45">
      <c r="A90" s="396" t="s">
        <v>566</v>
      </c>
      <c r="B90" s="500">
        <f>RICON_Edelstahl!C127</f>
        <v>13.4</v>
      </c>
      <c r="C90" s="500">
        <f>RICON_Edelstahl!F127</f>
        <v>18.895106886040168</v>
      </c>
      <c r="D90" s="500">
        <f t="shared" si="7"/>
        <v>7.2673488023231414</v>
      </c>
      <c r="E90" s="500">
        <f t="shared" ref="E90:H97" si="11">MIN($B90/1,$C90*E$73/1.3)</f>
        <v>7.9940836825554564</v>
      </c>
      <c r="F90" s="500">
        <f t="shared" si="11"/>
        <v>9.4475534430200838</v>
      </c>
      <c r="G90" s="500">
        <f t="shared" si="11"/>
        <v>10.174288323252396</v>
      </c>
      <c r="H90" s="500">
        <f t="shared" si="11"/>
        <v>11.627758083717026</v>
      </c>
      <c r="K90" s="396" t="s">
        <v>567</v>
      </c>
      <c r="L90" s="525" t="s">
        <v>482</v>
      </c>
      <c r="M90" s="500">
        <f>RICON_Edelstahl!C127</f>
        <v>13.4</v>
      </c>
      <c r="N90" s="500">
        <f>RICON_Edelstahl!F127</f>
        <v>18.895106886040168</v>
      </c>
      <c r="O90" s="500">
        <f t="shared" si="10"/>
        <v>7.2673488023231414</v>
      </c>
      <c r="P90" s="500">
        <f t="shared" si="10"/>
        <v>7.9940836825554564</v>
      </c>
      <c r="Q90" s="500">
        <f t="shared" si="10"/>
        <v>9.4475534430200838</v>
      </c>
      <c r="R90" s="500">
        <f t="shared" si="10"/>
        <v>10.174288323252396</v>
      </c>
      <c r="S90" s="500">
        <f t="shared" si="10"/>
        <v>11.627758083717026</v>
      </c>
    </row>
    <row r="91" spans="1:19" ht="45">
      <c r="A91" s="396" t="s">
        <v>568</v>
      </c>
      <c r="B91" s="500">
        <f>RICON_Edelstahl!C128</f>
        <v>8.1999999999999993</v>
      </c>
      <c r="C91" s="500">
        <f>RICON_Edelstahl!F128</f>
        <v>12.696539642830006</v>
      </c>
      <c r="D91" s="500">
        <f t="shared" si="7"/>
        <v>4.8832844780115403</v>
      </c>
      <c r="E91" s="500">
        <f t="shared" si="11"/>
        <v>5.3716129258126948</v>
      </c>
      <c r="F91" s="500">
        <f t="shared" si="11"/>
        <v>6.3482698214150037</v>
      </c>
      <c r="G91" s="500">
        <f t="shared" si="11"/>
        <v>6.8365982692161564</v>
      </c>
      <c r="H91" s="500">
        <f t="shared" si="11"/>
        <v>7.8132551648184654</v>
      </c>
      <c r="K91" s="396" t="s">
        <v>569</v>
      </c>
      <c r="L91" s="525" t="s">
        <v>482</v>
      </c>
      <c r="M91" s="500">
        <f>RICON_Edelstahl!C128</f>
        <v>8.1999999999999993</v>
      </c>
      <c r="N91" s="500">
        <f>RICON_Edelstahl!F128</f>
        <v>12.696539642830006</v>
      </c>
      <c r="O91" s="500">
        <f t="shared" si="10"/>
        <v>4.8832844780115403</v>
      </c>
      <c r="P91" s="500">
        <f t="shared" si="10"/>
        <v>5.3716129258126948</v>
      </c>
      <c r="Q91" s="500">
        <f t="shared" si="10"/>
        <v>6.3482698214150037</v>
      </c>
      <c r="R91" s="500">
        <f t="shared" si="10"/>
        <v>6.8365982692161564</v>
      </c>
      <c r="S91" s="500">
        <f t="shared" si="10"/>
        <v>7.8132551648184654</v>
      </c>
    </row>
    <row r="92" spans="1:19" ht="45">
      <c r="A92" s="396" t="s">
        <v>570</v>
      </c>
      <c r="B92" s="500">
        <f>RICON_Edelstahl!C129</f>
        <v>10.4</v>
      </c>
      <c r="C92" s="500">
        <f>RICON_Edelstahl!F129</f>
        <v>18.386038074186459</v>
      </c>
      <c r="D92" s="500">
        <f t="shared" si="7"/>
        <v>7.0715531054563296</v>
      </c>
      <c r="E92" s="500">
        <f t="shared" si="11"/>
        <v>7.7787084160019635</v>
      </c>
      <c r="F92" s="500">
        <f t="shared" si="11"/>
        <v>9.1930190370932294</v>
      </c>
      <c r="G92" s="500">
        <f t="shared" si="11"/>
        <v>9.9001743476388615</v>
      </c>
      <c r="H92" s="500">
        <f t="shared" si="11"/>
        <v>10.4</v>
      </c>
      <c r="K92" s="396" t="s">
        <v>571</v>
      </c>
      <c r="L92" s="525" t="s">
        <v>483</v>
      </c>
      <c r="M92" s="500">
        <f>RICON_Edelstahl!C129</f>
        <v>10.4</v>
      </c>
      <c r="N92" s="500">
        <f>RICON_Edelstahl!F129</f>
        <v>18.386038074186459</v>
      </c>
      <c r="O92" s="500">
        <f t="shared" si="10"/>
        <v>7.0715531054563296</v>
      </c>
      <c r="P92" s="500">
        <f t="shared" si="10"/>
        <v>7.7787084160019635</v>
      </c>
      <c r="Q92" s="500">
        <f t="shared" si="10"/>
        <v>9.1930190370932294</v>
      </c>
      <c r="R92" s="500">
        <f t="shared" si="10"/>
        <v>9.9001743476388615</v>
      </c>
      <c r="S92" s="500">
        <f t="shared" si="10"/>
        <v>10.4</v>
      </c>
    </row>
    <row r="93" spans="1:19" ht="45">
      <c r="A93" s="396" t="s">
        <v>572</v>
      </c>
      <c r="B93" s="500">
        <f>RICON_Edelstahl!C130</f>
        <v>13.4</v>
      </c>
      <c r="C93" s="500">
        <f>RICON_Edelstahl!F130</f>
        <v>24.07553650554291</v>
      </c>
      <c r="D93" s="500">
        <f t="shared" si="7"/>
        <v>9.2598217329011199</v>
      </c>
      <c r="E93" s="500">
        <f t="shared" si="11"/>
        <v>10.185803906191232</v>
      </c>
      <c r="F93" s="500">
        <f t="shared" si="11"/>
        <v>12.037768252771455</v>
      </c>
      <c r="G93" s="500">
        <f t="shared" si="11"/>
        <v>12.963750426061566</v>
      </c>
      <c r="H93" s="500">
        <f t="shared" si="11"/>
        <v>13.4</v>
      </c>
      <c r="K93" s="396" t="s">
        <v>573</v>
      </c>
      <c r="L93" s="525" t="s">
        <v>484</v>
      </c>
      <c r="M93" s="500">
        <f>RICON_Edelstahl!C130</f>
        <v>13.4</v>
      </c>
      <c r="N93" s="500">
        <f>RICON_Edelstahl!F130</f>
        <v>24.07553650554291</v>
      </c>
      <c r="O93" s="500">
        <f t="shared" si="10"/>
        <v>9.2598217329011199</v>
      </c>
      <c r="P93" s="500">
        <f t="shared" si="10"/>
        <v>10.185803906191232</v>
      </c>
      <c r="Q93" s="500">
        <f t="shared" si="10"/>
        <v>12.037768252771455</v>
      </c>
      <c r="R93" s="500">
        <f t="shared" si="10"/>
        <v>12.963750426061566</v>
      </c>
      <c r="S93" s="500">
        <f t="shared" si="10"/>
        <v>13.4</v>
      </c>
    </row>
    <row r="94" spans="1:19" ht="45">
      <c r="A94" s="396" t="s">
        <v>574</v>
      </c>
      <c r="B94" s="500">
        <f>RICON_Edelstahl!C131</f>
        <v>13.4</v>
      </c>
      <c r="C94" s="500">
        <f>RICON_Edelstahl!F131</f>
        <v>29.765034936899362</v>
      </c>
      <c r="D94" s="500">
        <f t="shared" si="7"/>
        <v>11.448090360345908</v>
      </c>
      <c r="E94" s="500">
        <f t="shared" si="11"/>
        <v>12.592899396380501</v>
      </c>
      <c r="F94" s="500">
        <f t="shared" si="11"/>
        <v>13.4</v>
      </c>
      <c r="G94" s="500">
        <f t="shared" si="11"/>
        <v>13.4</v>
      </c>
      <c r="H94" s="500">
        <f t="shared" si="11"/>
        <v>13.4</v>
      </c>
      <c r="K94" s="396" t="s">
        <v>575</v>
      </c>
      <c r="L94" s="525" t="s">
        <v>485</v>
      </c>
      <c r="M94" s="500">
        <f>RICON_Edelstahl!C131</f>
        <v>13.4</v>
      </c>
      <c r="N94" s="500">
        <f>RICON_Edelstahl!F131</f>
        <v>29.765034936899362</v>
      </c>
      <c r="O94" s="500">
        <f t="shared" si="10"/>
        <v>11.448090360345908</v>
      </c>
      <c r="P94" s="500">
        <f t="shared" si="10"/>
        <v>12.592899396380501</v>
      </c>
      <c r="Q94" s="500">
        <f t="shared" si="10"/>
        <v>13.4</v>
      </c>
      <c r="R94" s="500">
        <f t="shared" si="10"/>
        <v>13.4</v>
      </c>
      <c r="S94" s="500">
        <f t="shared" si="10"/>
        <v>13.4</v>
      </c>
    </row>
    <row r="95" spans="1:19" ht="45.75" thickBot="1">
      <c r="A95" s="438" t="s">
        <v>576</v>
      </c>
      <c r="B95" s="502">
        <f>RICON_Edelstahl!C132</f>
        <v>13.4</v>
      </c>
      <c r="C95" s="502">
        <f>RICON_Edelstahl!F132</f>
        <v>35.454533368255817</v>
      </c>
      <c r="D95" s="502">
        <f t="shared" si="7"/>
        <v>13.4</v>
      </c>
      <c r="E95" s="502">
        <f t="shared" si="11"/>
        <v>13.4</v>
      </c>
      <c r="F95" s="502">
        <f t="shared" si="11"/>
        <v>13.4</v>
      </c>
      <c r="G95" s="502">
        <f t="shared" si="11"/>
        <v>13.4</v>
      </c>
      <c r="H95" s="502">
        <f t="shared" si="11"/>
        <v>13.4</v>
      </c>
      <c r="K95" s="438" t="s">
        <v>577</v>
      </c>
      <c r="L95" s="537" t="s">
        <v>486</v>
      </c>
      <c r="M95" s="502">
        <f>RICON_Edelstahl!C132</f>
        <v>13.4</v>
      </c>
      <c r="N95" s="502">
        <f>RICON_Edelstahl!F132</f>
        <v>35.454533368255817</v>
      </c>
      <c r="O95" s="502">
        <f t="shared" si="10"/>
        <v>13.4</v>
      </c>
      <c r="P95" s="502">
        <f t="shared" si="10"/>
        <v>13.4</v>
      </c>
      <c r="Q95" s="502">
        <f t="shared" si="10"/>
        <v>13.4</v>
      </c>
      <c r="R95" s="502">
        <f t="shared" si="10"/>
        <v>13.4</v>
      </c>
      <c r="S95" s="502">
        <f t="shared" si="10"/>
        <v>13.4</v>
      </c>
    </row>
    <row r="96" spans="1:19" ht="45.75" thickTop="1">
      <c r="A96" s="411" t="s">
        <v>578</v>
      </c>
      <c r="B96" s="501">
        <f>RICON_Edelstahl!C133</f>
        <v>3.7</v>
      </c>
      <c r="C96" s="501">
        <f>RICON_Edelstahl!F133</f>
        <v>5.0646478158177981</v>
      </c>
      <c r="D96" s="501">
        <f t="shared" si="7"/>
        <v>1.94794146762223</v>
      </c>
      <c r="E96" s="501">
        <f t="shared" si="11"/>
        <v>2.1427356143844531</v>
      </c>
      <c r="F96" s="501">
        <f t="shared" si="11"/>
        <v>2.5323239079088991</v>
      </c>
      <c r="G96" s="501">
        <f t="shared" si="11"/>
        <v>2.7271180546711218</v>
      </c>
      <c r="H96" s="501">
        <f t="shared" si="11"/>
        <v>3.1167063481955686</v>
      </c>
      <c r="K96" s="411" t="s">
        <v>579</v>
      </c>
      <c r="L96" s="536" t="s">
        <v>616</v>
      </c>
      <c r="M96" s="501">
        <f>RICON_Edelstahl!C133</f>
        <v>3.7</v>
      </c>
      <c r="N96" s="501">
        <f>RICON_Edelstahl!F133</f>
        <v>5.0646478158177981</v>
      </c>
      <c r="O96" s="501">
        <f t="shared" si="10"/>
        <v>1.94794146762223</v>
      </c>
      <c r="P96" s="501">
        <f t="shared" si="10"/>
        <v>2.1427356143844531</v>
      </c>
      <c r="Q96" s="501">
        <f t="shared" si="10"/>
        <v>2.5323239079088991</v>
      </c>
      <c r="R96" s="501">
        <f t="shared" si="10"/>
        <v>2.7271180546711218</v>
      </c>
      <c r="S96" s="501">
        <f t="shared" si="10"/>
        <v>3.1167063481955686</v>
      </c>
    </row>
    <row r="97" spans="1:19" ht="45">
      <c r="A97" s="411" t="s">
        <v>580</v>
      </c>
      <c r="B97" s="500">
        <f>RICON_Edelstahl!C134</f>
        <v>3.7</v>
      </c>
      <c r="C97" s="500">
        <f>RICON_Edelstahl!F134</f>
        <v>5.0646478158177981</v>
      </c>
      <c r="D97" s="500">
        <f t="shared" si="7"/>
        <v>1.94794146762223</v>
      </c>
      <c r="E97" s="500">
        <f t="shared" si="11"/>
        <v>2.1427356143844531</v>
      </c>
      <c r="F97" s="500">
        <f t="shared" si="11"/>
        <v>2.5323239079088991</v>
      </c>
      <c r="G97" s="500">
        <f t="shared" si="11"/>
        <v>2.7271180546711218</v>
      </c>
      <c r="H97" s="500">
        <f t="shared" si="11"/>
        <v>3.1167063481955686</v>
      </c>
      <c r="K97" s="411" t="s">
        <v>581</v>
      </c>
      <c r="L97" s="536" t="s">
        <v>615</v>
      </c>
      <c r="M97" s="500">
        <f>RICON_Edelstahl!C134</f>
        <v>3.7</v>
      </c>
      <c r="N97" s="500">
        <f>RICON_Edelstahl!F134</f>
        <v>5.0646478158177981</v>
      </c>
      <c r="O97" s="500">
        <f t="shared" si="10"/>
        <v>1.94794146762223</v>
      </c>
      <c r="P97" s="500">
        <f t="shared" si="10"/>
        <v>2.1427356143844531</v>
      </c>
      <c r="Q97" s="500">
        <f t="shared" si="10"/>
        <v>2.5323239079088991</v>
      </c>
      <c r="R97" s="500">
        <f t="shared" si="10"/>
        <v>2.7271180546711218</v>
      </c>
      <c r="S97" s="500">
        <f t="shared" si="10"/>
        <v>3.1167063481955686</v>
      </c>
    </row>
    <row r="98" spans="1:19">
      <c r="A98" s="418"/>
      <c r="B98" s="510"/>
      <c r="C98" s="510"/>
      <c r="D98" s="510"/>
      <c r="E98" s="510"/>
      <c r="F98" s="510"/>
      <c r="G98" s="510"/>
      <c r="H98" s="510"/>
      <c r="K98" s="418"/>
      <c r="L98" s="418"/>
      <c r="M98" s="510"/>
      <c r="N98" s="510"/>
      <c r="O98" s="510"/>
      <c r="P98" s="510"/>
      <c r="Q98" s="510"/>
      <c r="R98" s="510"/>
      <c r="S98" s="510"/>
    </row>
    <row r="99" spans="1:19">
      <c r="A99" s="418"/>
      <c r="B99" s="510"/>
      <c r="C99" s="510"/>
      <c r="D99" s="510"/>
      <c r="E99" s="510"/>
      <c r="F99" s="510"/>
      <c r="G99" s="510"/>
      <c r="H99" s="510"/>
      <c r="K99" s="418"/>
      <c r="L99" s="418"/>
      <c r="M99" s="510"/>
      <c r="N99" s="510"/>
      <c r="O99" s="510"/>
      <c r="P99" s="510"/>
      <c r="Q99" s="510"/>
      <c r="R99" s="510"/>
      <c r="S99" s="510"/>
    </row>
    <row r="100" spans="1:19" ht="18.75">
      <c r="A100" s="767" t="s">
        <v>472</v>
      </c>
      <c r="B100" s="767"/>
      <c r="C100" s="767"/>
      <c r="D100" s="767"/>
      <c r="E100" s="767"/>
      <c r="F100" s="767"/>
      <c r="G100" s="767"/>
      <c r="H100" s="767"/>
      <c r="K100" s="767" t="s">
        <v>473</v>
      </c>
      <c r="L100" s="767"/>
      <c r="M100" s="767"/>
      <c r="N100" s="767"/>
      <c r="O100" s="767"/>
      <c r="P100" s="767"/>
      <c r="Q100" s="767"/>
      <c r="R100" s="767"/>
      <c r="S100" s="767"/>
    </row>
    <row r="101" spans="1:19" ht="18.75">
      <c r="A101" s="511" t="s">
        <v>507</v>
      </c>
      <c r="K101" s="511" t="s">
        <v>445</v>
      </c>
      <c r="L101" s="511"/>
    </row>
    <row r="102" spans="1:19" ht="18.75">
      <c r="A102" s="511"/>
      <c r="K102" s="511"/>
      <c r="L102" s="511"/>
    </row>
    <row r="103" spans="1:19" ht="18.75">
      <c r="A103" s="511"/>
      <c r="K103" s="511"/>
      <c r="L103" s="511"/>
    </row>
    <row r="104" spans="1:19" ht="18.75">
      <c r="A104" s="511"/>
      <c r="K104" s="511"/>
      <c r="L104" s="511"/>
    </row>
    <row r="105" spans="1:19" ht="18.75">
      <c r="A105" s="511"/>
      <c r="K105" s="511"/>
      <c r="L105" s="511"/>
    </row>
    <row r="106" spans="1:19" ht="18.75">
      <c r="A106" s="511"/>
      <c r="K106" s="511"/>
      <c r="L106" s="511"/>
    </row>
    <row r="107" spans="1:19" ht="18.75">
      <c r="A107" s="511"/>
      <c r="K107" s="511"/>
      <c r="L107" s="511"/>
    </row>
    <row r="108" spans="1:19" ht="18.75">
      <c r="A108" s="511"/>
      <c r="K108" s="511"/>
      <c r="L108" s="511"/>
    </row>
    <row r="109" spans="1:19" ht="21">
      <c r="A109" s="507" t="s">
        <v>415</v>
      </c>
      <c r="K109" s="507" t="s">
        <v>415</v>
      </c>
      <c r="L109" s="507"/>
    </row>
    <row r="110" spans="1:19" ht="15" customHeight="1">
      <c r="A110" s="4" t="s">
        <v>2</v>
      </c>
      <c r="B110" s="682" t="s">
        <v>414</v>
      </c>
      <c r="C110" s="684"/>
      <c r="D110" s="682" t="s">
        <v>421</v>
      </c>
      <c r="E110" s="683"/>
      <c r="F110" s="683"/>
      <c r="G110" s="683"/>
      <c r="H110" s="684"/>
      <c r="K110" s="4" t="s">
        <v>2</v>
      </c>
      <c r="L110" s="535" t="s">
        <v>613</v>
      </c>
      <c r="M110" s="766" t="s">
        <v>450</v>
      </c>
      <c r="N110" s="766"/>
      <c r="O110" s="682" t="s">
        <v>448</v>
      </c>
      <c r="P110" s="683"/>
      <c r="Q110" s="683"/>
      <c r="R110" s="683"/>
      <c r="S110" s="684"/>
    </row>
    <row r="111" spans="1:19" ht="27.75" customHeight="1">
      <c r="A111" s="8"/>
      <c r="B111" s="44" t="s">
        <v>411</v>
      </c>
      <c r="C111" s="44" t="s">
        <v>412</v>
      </c>
      <c r="D111" s="95">
        <v>0.6</v>
      </c>
      <c r="E111" s="95">
        <v>0.7</v>
      </c>
      <c r="F111" s="95">
        <v>0.8</v>
      </c>
      <c r="G111" s="95">
        <v>0.9</v>
      </c>
      <c r="H111" s="95">
        <v>1</v>
      </c>
      <c r="K111" s="8"/>
      <c r="L111" s="534" t="s">
        <v>612</v>
      </c>
      <c r="M111" s="44" t="s">
        <v>411</v>
      </c>
      <c r="N111" s="44" t="s">
        <v>412</v>
      </c>
      <c r="O111" s="95">
        <v>0.6</v>
      </c>
      <c r="P111" s="95">
        <v>0.7</v>
      </c>
      <c r="Q111" s="95">
        <v>0.8</v>
      </c>
      <c r="R111" s="95">
        <v>0.9</v>
      </c>
      <c r="S111" s="95">
        <v>1</v>
      </c>
    </row>
    <row r="112" spans="1:19" ht="45">
      <c r="A112" s="68" t="s">
        <v>583</v>
      </c>
      <c r="B112" s="500">
        <f>'RICON_RICON-S-EK_GIGANT_WALCO '!C101</f>
        <v>17</v>
      </c>
      <c r="C112" s="500">
        <f>'RICON_RICON-S-EK_GIGANT_WALCO '!F101</f>
        <v>12.49450681193213</v>
      </c>
      <c r="D112" s="500">
        <f>MIN($B112/1,$C112*D$111/1.3)</f>
        <v>5.7666954516609827</v>
      </c>
      <c r="E112" s="500">
        <f t="shared" ref="E112:H116" si="12">MIN($B112/1,$C112*E$111/1.3)</f>
        <v>6.7278113602711462</v>
      </c>
      <c r="F112" s="500">
        <f t="shared" si="12"/>
        <v>7.6889272688813115</v>
      </c>
      <c r="G112" s="500">
        <f t="shared" si="12"/>
        <v>8.6500431774914741</v>
      </c>
      <c r="H112" s="500">
        <f t="shared" si="12"/>
        <v>9.6111590861016385</v>
      </c>
      <c r="K112" s="68" t="s">
        <v>584</v>
      </c>
      <c r="L112" s="527" t="s">
        <v>617</v>
      </c>
      <c r="M112" s="500">
        <f>'RICON_RICON-S-EK_GIGANT_WALCO '!C101</f>
        <v>17</v>
      </c>
      <c r="N112" s="500">
        <f>'RICON_RICON-S-EK_GIGANT_WALCO '!F101</f>
        <v>12.49450681193213</v>
      </c>
      <c r="O112" s="500">
        <f t="shared" ref="O112:S116" si="13">MIN($B112/1,$C112*O$111/1.3)</f>
        <v>5.7666954516609827</v>
      </c>
      <c r="P112" s="500">
        <f t="shared" si="13"/>
        <v>6.7278113602711462</v>
      </c>
      <c r="Q112" s="500">
        <f t="shared" si="13"/>
        <v>7.6889272688813115</v>
      </c>
      <c r="R112" s="500">
        <f t="shared" si="13"/>
        <v>8.6500431774914741</v>
      </c>
      <c r="S112" s="500">
        <f t="shared" si="13"/>
        <v>9.6111590861016385</v>
      </c>
    </row>
    <row r="113" spans="1:19" ht="60">
      <c r="A113" s="67" t="s">
        <v>585</v>
      </c>
      <c r="B113" s="500">
        <f>'RICON_RICON-S-EK_GIGANT_WALCO '!C103</f>
        <v>24</v>
      </c>
      <c r="C113" s="500">
        <f>'RICON_RICON-S-EK_GIGANT_WALCO '!F103</f>
        <v>16.659342415909506</v>
      </c>
      <c r="D113" s="500">
        <f>MIN($B113/1,$C113*D$111/1.3)</f>
        <v>7.6889272688813097</v>
      </c>
      <c r="E113" s="500">
        <f t="shared" si="12"/>
        <v>8.970415147028195</v>
      </c>
      <c r="F113" s="500">
        <f t="shared" si="12"/>
        <v>10.251903025175082</v>
      </c>
      <c r="G113" s="500">
        <f t="shared" si="12"/>
        <v>11.533390903321965</v>
      </c>
      <c r="H113" s="500">
        <f t="shared" si="12"/>
        <v>12.814878781468851</v>
      </c>
      <c r="K113" s="67" t="s">
        <v>586</v>
      </c>
      <c r="L113" s="527" t="s">
        <v>630</v>
      </c>
      <c r="M113" s="500">
        <f>'RICON_RICON-S-EK_GIGANT_WALCO '!C103</f>
        <v>24</v>
      </c>
      <c r="N113" s="500">
        <f>'RICON_RICON-S-EK_GIGANT_WALCO '!F103</f>
        <v>16.659342415909506</v>
      </c>
      <c r="O113" s="500">
        <f t="shared" si="13"/>
        <v>7.6889272688813097</v>
      </c>
      <c r="P113" s="500">
        <f t="shared" si="13"/>
        <v>8.970415147028195</v>
      </c>
      <c r="Q113" s="500">
        <f t="shared" si="13"/>
        <v>10.251903025175082</v>
      </c>
      <c r="R113" s="500">
        <f t="shared" si="13"/>
        <v>11.533390903321965</v>
      </c>
      <c r="S113" s="500">
        <f t="shared" si="13"/>
        <v>12.814878781468851</v>
      </c>
    </row>
    <row r="114" spans="1:19" ht="60">
      <c r="A114" s="67" t="s">
        <v>587</v>
      </c>
      <c r="B114" s="500">
        <f>'RICON_RICON-S-EK_GIGANT_WALCO '!C105</f>
        <v>24</v>
      </c>
      <c r="C114" s="500">
        <f>'RICON_RICON-S-EK_GIGANT_WALCO '!F105</f>
        <v>16.659342415909506</v>
      </c>
      <c r="D114" s="500">
        <f>MIN($B114/1,$C114*D$111/1.3)</f>
        <v>7.6889272688813097</v>
      </c>
      <c r="E114" s="500">
        <f t="shared" si="12"/>
        <v>8.970415147028195</v>
      </c>
      <c r="F114" s="500">
        <f t="shared" si="12"/>
        <v>10.251903025175082</v>
      </c>
      <c r="G114" s="500">
        <f t="shared" si="12"/>
        <v>11.533390903321965</v>
      </c>
      <c r="H114" s="500">
        <f t="shared" si="12"/>
        <v>12.814878781468851</v>
      </c>
      <c r="K114" s="67" t="s">
        <v>588</v>
      </c>
      <c r="L114" s="527" t="s">
        <v>631</v>
      </c>
      <c r="M114" s="500">
        <f>'RICON_RICON-S-EK_GIGANT_WALCO '!C105</f>
        <v>24</v>
      </c>
      <c r="N114" s="500">
        <f>'RICON_RICON-S-EK_GIGANT_WALCO '!F105</f>
        <v>16.659342415909506</v>
      </c>
      <c r="O114" s="500">
        <f t="shared" si="13"/>
        <v>7.6889272688813097</v>
      </c>
      <c r="P114" s="500">
        <f t="shared" si="13"/>
        <v>8.970415147028195</v>
      </c>
      <c r="Q114" s="500">
        <f t="shared" si="13"/>
        <v>10.251903025175082</v>
      </c>
      <c r="R114" s="500">
        <f t="shared" si="13"/>
        <v>11.533390903321965</v>
      </c>
      <c r="S114" s="500">
        <f t="shared" si="13"/>
        <v>12.814878781468851</v>
      </c>
    </row>
    <row r="115" spans="1:19" ht="60">
      <c r="A115" s="67" t="s">
        <v>589</v>
      </c>
      <c r="B115" s="500">
        <f>'RICON_RICON-S-EK_GIGANT_WALCO '!C106</f>
        <v>33</v>
      </c>
      <c r="C115" s="500">
        <f>'RICON_RICON-S-EK_GIGANT_WALCO '!F106</f>
        <v>24.98901362386426</v>
      </c>
      <c r="D115" s="500">
        <f>MIN($B115/1,$C115*D$111/1.3)</f>
        <v>11.533390903321965</v>
      </c>
      <c r="E115" s="500">
        <f t="shared" si="12"/>
        <v>13.455622720542292</v>
      </c>
      <c r="F115" s="500">
        <f t="shared" si="12"/>
        <v>15.377854537762623</v>
      </c>
      <c r="G115" s="500">
        <f t="shared" si="12"/>
        <v>17.300086354982948</v>
      </c>
      <c r="H115" s="500">
        <f t="shared" si="12"/>
        <v>19.222318172203277</v>
      </c>
      <c r="K115" s="67" t="s">
        <v>590</v>
      </c>
      <c r="L115" s="527" t="s">
        <v>632</v>
      </c>
      <c r="M115" s="500">
        <f>'RICON_RICON-S-EK_GIGANT_WALCO '!C106</f>
        <v>33</v>
      </c>
      <c r="N115" s="500">
        <f>'RICON_RICON-S-EK_GIGANT_WALCO '!F106</f>
        <v>24.98901362386426</v>
      </c>
      <c r="O115" s="500">
        <f t="shared" si="13"/>
        <v>11.533390903321965</v>
      </c>
      <c r="P115" s="500">
        <f t="shared" si="13"/>
        <v>13.455622720542292</v>
      </c>
      <c r="Q115" s="500">
        <f t="shared" si="13"/>
        <v>15.377854537762623</v>
      </c>
      <c r="R115" s="500">
        <f t="shared" si="13"/>
        <v>17.300086354982948</v>
      </c>
      <c r="S115" s="500">
        <f t="shared" si="13"/>
        <v>19.222318172203277</v>
      </c>
    </row>
    <row r="116" spans="1:19" ht="60">
      <c r="A116" s="67" t="s">
        <v>591</v>
      </c>
      <c r="B116" s="500">
        <f>'RICON_RICON-S-EK_GIGANT_WALCO '!C108</f>
        <v>33</v>
      </c>
      <c r="C116" s="500">
        <f>'RICON_RICON-S-EK_GIGANT_WALCO '!F108</f>
        <v>20.824178019886883</v>
      </c>
      <c r="D116" s="500">
        <f>MIN($B116/1,$C116*D$111/1.3)</f>
        <v>9.6111590861016385</v>
      </c>
      <c r="E116" s="500">
        <f t="shared" si="12"/>
        <v>11.213018933785243</v>
      </c>
      <c r="F116" s="500">
        <f t="shared" si="12"/>
        <v>12.814878781468851</v>
      </c>
      <c r="G116" s="500">
        <f t="shared" si="12"/>
        <v>14.416738629152459</v>
      </c>
      <c r="H116" s="500">
        <f t="shared" si="12"/>
        <v>16.018598476836065</v>
      </c>
      <c r="K116" s="67" t="s">
        <v>592</v>
      </c>
      <c r="L116" s="527" t="s">
        <v>633</v>
      </c>
      <c r="M116" s="500">
        <f>'RICON_RICON-S-EK_GIGANT_WALCO '!C108</f>
        <v>33</v>
      </c>
      <c r="N116" s="500">
        <f>'RICON_RICON-S-EK_GIGANT_WALCO '!F108</f>
        <v>20.824178019886883</v>
      </c>
      <c r="O116" s="500">
        <f t="shared" si="13"/>
        <v>9.6111590861016385</v>
      </c>
      <c r="P116" s="500">
        <f t="shared" si="13"/>
        <v>11.213018933785243</v>
      </c>
      <c r="Q116" s="500">
        <f t="shared" si="13"/>
        <v>12.814878781468851</v>
      </c>
      <c r="R116" s="500">
        <f t="shared" si="13"/>
        <v>14.416738629152459</v>
      </c>
      <c r="S116" s="500">
        <f t="shared" si="13"/>
        <v>16.018598476836065</v>
      </c>
    </row>
    <row r="117" spans="1:19">
      <c r="A117" s="503"/>
      <c r="B117" s="510"/>
      <c r="C117" s="510"/>
      <c r="D117" s="510"/>
      <c r="E117" s="510"/>
      <c r="F117" s="510"/>
      <c r="G117" s="510"/>
      <c r="H117" s="510"/>
      <c r="K117" s="503"/>
      <c r="L117" s="503"/>
      <c r="M117" s="510"/>
      <c r="N117" s="510"/>
      <c r="O117" s="510"/>
      <c r="P117" s="510"/>
      <c r="Q117" s="510"/>
      <c r="R117" s="510"/>
      <c r="S117" s="510"/>
    </row>
    <row r="118" spans="1:19">
      <c r="A118" s="503"/>
      <c r="B118" s="510"/>
      <c r="C118" s="510"/>
      <c r="D118" s="510"/>
      <c r="E118" s="510"/>
      <c r="F118" s="510"/>
      <c r="G118" s="510"/>
      <c r="H118" s="510"/>
      <c r="K118" s="503"/>
      <c r="L118" s="503"/>
      <c r="M118" s="510"/>
      <c r="N118" s="510"/>
      <c r="O118" s="510"/>
      <c r="P118" s="510"/>
      <c r="Q118" s="510"/>
      <c r="R118" s="510"/>
      <c r="S118" s="510"/>
    </row>
    <row r="119" spans="1:19">
      <c r="A119" s="503"/>
      <c r="B119" s="510"/>
      <c r="C119" s="510"/>
      <c r="D119" s="510"/>
      <c r="E119" s="510"/>
      <c r="F119" s="510"/>
      <c r="G119" s="510"/>
      <c r="H119" s="510"/>
      <c r="K119" s="503"/>
      <c r="L119" s="503"/>
      <c r="M119" s="510"/>
      <c r="N119" s="510"/>
      <c r="O119" s="510"/>
      <c r="P119" s="510"/>
      <c r="Q119" s="510"/>
      <c r="R119" s="510"/>
      <c r="S119" s="510"/>
    </row>
    <row r="120" spans="1:19">
      <c r="A120" s="503"/>
      <c r="B120" s="510"/>
      <c r="C120" s="510"/>
      <c r="D120" s="510"/>
      <c r="E120" s="510"/>
      <c r="F120" s="510"/>
      <c r="G120" s="510"/>
      <c r="H120" s="510"/>
      <c r="K120" s="503"/>
      <c r="L120" s="503"/>
      <c r="M120" s="510"/>
      <c r="N120" s="510"/>
      <c r="O120" s="510"/>
      <c r="P120" s="510"/>
      <c r="Q120" s="510"/>
      <c r="R120" s="510"/>
      <c r="S120" s="510"/>
    </row>
    <row r="121" spans="1:19">
      <c r="A121" s="503"/>
      <c r="B121" s="510"/>
      <c r="C121" s="510"/>
      <c r="D121" s="510"/>
      <c r="E121" s="510"/>
      <c r="F121" s="510"/>
      <c r="G121" s="510"/>
      <c r="H121" s="510"/>
      <c r="K121" s="503"/>
      <c r="L121" s="503"/>
      <c r="M121" s="510"/>
      <c r="N121" s="510"/>
      <c r="O121" s="510"/>
      <c r="P121" s="510"/>
      <c r="Q121" s="510"/>
      <c r="R121" s="510"/>
      <c r="S121" s="510"/>
    </row>
    <row r="122" spans="1:19" ht="18.75">
      <c r="A122" s="767" t="s">
        <v>472</v>
      </c>
      <c r="B122" s="767"/>
      <c r="C122" s="767"/>
      <c r="D122" s="767"/>
      <c r="E122" s="767"/>
      <c r="F122" s="767"/>
      <c r="G122" s="767"/>
      <c r="H122" s="767"/>
      <c r="K122" s="543" t="s">
        <v>473</v>
      </c>
      <c r="L122" s="543"/>
      <c r="M122" s="543"/>
      <c r="N122" s="543"/>
      <c r="O122" s="543"/>
      <c r="P122" s="543"/>
      <c r="Q122" s="543"/>
      <c r="R122" s="543"/>
      <c r="S122" s="543"/>
    </row>
    <row r="123" spans="1:19" ht="18.75">
      <c r="A123" s="511" t="s">
        <v>507</v>
      </c>
      <c r="K123" s="511" t="s">
        <v>445</v>
      </c>
      <c r="L123" s="511"/>
    </row>
    <row r="124" spans="1:19" ht="18.75">
      <c r="A124" s="511"/>
      <c r="K124" s="511"/>
      <c r="L124" s="511"/>
    </row>
    <row r="125" spans="1:19" ht="18.75">
      <c r="A125" s="511"/>
      <c r="K125" s="511"/>
      <c r="L125" s="511"/>
    </row>
    <row r="126" spans="1:19" ht="18.75">
      <c r="A126" s="511"/>
      <c r="K126" s="511"/>
      <c r="L126" s="511"/>
    </row>
    <row r="127" spans="1:19" ht="18.75">
      <c r="A127" s="511"/>
      <c r="K127" s="511"/>
      <c r="L127" s="511"/>
    </row>
    <row r="128" spans="1:19" ht="18.75">
      <c r="A128" s="511"/>
      <c r="K128" s="511"/>
      <c r="L128" s="511"/>
    </row>
    <row r="129" spans="1:19" ht="18.75">
      <c r="A129" s="511"/>
      <c r="K129" s="511"/>
      <c r="L129" s="511"/>
    </row>
    <row r="130" spans="1:19" ht="18.75">
      <c r="A130" s="511"/>
      <c r="K130" s="511"/>
      <c r="L130" s="511"/>
    </row>
    <row r="131" spans="1:19" ht="18.75">
      <c r="A131" s="511"/>
      <c r="K131" s="511"/>
      <c r="L131" s="511"/>
    </row>
    <row r="132" spans="1:19" ht="18.75">
      <c r="A132" s="511"/>
      <c r="K132" s="511"/>
      <c r="L132" s="511"/>
    </row>
    <row r="133" spans="1:19" ht="21">
      <c r="A133" s="506" t="s">
        <v>419</v>
      </c>
      <c r="K133" s="506" t="s">
        <v>480</v>
      </c>
      <c r="L133" s="506"/>
    </row>
    <row r="134" spans="1:19" ht="15" customHeight="1">
      <c r="A134" s="4" t="s">
        <v>413</v>
      </c>
      <c r="B134" s="682" t="s">
        <v>414</v>
      </c>
      <c r="C134" s="684"/>
      <c r="D134" s="682" t="s">
        <v>421</v>
      </c>
      <c r="E134" s="683"/>
      <c r="F134" s="683"/>
      <c r="G134" s="683"/>
      <c r="H134" s="684"/>
      <c r="K134" s="4" t="s">
        <v>2</v>
      </c>
      <c r="L134" s="535" t="s">
        <v>613</v>
      </c>
      <c r="M134" s="766" t="s">
        <v>450</v>
      </c>
      <c r="N134" s="766"/>
      <c r="O134" s="682" t="s">
        <v>448</v>
      </c>
      <c r="P134" s="683"/>
      <c r="Q134" s="683"/>
      <c r="R134" s="683"/>
      <c r="S134" s="684"/>
    </row>
    <row r="135" spans="1:19">
      <c r="A135" s="8"/>
      <c r="B135" s="44" t="s">
        <v>411</v>
      </c>
      <c r="C135" s="44" t="s">
        <v>412</v>
      </c>
      <c r="D135" s="95">
        <v>0.6</v>
      </c>
      <c r="E135" s="95">
        <v>0.7</v>
      </c>
      <c r="F135" s="95">
        <v>0.8</v>
      </c>
      <c r="G135" s="95">
        <v>0.9</v>
      </c>
      <c r="H135" s="95">
        <v>1</v>
      </c>
      <c r="K135" s="8"/>
      <c r="L135" s="534" t="s">
        <v>612</v>
      </c>
      <c r="M135" s="44" t="s">
        <v>411</v>
      </c>
      <c r="N135" s="44" t="s">
        <v>412</v>
      </c>
      <c r="O135" s="95">
        <v>0.6</v>
      </c>
      <c r="P135" s="95">
        <v>0.7</v>
      </c>
      <c r="Q135" s="95">
        <v>0.8</v>
      </c>
      <c r="R135" s="95">
        <v>0.9</v>
      </c>
      <c r="S135" s="95">
        <v>1</v>
      </c>
    </row>
    <row r="136" spans="1:19" ht="45">
      <c r="A136" s="424" t="s">
        <v>593</v>
      </c>
      <c r="B136" s="500">
        <f>'RICON_RICON-S-EK_GIGANT_WALCO '!C240</f>
        <v>34</v>
      </c>
      <c r="C136" s="500">
        <f>'RICON_RICON-S-EK_GIGANT_WALCO '!F240</f>
        <v>37.149991394525706</v>
      </c>
      <c r="D136" s="500">
        <f t="shared" ref="D136:D141" si="14">MIN($B136/1,$C136*D$135/1.3)</f>
        <v>17.146149874396478</v>
      </c>
      <c r="E136" s="500">
        <f t="shared" ref="E136:H141" si="15">MIN($B136/1,$C136*E$135/1.3)</f>
        <v>20.003841520129225</v>
      </c>
      <c r="F136" s="500">
        <f t="shared" si="15"/>
        <v>22.861533165861974</v>
      </c>
      <c r="G136" s="500">
        <f t="shared" si="15"/>
        <v>25.719224811594717</v>
      </c>
      <c r="H136" s="500">
        <f t="shared" si="15"/>
        <v>28.576916457327464</v>
      </c>
      <c r="K136" s="424" t="s">
        <v>642</v>
      </c>
      <c r="L136" s="532" t="s">
        <v>488</v>
      </c>
      <c r="M136" s="500">
        <f>'RICON_RICON-S-EK_GIGANT_WALCO '!C240</f>
        <v>34</v>
      </c>
      <c r="N136" s="500">
        <f>'RICON_RICON-S-EK_GIGANT_WALCO '!F240</f>
        <v>37.149991394525706</v>
      </c>
      <c r="O136" s="500">
        <f t="shared" ref="O136:S141" si="16">MIN($B136/1,$C136*O$135/1.3)</f>
        <v>17.146149874396478</v>
      </c>
      <c r="P136" s="500">
        <f t="shared" si="16"/>
        <v>20.003841520129225</v>
      </c>
      <c r="Q136" s="500">
        <f t="shared" si="16"/>
        <v>22.861533165861974</v>
      </c>
      <c r="R136" s="500">
        <f t="shared" si="16"/>
        <v>25.719224811594717</v>
      </c>
      <c r="S136" s="500">
        <f t="shared" si="16"/>
        <v>28.576916457327464</v>
      </c>
    </row>
    <row r="137" spans="1:19" ht="45">
      <c r="A137" s="342" t="s">
        <v>594</v>
      </c>
      <c r="B137" s="500">
        <f>'RICON_RICON-S-EK_GIGANT_WALCO '!C241</f>
        <v>34</v>
      </c>
      <c r="C137" s="500">
        <f>'RICON_RICON-S-EK_GIGANT_WALCO '!F241</f>
        <v>40.18125965399701</v>
      </c>
      <c r="D137" s="500">
        <f t="shared" si="14"/>
        <v>18.545196763383235</v>
      </c>
      <c r="E137" s="500">
        <f t="shared" si="15"/>
        <v>21.636062890613772</v>
      </c>
      <c r="F137" s="500">
        <f t="shared" si="15"/>
        <v>24.726929017844313</v>
      </c>
      <c r="G137" s="500">
        <f t="shared" si="15"/>
        <v>27.817795145074854</v>
      </c>
      <c r="H137" s="500">
        <f t="shared" si="15"/>
        <v>30.908661272305391</v>
      </c>
      <c r="K137" s="342" t="s">
        <v>643</v>
      </c>
      <c r="L137" s="530" t="s">
        <v>621</v>
      </c>
      <c r="M137" s="500">
        <f>'RICON_RICON-S-EK_GIGANT_WALCO '!C241</f>
        <v>34</v>
      </c>
      <c r="N137" s="500">
        <f>'RICON_RICON-S-EK_GIGANT_WALCO '!F241</f>
        <v>40.18125965399701</v>
      </c>
      <c r="O137" s="500">
        <f t="shared" si="16"/>
        <v>18.545196763383235</v>
      </c>
      <c r="P137" s="500">
        <f t="shared" si="16"/>
        <v>21.636062890613772</v>
      </c>
      <c r="Q137" s="500">
        <f t="shared" si="16"/>
        <v>24.726929017844313</v>
      </c>
      <c r="R137" s="500">
        <f t="shared" si="16"/>
        <v>27.817795145074854</v>
      </c>
      <c r="S137" s="500">
        <f t="shared" si="16"/>
        <v>30.908661272305391</v>
      </c>
    </row>
    <row r="138" spans="1:19" ht="45">
      <c r="A138" s="342" t="s">
        <v>595</v>
      </c>
      <c r="B138" s="500">
        <f>'RICON_RICON-S-EK_GIGANT_WALCO '!C242</f>
        <v>34</v>
      </c>
      <c r="C138" s="500">
        <f>'RICON_RICON-S-EK_GIGANT_WALCO '!F242</f>
        <v>56.710921194381697</v>
      </c>
      <c r="D138" s="500">
        <f t="shared" si="14"/>
        <v>26.174271320483861</v>
      </c>
      <c r="E138" s="500">
        <f t="shared" si="15"/>
        <v>30.536649873897833</v>
      </c>
      <c r="F138" s="500">
        <f t="shared" si="15"/>
        <v>34</v>
      </c>
      <c r="G138" s="500">
        <f t="shared" si="15"/>
        <v>34</v>
      </c>
      <c r="H138" s="500">
        <f t="shared" si="15"/>
        <v>34</v>
      </c>
      <c r="K138" s="342" t="s">
        <v>644</v>
      </c>
      <c r="L138" s="530" t="s">
        <v>489</v>
      </c>
      <c r="M138" s="500">
        <f>'RICON_RICON-S-EK_GIGANT_WALCO '!C242</f>
        <v>34</v>
      </c>
      <c r="N138" s="500">
        <f>'RICON_RICON-S-EK_GIGANT_WALCO '!F242</f>
        <v>56.710921194381697</v>
      </c>
      <c r="O138" s="500">
        <f t="shared" si="16"/>
        <v>26.174271320483861</v>
      </c>
      <c r="P138" s="500">
        <f t="shared" si="16"/>
        <v>30.536649873897833</v>
      </c>
      <c r="Q138" s="500">
        <f t="shared" si="16"/>
        <v>34</v>
      </c>
      <c r="R138" s="500">
        <f t="shared" si="16"/>
        <v>34</v>
      </c>
      <c r="S138" s="500">
        <f t="shared" si="16"/>
        <v>34</v>
      </c>
    </row>
    <row r="139" spans="1:19" ht="45">
      <c r="A139" s="342" t="s">
        <v>596</v>
      </c>
      <c r="B139" s="500">
        <f>'RICON_RICON-S-EK_GIGANT_WALCO '!C243</f>
        <v>34</v>
      </c>
      <c r="C139" s="500">
        <f>'RICON_RICON-S-EK_GIGANT_WALCO '!F243</f>
        <v>66.480609906200655</v>
      </c>
      <c r="D139" s="500">
        <f t="shared" si="14"/>
        <v>30.683358418246456</v>
      </c>
      <c r="E139" s="500">
        <f t="shared" si="15"/>
        <v>34</v>
      </c>
      <c r="F139" s="500">
        <f t="shared" si="15"/>
        <v>34</v>
      </c>
      <c r="G139" s="500">
        <f t="shared" si="15"/>
        <v>34</v>
      </c>
      <c r="H139" s="500">
        <f t="shared" si="15"/>
        <v>34</v>
      </c>
      <c r="K139" s="342" t="s">
        <v>645</v>
      </c>
      <c r="L139" s="530" t="s">
        <v>622</v>
      </c>
      <c r="M139" s="500">
        <f>'RICON_RICON-S-EK_GIGANT_WALCO '!C243</f>
        <v>34</v>
      </c>
      <c r="N139" s="500">
        <f>'RICON_RICON-S-EK_GIGANT_WALCO '!F243</f>
        <v>66.480609906200655</v>
      </c>
      <c r="O139" s="500">
        <f t="shared" si="16"/>
        <v>30.683358418246456</v>
      </c>
      <c r="P139" s="500">
        <f t="shared" si="16"/>
        <v>34</v>
      </c>
      <c r="Q139" s="500">
        <f t="shared" si="16"/>
        <v>34</v>
      </c>
      <c r="R139" s="500">
        <f t="shared" si="16"/>
        <v>34</v>
      </c>
      <c r="S139" s="500">
        <f t="shared" si="16"/>
        <v>34</v>
      </c>
    </row>
    <row r="140" spans="1:19" ht="45">
      <c r="A140" s="342" t="s">
        <v>597</v>
      </c>
      <c r="B140" s="500">
        <f>'RICON_RICON-S-EK_GIGANT_WALCO '!C244</f>
        <v>50</v>
      </c>
      <c r="C140" s="500">
        <f>'RICON_RICON-S-EK_GIGANT_WALCO '!F244</f>
        <v>79.124951595789881</v>
      </c>
      <c r="D140" s="500">
        <f t="shared" si="14"/>
        <v>36.519208428826097</v>
      </c>
      <c r="E140" s="500">
        <f t="shared" si="15"/>
        <v>42.605743166963784</v>
      </c>
      <c r="F140" s="500">
        <f t="shared" si="15"/>
        <v>48.692277905101463</v>
      </c>
      <c r="G140" s="500">
        <f t="shared" si="15"/>
        <v>50</v>
      </c>
      <c r="H140" s="500">
        <f t="shared" si="15"/>
        <v>50</v>
      </c>
      <c r="K140" s="342" t="s">
        <v>646</v>
      </c>
      <c r="L140" s="530" t="s">
        <v>498</v>
      </c>
      <c r="M140" s="500">
        <f>'RICON_RICON-S-EK_GIGANT_WALCO '!C244</f>
        <v>50</v>
      </c>
      <c r="N140" s="500">
        <f>'RICON_RICON-S-EK_GIGANT_WALCO '!F244</f>
        <v>79.124951595789881</v>
      </c>
      <c r="O140" s="500">
        <f t="shared" si="16"/>
        <v>36.519208428826097</v>
      </c>
      <c r="P140" s="500">
        <f t="shared" si="16"/>
        <v>42.605743166963784</v>
      </c>
      <c r="Q140" s="500">
        <f t="shared" si="16"/>
        <v>48.692277905101463</v>
      </c>
      <c r="R140" s="500">
        <f t="shared" si="16"/>
        <v>50</v>
      </c>
      <c r="S140" s="500">
        <f t="shared" si="16"/>
        <v>50</v>
      </c>
    </row>
    <row r="141" spans="1:19" ht="45">
      <c r="A141" s="342" t="s">
        <v>598</v>
      </c>
      <c r="B141" s="500">
        <f>'RICON_RICON-S-EK_GIGANT_WALCO '!C245</f>
        <v>50</v>
      </c>
      <c r="C141" s="500">
        <f>'RICON_RICON-S-EK_GIGANT_WALCO '!F245</f>
        <v>96.723603718619998</v>
      </c>
      <c r="D141" s="500">
        <f t="shared" si="14"/>
        <v>44.641663254747691</v>
      </c>
      <c r="E141" s="500">
        <f t="shared" si="15"/>
        <v>50</v>
      </c>
      <c r="F141" s="500">
        <f t="shared" si="15"/>
        <v>50</v>
      </c>
      <c r="G141" s="500">
        <f t="shared" si="15"/>
        <v>50</v>
      </c>
      <c r="H141" s="500">
        <f t="shared" si="15"/>
        <v>50</v>
      </c>
      <c r="K141" s="342" t="s">
        <v>647</v>
      </c>
      <c r="L141" s="530" t="s">
        <v>499</v>
      </c>
      <c r="M141" s="500">
        <f>'RICON_RICON-S-EK_GIGANT_WALCO '!C245</f>
        <v>50</v>
      </c>
      <c r="N141" s="500">
        <f>'RICON_RICON-S-EK_GIGANT_WALCO '!F245</f>
        <v>96.723603718619998</v>
      </c>
      <c r="O141" s="500">
        <f t="shared" si="16"/>
        <v>44.641663254747691</v>
      </c>
      <c r="P141" s="500">
        <f t="shared" si="16"/>
        <v>50</v>
      </c>
      <c r="Q141" s="500">
        <f t="shared" si="16"/>
        <v>50</v>
      </c>
      <c r="R141" s="500">
        <f t="shared" si="16"/>
        <v>50</v>
      </c>
      <c r="S141" s="500">
        <f t="shared" si="16"/>
        <v>50</v>
      </c>
    </row>
    <row r="142" spans="1:19">
      <c r="A142" s="504"/>
      <c r="B142" s="510"/>
      <c r="C142" s="510"/>
      <c r="D142" s="510"/>
      <c r="E142" s="510"/>
      <c r="F142" s="510"/>
      <c r="G142" s="510"/>
      <c r="H142" s="510"/>
      <c r="K142" s="504"/>
      <c r="L142" s="504"/>
      <c r="M142" s="510"/>
      <c r="N142" s="510"/>
      <c r="O142" s="510"/>
      <c r="P142" s="510"/>
      <c r="Q142" s="510"/>
      <c r="R142" s="510"/>
      <c r="S142" s="510"/>
    </row>
    <row r="143" spans="1:19">
      <c r="A143" s="504"/>
      <c r="B143" s="510"/>
      <c r="C143" s="510"/>
      <c r="D143" s="510"/>
      <c r="E143" s="510"/>
      <c r="F143" s="510"/>
      <c r="G143" s="510"/>
      <c r="H143" s="510"/>
      <c r="K143" s="504"/>
      <c r="L143" s="504"/>
      <c r="M143" s="510"/>
      <c r="N143" s="510"/>
      <c r="O143" s="510"/>
      <c r="P143" s="510"/>
      <c r="Q143" s="510"/>
      <c r="R143" s="510"/>
      <c r="S143" s="510"/>
    </row>
    <row r="144" spans="1:19">
      <c r="A144" s="504"/>
      <c r="B144" s="510"/>
      <c r="C144" s="510"/>
      <c r="D144" s="510"/>
      <c r="E144" s="510"/>
      <c r="F144" s="510"/>
      <c r="G144" s="510"/>
      <c r="H144" s="510"/>
      <c r="K144" s="504"/>
      <c r="L144" s="504"/>
      <c r="M144" s="510"/>
      <c r="N144" s="510"/>
      <c r="O144" s="510"/>
      <c r="P144" s="510"/>
      <c r="Q144" s="510"/>
      <c r="R144" s="510"/>
      <c r="S144" s="510"/>
    </row>
    <row r="145" spans="1:19">
      <c r="A145" s="504"/>
      <c r="B145" s="510"/>
      <c r="C145" s="510"/>
      <c r="D145" s="510"/>
      <c r="E145" s="510"/>
      <c r="F145" s="510"/>
      <c r="G145" s="510"/>
      <c r="H145" s="510"/>
      <c r="K145" s="504"/>
      <c r="L145" s="504"/>
      <c r="M145" s="510"/>
      <c r="N145" s="510"/>
      <c r="O145" s="510"/>
      <c r="P145" s="510"/>
      <c r="Q145" s="510"/>
      <c r="R145" s="510"/>
      <c r="S145" s="510"/>
    </row>
    <row r="146" spans="1:19">
      <c r="A146" s="504"/>
      <c r="B146" s="510"/>
      <c r="C146" s="510"/>
      <c r="D146" s="510"/>
      <c r="E146" s="510"/>
      <c r="F146" s="510"/>
      <c r="G146" s="510"/>
      <c r="H146" s="510"/>
      <c r="K146" s="504"/>
      <c r="L146" s="504"/>
      <c r="M146" s="510"/>
      <c r="N146" s="510"/>
      <c r="O146" s="510"/>
      <c r="P146" s="510"/>
      <c r="Q146" s="510"/>
      <c r="R146" s="510"/>
      <c r="S146" s="510"/>
    </row>
    <row r="147" spans="1:19" ht="18.75">
      <c r="A147" s="767" t="s">
        <v>472</v>
      </c>
      <c r="B147" s="767"/>
      <c r="C147" s="767"/>
      <c r="D147" s="767"/>
      <c r="E147" s="767"/>
      <c r="F147" s="767"/>
      <c r="G147" s="767"/>
      <c r="H147" s="767"/>
      <c r="K147" s="543" t="s">
        <v>473</v>
      </c>
      <c r="L147" s="543"/>
      <c r="M147" s="543"/>
      <c r="N147" s="543"/>
      <c r="O147" s="543"/>
      <c r="P147" s="543"/>
      <c r="Q147" s="543"/>
      <c r="R147" s="543"/>
      <c r="S147" s="543"/>
    </row>
    <row r="148" spans="1:19" ht="18.75">
      <c r="A148" s="511" t="s">
        <v>507</v>
      </c>
      <c r="K148" s="511" t="s">
        <v>445</v>
      </c>
      <c r="L148" s="511"/>
    </row>
    <row r="149" spans="1:19" ht="18.75">
      <c r="A149" s="511"/>
      <c r="K149" s="511"/>
      <c r="L149" s="511"/>
    </row>
    <row r="150" spans="1:19" ht="18.75">
      <c r="A150" s="511"/>
      <c r="K150" s="511"/>
      <c r="L150" s="511"/>
    </row>
    <row r="151" spans="1:19" ht="18.75">
      <c r="A151" s="511"/>
      <c r="K151" s="511"/>
      <c r="L151" s="511"/>
    </row>
    <row r="152" spans="1:19" ht="18.75">
      <c r="A152" s="511"/>
      <c r="K152" s="511"/>
      <c r="L152" s="511"/>
    </row>
    <row r="153" spans="1:19" ht="18.75">
      <c r="A153" s="511"/>
      <c r="K153" s="511"/>
      <c r="L153" s="511"/>
    </row>
    <row r="154" spans="1:19" ht="18.75">
      <c r="A154" s="511"/>
      <c r="K154" s="511"/>
      <c r="L154" s="511"/>
    </row>
    <row r="155" spans="1:19" ht="18.75">
      <c r="A155" s="511"/>
      <c r="K155" s="511"/>
      <c r="L155" s="511"/>
    </row>
    <row r="156" spans="1:19" ht="18.75">
      <c r="A156" s="511"/>
      <c r="K156" s="511"/>
      <c r="L156" s="511"/>
    </row>
    <row r="157" spans="1:19" ht="18.75">
      <c r="A157" s="511"/>
      <c r="K157" s="511"/>
      <c r="L157" s="511"/>
    </row>
    <row r="158" spans="1:19" ht="18.75">
      <c r="A158" s="511"/>
      <c r="K158" s="511"/>
      <c r="L158" s="511"/>
    </row>
    <row r="159" spans="1:19" ht="18.75">
      <c r="A159" s="511"/>
      <c r="K159" s="511"/>
      <c r="L159" s="511"/>
    </row>
    <row r="160" spans="1:19" ht="18.75">
      <c r="A160" s="511"/>
      <c r="K160" s="511"/>
      <c r="L160" s="511"/>
    </row>
    <row r="161" spans="1:19" ht="18.75">
      <c r="A161" s="511"/>
      <c r="K161" s="511"/>
      <c r="L161" s="511"/>
    </row>
    <row r="162" spans="1:19" ht="18.75">
      <c r="A162" s="511"/>
      <c r="K162" s="511"/>
      <c r="L162" s="511"/>
    </row>
    <row r="163" spans="1:19" ht="18.75">
      <c r="A163" s="511"/>
      <c r="K163" s="511"/>
      <c r="L163" s="511"/>
    </row>
    <row r="164" spans="1:19" ht="18.75">
      <c r="A164" s="511"/>
      <c r="K164" s="511"/>
      <c r="L164" s="511"/>
    </row>
    <row r="165" spans="1:19" ht="18.75">
      <c r="A165" s="511"/>
      <c r="K165" s="511"/>
      <c r="L165" s="511"/>
    </row>
    <row r="166" spans="1:19" ht="18.75">
      <c r="A166" s="511"/>
      <c r="K166" s="511"/>
      <c r="L166" s="511"/>
    </row>
    <row r="167" spans="1:19" ht="18.75">
      <c r="A167" s="511"/>
      <c r="K167" s="511"/>
      <c r="L167" s="511"/>
    </row>
    <row r="168" spans="1:19" ht="18.75">
      <c r="A168" s="511"/>
      <c r="K168" s="511"/>
      <c r="L168" s="511"/>
    </row>
    <row r="169" spans="1:19" ht="18.75">
      <c r="A169" s="511"/>
      <c r="K169" s="511"/>
      <c r="L169" s="511"/>
    </row>
    <row r="170" spans="1:19" ht="18.75">
      <c r="A170" s="511"/>
      <c r="K170" s="511"/>
      <c r="L170" s="511"/>
    </row>
    <row r="171" spans="1:19" ht="21">
      <c r="A171" s="505" t="s">
        <v>420</v>
      </c>
      <c r="K171" s="505" t="s">
        <v>481</v>
      </c>
      <c r="L171" s="505"/>
    </row>
    <row r="172" spans="1:19" ht="15" customHeight="1">
      <c r="A172" s="4" t="s">
        <v>413</v>
      </c>
      <c r="B172" s="682" t="s">
        <v>414</v>
      </c>
      <c r="C172" s="684"/>
      <c r="D172" s="682" t="s">
        <v>421</v>
      </c>
      <c r="E172" s="683"/>
      <c r="F172" s="683"/>
      <c r="G172" s="683"/>
      <c r="H172" s="684"/>
      <c r="K172" s="4" t="s">
        <v>2</v>
      </c>
      <c r="L172" s="535" t="s">
        <v>613</v>
      </c>
      <c r="M172" s="766" t="s">
        <v>450</v>
      </c>
      <c r="N172" s="766"/>
      <c r="O172" s="682" t="s">
        <v>448</v>
      </c>
      <c r="P172" s="683"/>
      <c r="Q172" s="683"/>
      <c r="R172" s="683"/>
      <c r="S172" s="684"/>
    </row>
    <row r="173" spans="1:19" ht="30.75" customHeight="1">
      <c r="A173" s="8"/>
      <c r="B173" s="44" t="s">
        <v>411</v>
      </c>
      <c r="C173" s="44" t="s">
        <v>412</v>
      </c>
      <c r="D173" s="95">
        <v>0.6</v>
      </c>
      <c r="E173" s="95">
        <v>0.7</v>
      </c>
      <c r="F173" s="95">
        <v>0.8</v>
      </c>
      <c r="G173" s="95">
        <v>0.9</v>
      </c>
      <c r="H173" s="95">
        <v>1</v>
      </c>
      <c r="K173" s="8"/>
      <c r="L173" s="534" t="s">
        <v>612</v>
      </c>
      <c r="M173" s="44" t="s">
        <v>411</v>
      </c>
      <c r="N173" s="44" t="s">
        <v>412</v>
      </c>
      <c r="O173" s="95">
        <v>0.6</v>
      </c>
      <c r="P173" s="95">
        <v>0.7</v>
      </c>
      <c r="Q173" s="95">
        <v>0.8</v>
      </c>
      <c r="R173" s="95">
        <v>0.9</v>
      </c>
      <c r="S173" s="95">
        <v>1</v>
      </c>
    </row>
    <row r="174" spans="1:19" ht="45">
      <c r="A174" s="342" t="s">
        <v>599</v>
      </c>
      <c r="B174" s="500">
        <f>'RICON-S-VS'!C77</f>
        <v>60</v>
      </c>
      <c r="C174" s="500">
        <f>'RICON-S-VS'!F77</f>
        <v>37.149991394525706</v>
      </c>
      <c r="D174" s="500">
        <f>MIN($B174/1,$C174*D$173/1.3)</f>
        <v>17.146149874396478</v>
      </c>
      <c r="E174" s="500">
        <f t="shared" ref="E174:H183" si="17">MIN($B174/1,$C174*E$173/1.3)</f>
        <v>20.003841520129225</v>
      </c>
      <c r="F174" s="500">
        <f t="shared" si="17"/>
        <v>22.861533165861974</v>
      </c>
      <c r="G174" s="500">
        <f t="shared" si="17"/>
        <v>25.719224811594717</v>
      </c>
      <c r="H174" s="500">
        <f t="shared" si="17"/>
        <v>28.576916457327464</v>
      </c>
      <c r="K174" s="342" t="s">
        <v>641</v>
      </c>
      <c r="L174" s="530" t="s">
        <v>488</v>
      </c>
      <c r="M174" s="500">
        <f>'RICON-S-VS'!C77</f>
        <v>60</v>
      </c>
      <c r="N174" s="500">
        <f>'RICON-S-VS'!F77</f>
        <v>37.149991394525706</v>
      </c>
      <c r="O174" s="500">
        <f t="shared" ref="O174:S183" si="18">MIN($B174/1,$C174*O$173/1.3)</f>
        <v>17.146149874396478</v>
      </c>
      <c r="P174" s="500">
        <f t="shared" si="18"/>
        <v>20.003841520129225</v>
      </c>
      <c r="Q174" s="500">
        <f t="shared" si="18"/>
        <v>22.861533165861974</v>
      </c>
      <c r="R174" s="500">
        <f t="shared" si="18"/>
        <v>25.719224811594717</v>
      </c>
      <c r="S174" s="500">
        <f t="shared" si="18"/>
        <v>28.576916457327464</v>
      </c>
    </row>
    <row r="175" spans="1:19" ht="45">
      <c r="A175" s="342" t="s">
        <v>600</v>
      </c>
      <c r="B175" s="500">
        <f>'RICON-S-VS'!C78</f>
        <v>60</v>
      </c>
      <c r="C175" s="500">
        <f>'RICON-S-VS'!F78</f>
        <v>40.18125965399701</v>
      </c>
      <c r="D175" s="500">
        <f t="shared" ref="D175:D183" si="19">MIN($B175/1,$C175*D$173/1.3)</f>
        <v>18.545196763383235</v>
      </c>
      <c r="E175" s="500">
        <f t="shared" si="17"/>
        <v>21.636062890613772</v>
      </c>
      <c r="F175" s="500">
        <f t="shared" si="17"/>
        <v>24.726929017844313</v>
      </c>
      <c r="G175" s="500">
        <f t="shared" si="17"/>
        <v>27.817795145074854</v>
      </c>
      <c r="H175" s="500">
        <f t="shared" si="17"/>
        <v>30.908661272305391</v>
      </c>
      <c r="K175" s="342" t="s">
        <v>640</v>
      </c>
      <c r="L175" s="530" t="s">
        <v>490</v>
      </c>
      <c r="M175" s="500">
        <f>'RICON-S-VS'!C78</f>
        <v>60</v>
      </c>
      <c r="N175" s="500">
        <f>'RICON-S-VS'!F78</f>
        <v>40.18125965399701</v>
      </c>
      <c r="O175" s="500">
        <f t="shared" si="18"/>
        <v>18.545196763383235</v>
      </c>
      <c r="P175" s="500">
        <f t="shared" si="18"/>
        <v>21.636062890613772</v>
      </c>
      <c r="Q175" s="500">
        <f t="shared" si="18"/>
        <v>24.726929017844313</v>
      </c>
      <c r="R175" s="500">
        <f t="shared" si="18"/>
        <v>27.817795145074854</v>
      </c>
      <c r="S175" s="500">
        <f t="shared" si="18"/>
        <v>30.908661272305391</v>
      </c>
    </row>
    <row r="176" spans="1:19" ht="45">
      <c r="A176" s="342" t="s">
        <v>601</v>
      </c>
      <c r="B176" s="500">
        <f>'RICON-S-VS'!C80</f>
        <v>60</v>
      </c>
      <c r="C176" s="500">
        <f>'RICON-S-VS'!F80</f>
        <v>56.710921194381697</v>
      </c>
      <c r="D176" s="500">
        <f t="shared" si="19"/>
        <v>26.174271320483861</v>
      </c>
      <c r="E176" s="500">
        <f t="shared" si="17"/>
        <v>30.536649873897833</v>
      </c>
      <c r="F176" s="500">
        <f t="shared" si="17"/>
        <v>34.899028427311819</v>
      </c>
      <c r="G176" s="500">
        <f t="shared" si="17"/>
        <v>39.261406980725788</v>
      </c>
      <c r="H176" s="500">
        <f t="shared" si="17"/>
        <v>43.623785534139763</v>
      </c>
      <c r="K176" s="342" t="s">
        <v>639</v>
      </c>
      <c r="L176" s="530" t="s">
        <v>489</v>
      </c>
      <c r="M176" s="500">
        <f>'RICON-S-VS'!C80</f>
        <v>60</v>
      </c>
      <c r="N176" s="500">
        <f>'RICON-S-VS'!F80</f>
        <v>56.710921194381697</v>
      </c>
      <c r="O176" s="500">
        <f t="shared" si="18"/>
        <v>26.174271320483861</v>
      </c>
      <c r="P176" s="500">
        <f t="shared" si="18"/>
        <v>30.536649873897833</v>
      </c>
      <c r="Q176" s="500">
        <f t="shared" si="18"/>
        <v>34.899028427311819</v>
      </c>
      <c r="R176" s="500">
        <f t="shared" si="18"/>
        <v>39.261406980725788</v>
      </c>
      <c r="S176" s="500">
        <f t="shared" si="18"/>
        <v>43.623785534139763</v>
      </c>
    </row>
    <row r="177" spans="1:19" ht="45">
      <c r="A177" s="342" t="s">
        <v>602</v>
      </c>
      <c r="B177" s="500">
        <f>'RICON-S-VS'!C81</f>
        <v>60</v>
      </c>
      <c r="C177" s="500">
        <f>'RICON-S-VS'!F81</f>
        <v>66.480609906200655</v>
      </c>
      <c r="D177" s="500">
        <f t="shared" si="19"/>
        <v>30.683358418246456</v>
      </c>
      <c r="E177" s="500">
        <f t="shared" si="17"/>
        <v>35.797251487954192</v>
      </c>
      <c r="F177" s="500">
        <f t="shared" si="17"/>
        <v>40.911144557661942</v>
      </c>
      <c r="G177" s="500">
        <f t="shared" si="17"/>
        <v>46.025037627369684</v>
      </c>
      <c r="H177" s="500">
        <f t="shared" si="17"/>
        <v>51.138930697077427</v>
      </c>
      <c r="K177" s="342" t="s">
        <v>638</v>
      </c>
      <c r="L177" s="530" t="s">
        <v>500</v>
      </c>
      <c r="M177" s="500">
        <f>'RICON-S-VS'!C81</f>
        <v>60</v>
      </c>
      <c r="N177" s="500">
        <f>'RICON-S-VS'!F81</f>
        <v>66.480609906200655</v>
      </c>
      <c r="O177" s="500">
        <f t="shared" si="18"/>
        <v>30.683358418246456</v>
      </c>
      <c r="P177" s="500">
        <f t="shared" si="18"/>
        <v>35.797251487954192</v>
      </c>
      <c r="Q177" s="500">
        <f t="shared" si="18"/>
        <v>40.911144557661942</v>
      </c>
      <c r="R177" s="500">
        <f t="shared" si="18"/>
        <v>46.025037627369684</v>
      </c>
      <c r="S177" s="500">
        <f t="shared" si="18"/>
        <v>51.138930697077427</v>
      </c>
    </row>
    <row r="178" spans="1:19" ht="45">
      <c r="A178" s="342" t="s">
        <v>603</v>
      </c>
      <c r="B178" s="500">
        <f>'RICON-S-VS'!C83</f>
        <v>99</v>
      </c>
      <c r="C178" s="500">
        <f>'RICON-S-VS'!F83</f>
        <v>79.124951595789881</v>
      </c>
      <c r="D178" s="500">
        <f t="shared" si="19"/>
        <v>36.519208428826097</v>
      </c>
      <c r="E178" s="500">
        <f t="shared" si="17"/>
        <v>42.605743166963784</v>
      </c>
      <c r="F178" s="500">
        <f t="shared" si="17"/>
        <v>48.692277905101463</v>
      </c>
      <c r="G178" s="500">
        <f t="shared" si="17"/>
        <v>54.778812643239149</v>
      </c>
      <c r="H178" s="500">
        <f t="shared" si="17"/>
        <v>60.865347381376829</v>
      </c>
      <c r="K178" s="342" t="s">
        <v>637</v>
      </c>
      <c r="L178" s="530" t="s">
        <v>498</v>
      </c>
      <c r="M178" s="500">
        <f>'RICON-S-VS'!C83</f>
        <v>99</v>
      </c>
      <c r="N178" s="500">
        <f>'RICON-S-VS'!F83</f>
        <v>79.124951595789881</v>
      </c>
      <c r="O178" s="500">
        <f t="shared" si="18"/>
        <v>36.519208428826097</v>
      </c>
      <c r="P178" s="500">
        <f t="shared" si="18"/>
        <v>42.605743166963784</v>
      </c>
      <c r="Q178" s="500">
        <f t="shared" si="18"/>
        <v>48.692277905101463</v>
      </c>
      <c r="R178" s="500">
        <f t="shared" si="18"/>
        <v>54.778812643239149</v>
      </c>
      <c r="S178" s="500">
        <f t="shared" si="18"/>
        <v>60.865347381376829</v>
      </c>
    </row>
    <row r="179" spans="1:19" ht="45">
      <c r="A179" s="342" t="s">
        <v>604</v>
      </c>
      <c r="B179" s="500">
        <f>'RICON-S-VS'!C84</f>
        <v>99</v>
      </c>
      <c r="C179" s="500">
        <f>'RICON-S-VS'!F84</f>
        <v>92.415567140008505</v>
      </c>
      <c r="D179" s="500">
        <f t="shared" si="19"/>
        <v>42.653338680003927</v>
      </c>
      <c r="E179" s="500">
        <f t="shared" si="17"/>
        <v>49.762228460004579</v>
      </c>
      <c r="F179" s="500">
        <f t="shared" si="17"/>
        <v>56.871118240005231</v>
      </c>
      <c r="G179" s="500">
        <f t="shared" si="17"/>
        <v>63.980008020005883</v>
      </c>
      <c r="H179" s="500">
        <f t="shared" si="17"/>
        <v>71.088897800006535</v>
      </c>
      <c r="K179" s="342" t="s">
        <v>636</v>
      </c>
      <c r="L179" s="530" t="s">
        <v>501</v>
      </c>
      <c r="M179" s="500">
        <f>'RICON-S-VS'!C84</f>
        <v>99</v>
      </c>
      <c r="N179" s="500">
        <f>'RICON-S-VS'!F84</f>
        <v>92.415567140008505</v>
      </c>
      <c r="O179" s="500">
        <f t="shared" si="18"/>
        <v>42.653338680003927</v>
      </c>
      <c r="P179" s="500">
        <f t="shared" si="18"/>
        <v>49.762228460004579</v>
      </c>
      <c r="Q179" s="500">
        <f t="shared" si="18"/>
        <v>56.871118240005231</v>
      </c>
      <c r="R179" s="500">
        <f t="shared" si="18"/>
        <v>63.980008020005883</v>
      </c>
      <c r="S179" s="500">
        <f t="shared" si="18"/>
        <v>71.088897800006535</v>
      </c>
    </row>
    <row r="180" spans="1:19" ht="45">
      <c r="A180" s="342" t="s">
        <v>605</v>
      </c>
      <c r="B180" s="500">
        <f>'RICON-S-VS'!C86</f>
        <v>99</v>
      </c>
      <c r="C180" s="500">
        <f>'RICON-S-VS'!F86</f>
        <v>118.23647695999895</v>
      </c>
      <c r="D180" s="500">
        <f t="shared" si="19"/>
        <v>54.570681673845669</v>
      </c>
      <c r="E180" s="500">
        <f t="shared" si="17"/>
        <v>63.665795286153283</v>
      </c>
      <c r="F180" s="500">
        <f t="shared" si="17"/>
        <v>72.760908898460897</v>
      </c>
      <c r="G180" s="500">
        <f t="shared" si="17"/>
        <v>81.856022510768497</v>
      </c>
      <c r="H180" s="500">
        <f t="shared" si="17"/>
        <v>90.951136123076111</v>
      </c>
      <c r="K180" s="342" t="s">
        <v>635</v>
      </c>
      <c r="L180" s="530" t="s">
        <v>499</v>
      </c>
      <c r="M180" s="500">
        <f>'RICON-S-VS'!C86</f>
        <v>99</v>
      </c>
      <c r="N180" s="500">
        <f>'RICON-S-VS'!F86</f>
        <v>118.23647695999895</v>
      </c>
      <c r="O180" s="500">
        <f t="shared" si="18"/>
        <v>54.570681673845669</v>
      </c>
      <c r="P180" s="500">
        <f t="shared" si="18"/>
        <v>63.665795286153283</v>
      </c>
      <c r="Q180" s="500">
        <f t="shared" si="18"/>
        <v>72.760908898460897</v>
      </c>
      <c r="R180" s="500">
        <f t="shared" si="18"/>
        <v>81.856022510768497</v>
      </c>
      <c r="S180" s="500">
        <f t="shared" si="18"/>
        <v>90.951136123076111</v>
      </c>
    </row>
    <row r="181" spans="1:19" ht="45">
      <c r="A181" s="342" t="s">
        <v>606</v>
      </c>
      <c r="B181" s="500">
        <f>'RICON-S-VS'!C87</f>
        <v>99</v>
      </c>
      <c r="C181" s="500">
        <f>'RICON-S-VS'!F87</f>
        <v>142.69127424794846</v>
      </c>
      <c r="D181" s="500">
        <f t="shared" si="19"/>
        <v>65.857511191360828</v>
      </c>
      <c r="E181" s="500">
        <f t="shared" si="17"/>
        <v>76.833763056587628</v>
      </c>
      <c r="F181" s="500">
        <f t="shared" si="17"/>
        <v>87.810014921814428</v>
      </c>
      <c r="G181" s="500">
        <f t="shared" si="17"/>
        <v>98.786266787041242</v>
      </c>
      <c r="H181" s="500">
        <f t="shared" si="17"/>
        <v>99</v>
      </c>
      <c r="K181" s="342" t="s">
        <v>634</v>
      </c>
      <c r="L181" s="530" t="s">
        <v>502</v>
      </c>
      <c r="M181" s="500">
        <f>'RICON-S-VS'!C87</f>
        <v>99</v>
      </c>
      <c r="N181" s="500">
        <f>'RICON-S-VS'!F87</f>
        <v>142.69127424794846</v>
      </c>
      <c r="O181" s="500">
        <f t="shared" si="18"/>
        <v>65.857511191360828</v>
      </c>
      <c r="P181" s="500">
        <f t="shared" si="18"/>
        <v>76.833763056587628</v>
      </c>
      <c r="Q181" s="500">
        <f t="shared" si="18"/>
        <v>87.810014921814428</v>
      </c>
      <c r="R181" s="500">
        <f t="shared" si="18"/>
        <v>98.786266787041242</v>
      </c>
      <c r="S181" s="500">
        <f t="shared" si="18"/>
        <v>99</v>
      </c>
    </row>
    <row r="182" spans="1:19" ht="75">
      <c r="A182" s="342" t="s">
        <v>607</v>
      </c>
      <c r="B182" s="500">
        <f>'RICON-S-VS'!C89</f>
        <v>180</v>
      </c>
      <c r="C182" s="500">
        <f>'RICON-S-VS'!F89</f>
        <v>170.93257261945729</v>
      </c>
      <c r="D182" s="500">
        <f t="shared" si="19"/>
        <v>78.891956593595665</v>
      </c>
      <c r="E182" s="500">
        <f t="shared" si="17"/>
        <v>92.04061602586161</v>
      </c>
      <c r="F182" s="500">
        <f t="shared" si="17"/>
        <v>105.18927545812757</v>
      </c>
      <c r="G182" s="500">
        <f t="shared" si="17"/>
        <v>118.33793489039351</v>
      </c>
      <c r="H182" s="500">
        <f t="shared" si="17"/>
        <v>131.48659432265944</v>
      </c>
      <c r="K182" s="342" t="s">
        <v>608</v>
      </c>
      <c r="L182" s="530" t="s">
        <v>624</v>
      </c>
      <c r="M182" s="500">
        <f>'RICON-S-VS'!C89</f>
        <v>180</v>
      </c>
      <c r="N182" s="500">
        <f>'RICON-S-VS'!F89</f>
        <v>170.93257261945729</v>
      </c>
      <c r="O182" s="500">
        <f t="shared" si="18"/>
        <v>78.891956593595665</v>
      </c>
      <c r="P182" s="500">
        <f t="shared" si="18"/>
        <v>92.04061602586161</v>
      </c>
      <c r="Q182" s="500">
        <f t="shared" si="18"/>
        <v>105.18927545812757</v>
      </c>
      <c r="R182" s="500">
        <f t="shared" si="18"/>
        <v>118.33793489039351</v>
      </c>
      <c r="S182" s="500">
        <f t="shared" si="18"/>
        <v>131.48659432265944</v>
      </c>
    </row>
    <row r="183" spans="1:19" ht="75">
      <c r="A183" s="342" t="s">
        <v>609</v>
      </c>
      <c r="B183" s="500">
        <f>'RICON-S-VS'!C90</f>
        <v>180</v>
      </c>
      <c r="C183" s="500">
        <f>'RICON-S-VS'!F90</f>
        <v>195.85472248368981</v>
      </c>
      <c r="D183" s="500">
        <f t="shared" si="19"/>
        <v>90.394487300164513</v>
      </c>
      <c r="E183" s="500">
        <f t="shared" si="17"/>
        <v>105.46023518352528</v>
      </c>
      <c r="F183" s="500">
        <f t="shared" si="17"/>
        <v>120.52598306688604</v>
      </c>
      <c r="G183" s="500">
        <f t="shared" si="17"/>
        <v>135.59173095024678</v>
      </c>
      <c r="H183" s="500">
        <f t="shared" si="17"/>
        <v>150.65747883360754</v>
      </c>
      <c r="K183" s="342" t="s">
        <v>610</v>
      </c>
      <c r="L183" s="530" t="s">
        <v>623</v>
      </c>
      <c r="M183" s="500">
        <f>'RICON-S-VS'!C90</f>
        <v>180</v>
      </c>
      <c r="N183" s="500">
        <f>'RICON-S-VS'!F90</f>
        <v>195.85472248368981</v>
      </c>
      <c r="O183" s="500">
        <f t="shared" si="18"/>
        <v>90.394487300164513</v>
      </c>
      <c r="P183" s="500">
        <f t="shared" si="18"/>
        <v>105.46023518352528</v>
      </c>
      <c r="Q183" s="500">
        <f t="shared" si="18"/>
        <v>120.52598306688604</v>
      </c>
      <c r="R183" s="500">
        <f t="shared" si="18"/>
        <v>135.59173095024678</v>
      </c>
      <c r="S183" s="500">
        <f t="shared" si="18"/>
        <v>150.65747883360754</v>
      </c>
    </row>
    <row r="196" spans="1:19" ht="21">
      <c r="A196" s="508" t="s">
        <v>437</v>
      </c>
      <c r="K196" s="508" t="s">
        <v>459</v>
      </c>
      <c r="L196" s="508"/>
    </row>
    <row r="198" spans="1:19" ht="18.75">
      <c r="A198" s="767" t="s">
        <v>475</v>
      </c>
      <c r="B198" s="767"/>
      <c r="C198" s="767"/>
      <c r="D198" s="767"/>
      <c r="E198" s="767"/>
      <c r="F198" s="767"/>
      <c r="G198" s="767"/>
      <c r="H198" s="767"/>
      <c r="K198" s="767" t="s">
        <v>474</v>
      </c>
      <c r="L198" s="767"/>
      <c r="M198" s="767"/>
      <c r="N198" s="767"/>
      <c r="O198" s="767"/>
      <c r="P198" s="767"/>
      <c r="Q198" s="767"/>
      <c r="R198" s="767"/>
      <c r="S198" s="767"/>
    </row>
    <row r="199" spans="1:19" ht="18.75">
      <c r="A199" s="511" t="s">
        <v>611</v>
      </c>
      <c r="K199" s="511" t="s">
        <v>452</v>
      </c>
      <c r="L199" s="511"/>
    </row>
    <row r="200" spans="1:19" ht="18.75">
      <c r="A200" s="511"/>
      <c r="K200" s="511"/>
      <c r="L200" s="511"/>
    </row>
    <row r="201" spans="1:19" ht="18.75">
      <c r="A201" s="511"/>
      <c r="K201" s="511"/>
      <c r="L201" s="511"/>
    </row>
    <row r="202" spans="1:19" ht="18.75">
      <c r="A202" s="511"/>
      <c r="K202" s="511"/>
      <c r="L202" s="511"/>
    </row>
    <row r="203" spans="1:19" ht="18.75">
      <c r="A203" s="511"/>
      <c r="K203" s="511"/>
      <c r="L203" s="511"/>
    </row>
    <row r="204" spans="1:19" ht="18.75">
      <c r="A204" s="511"/>
      <c r="K204" s="511"/>
      <c r="L204" s="511"/>
    </row>
    <row r="205" spans="1:19" ht="18.75">
      <c r="A205" s="511"/>
      <c r="K205" s="511"/>
      <c r="L205" s="511"/>
    </row>
    <row r="206" spans="1:19" ht="18.75">
      <c r="A206" s="511"/>
      <c r="K206" s="511"/>
      <c r="L206" s="511"/>
    </row>
    <row r="207" spans="1:19" ht="18.75">
      <c r="A207" s="511"/>
      <c r="K207" s="511"/>
      <c r="L207" s="511"/>
    </row>
    <row r="208" spans="1:19" ht="18.75">
      <c r="A208" s="511"/>
      <c r="K208" s="511"/>
      <c r="L208" s="511"/>
    </row>
    <row r="209" spans="1:20" ht="18.75">
      <c r="A209" s="511"/>
      <c r="K209" s="511"/>
      <c r="L209" s="511"/>
    </row>
    <row r="210" spans="1:20" ht="18.75">
      <c r="A210" s="511"/>
      <c r="K210" s="511"/>
      <c r="L210" s="511"/>
    </row>
    <row r="211" spans="1:20" ht="21">
      <c r="A211" s="508" t="s">
        <v>410</v>
      </c>
      <c r="K211" s="508" t="s">
        <v>478</v>
      </c>
      <c r="L211" s="508"/>
    </row>
    <row r="212" spans="1:20" ht="30" customHeight="1">
      <c r="A212" s="4" t="s">
        <v>413</v>
      </c>
      <c r="B212" s="682" t="s">
        <v>414</v>
      </c>
      <c r="C212" s="684"/>
      <c r="D212" s="682" t="s">
        <v>421</v>
      </c>
      <c r="E212" s="683"/>
      <c r="F212" s="683"/>
      <c r="G212" s="201"/>
      <c r="H212" s="682" t="s">
        <v>443</v>
      </c>
      <c r="I212" s="684"/>
      <c r="J212" s="62"/>
      <c r="K212" s="4" t="s">
        <v>2</v>
      </c>
      <c r="L212" s="771" t="s">
        <v>614</v>
      </c>
      <c r="M212" s="766" t="s">
        <v>450</v>
      </c>
      <c r="N212" s="766"/>
      <c r="O212" s="682" t="s">
        <v>448</v>
      </c>
      <c r="P212" s="683"/>
      <c r="Q212" s="683"/>
      <c r="R212" s="201"/>
      <c r="S212" s="697" t="s">
        <v>453</v>
      </c>
      <c r="T212" s="708"/>
    </row>
    <row r="213" spans="1:20" ht="15" customHeight="1">
      <c r="A213" s="513"/>
      <c r="B213" s="518" t="s">
        <v>439</v>
      </c>
      <c r="C213" s="518" t="s">
        <v>440</v>
      </c>
      <c r="D213" s="682" t="s">
        <v>439</v>
      </c>
      <c r="E213" s="684"/>
      <c r="F213" s="682" t="s">
        <v>440</v>
      </c>
      <c r="G213" s="684"/>
      <c r="H213" s="769" t="s">
        <v>441</v>
      </c>
      <c r="I213" s="769" t="s">
        <v>442</v>
      </c>
      <c r="J213" s="515"/>
      <c r="K213" s="513"/>
      <c r="L213" s="772"/>
      <c r="M213" s="518" t="s">
        <v>456</v>
      </c>
      <c r="N213" s="518" t="s">
        <v>457</v>
      </c>
      <c r="O213" s="695" t="s">
        <v>456</v>
      </c>
      <c r="P213" s="695"/>
      <c r="Q213" s="683" t="s">
        <v>457</v>
      </c>
      <c r="R213" s="684"/>
      <c r="S213" s="768" t="s">
        <v>454</v>
      </c>
      <c r="T213" s="768" t="s">
        <v>455</v>
      </c>
    </row>
    <row r="214" spans="1:20">
      <c r="A214" s="8"/>
      <c r="B214" s="44" t="s">
        <v>438</v>
      </c>
      <c r="C214" s="44" t="s">
        <v>438</v>
      </c>
      <c r="D214" s="95">
        <v>0.6</v>
      </c>
      <c r="E214" s="95">
        <v>0.9</v>
      </c>
      <c r="F214" s="95">
        <v>0.6</v>
      </c>
      <c r="G214" s="95">
        <v>0.9</v>
      </c>
      <c r="H214" s="770"/>
      <c r="I214" s="770"/>
      <c r="J214" s="515"/>
      <c r="K214" s="8"/>
      <c r="L214" s="773"/>
      <c r="M214" s="44" t="s">
        <v>458</v>
      </c>
      <c r="N214" s="44" t="s">
        <v>458</v>
      </c>
      <c r="O214" s="95">
        <v>0.6</v>
      </c>
      <c r="P214" s="95">
        <v>0.9</v>
      </c>
      <c r="Q214" s="95">
        <v>0.6</v>
      </c>
      <c r="R214" s="95">
        <v>0.9</v>
      </c>
      <c r="S214" s="768"/>
      <c r="T214" s="768"/>
    </row>
    <row r="215" spans="1:20" ht="45">
      <c r="A215" s="396" t="s">
        <v>508</v>
      </c>
      <c r="B215" s="500">
        <f>'RICON_RICON-S-EK_GIGANT_WALCO '!H705</f>
        <v>0.68556196386955359</v>
      </c>
      <c r="C215" s="500">
        <f>'RICON_RICON-S-EK_GIGANT_WALCO '!I705</f>
        <v>4.6855619638695538</v>
      </c>
      <c r="D215" s="500">
        <f>$B215*D$214/1.3</f>
        <v>0.31641321409364009</v>
      </c>
      <c r="E215" s="500">
        <f>$B215*E$214/1.3</f>
        <v>0.4746198211404602</v>
      </c>
      <c r="F215" s="500">
        <f>$C215*F$214/1.3</f>
        <v>2.1625670602474862</v>
      </c>
      <c r="G215" s="500">
        <f>$C215*G$214/1.3</f>
        <v>3.2438505903712298</v>
      </c>
      <c r="H215" s="514">
        <f>D215*200/1.35</f>
        <v>46.876031717576311</v>
      </c>
      <c r="I215" s="514">
        <f t="shared" ref="I215:I227" si="20">F215*200/1.35</f>
        <v>320.38030522184977</v>
      </c>
      <c r="J215" s="516"/>
      <c r="K215" s="396" t="s">
        <v>509</v>
      </c>
      <c r="L215" s="525" t="s">
        <v>492</v>
      </c>
      <c r="M215" s="500">
        <f>'RICON_RICON-S-EK_GIGANT_WALCO '!H705</f>
        <v>0.68556196386955359</v>
      </c>
      <c r="N215" s="500">
        <f>'RICON_RICON-S-EK_GIGANT_WALCO '!I705</f>
        <v>4.6855619638695538</v>
      </c>
      <c r="O215" s="500">
        <f t="shared" ref="O215:P227" si="21">$B215*O$214/1.3</f>
        <v>0.31641321409364009</v>
      </c>
      <c r="P215" s="500">
        <f t="shared" si="21"/>
        <v>0.4746198211404602</v>
      </c>
      <c r="Q215" s="500">
        <f t="shared" ref="Q215:R227" si="22">$C215*Q$214/1.3</f>
        <v>2.1625670602474862</v>
      </c>
      <c r="R215" s="500">
        <f t="shared" si="22"/>
        <v>3.2438505903712298</v>
      </c>
      <c r="S215" s="514">
        <f>O215*200/1.35</f>
        <v>46.876031717576311</v>
      </c>
      <c r="T215" s="514">
        <f>Q215*200/1.35</f>
        <v>320.38030522184977</v>
      </c>
    </row>
    <row r="216" spans="1:20" ht="45">
      <c r="A216" s="396" t="s">
        <v>510</v>
      </c>
      <c r="B216" s="500">
        <f>'RICON_RICON-S-EK_GIGANT_WALCO '!H706</f>
        <v>0.93004458531057144</v>
      </c>
      <c r="C216" s="500">
        <f>'RICON_RICON-S-EK_GIGANT_WALCO '!I706</f>
        <v>4.9300445853105712</v>
      </c>
      <c r="D216" s="500">
        <f t="shared" ref="D216:E227" si="23">$B216*D$214/1.3</f>
        <v>0.42925134706641754</v>
      </c>
      <c r="E216" s="500">
        <f t="shared" si="23"/>
        <v>0.64387702059962637</v>
      </c>
      <c r="F216" s="500">
        <f t="shared" ref="F216:G227" si="24">$C216*F$214/1.3</f>
        <v>2.2754051932202635</v>
      </c>
      <c r="G216" s="500">
        <f t="shared" si="24"/>
        <v>3.4131077898303959</v>
      </c>
      <c r="H216" s="514">
        <f t="shared" ref="H216:H227" si="25">D216*200/1.35</f>
        <v>63.59279215798778</v>
      </c>
      <c r="I216" s="514">
        <f t="shared" si="20"/>
        <v>337.09706566226123</v>
      </c>
      <c r="J216" s="516"/>
      <c r="K216" s="396" t="s">
        <v>511</v>
      </c>
      <c r="L216" s="525" t="s">
        <v>493</v>
      </c>
      <c r="M216" s="500">
        <f>'RICON_RICON-S-EK_GIGANT_WALCO '!H706</f>
        <v>0.93004458531057144</v>
      </c>
      <c r="N216" s="500">
        <f>'RICON_RICON-S-EK_GIGANT_WALCO '!I706</f>
        <v>4.9300445853105712</v>
      </c>
      <c r="O216" s="500">
        <f t="shared" si="21"/>
        <v>0.42925134706641754</v>
      </c>
      <c r="P216" s="500">
        <f t="shared" si="21"/>
        <v>0.64387702059962637</v>
      </c>
      <c r="Q216" s="500">
        <f t="shared" si="22"/>
        <v>2.2754051932202635</v>
      </c>
      <c r="R216" s="500">
        <f t="shared" si="22"/>
        <v>3.4131077898303959</v>
      </c>
      <c r="S216" s="514">
        <f t="shared" ref="S216:S227" si="26">O216*200/1.35</f>
        <v>63.59279215798778</v>
      </c>
      <c r="T216" s="514">
        <f t="shared" ref="T216:T227" si="27">Q216*200/1.35</f>
        <v>337.09706566226123</v>
      </c>
    </row>
    <row r="217" spans="1:20" ht="45">
      <c r="A217" s="396" t="s">
        <v>512</v>
      </c>
      <c r="B217" s="500">
        <f>'RICON_RICON-S-EK_GIGANT_WALCO '!H707</f>
        <v>1.4937800644343464</v>
      </c>
      <c r="C217" s="500">
        <f>'RICON_RICON-S-EK_GIGANT_WALCO '!I707</f>
        <v>5.4937800644343469</v>
      </c>
      <c r="D217" s="500">
        <f t="shared" si="23"/>
        <v>0.68943695281585216</v>
      </c>
      <c r="E217" s="500">
        <f t="shared" si="23"/>
        <v>1.0341554292237782</v>
      </c>
      <c r="F217" s="500">
        <f t="shared" si="24"/>
        <v>2.5355907989696984</v>
      </c>
      <c r="G217" s="500">
        <f t="shared" si="24"/>
        <v>3.8033861984545481</v>
      </c>
      <c r="H217" s="514">
        <f t="shared" si="25"/>
        <v>102.13880782457069</v>
      </c>
      <c r="I217" s="514">
        <f t="shared" si="20"/>
        <v>375.64308132884418</v>
      </c>
      <c r="J217" s="516"/>
      <c r="K217" s="396" t="s">
        <v>513</v>
      </c>
      <c r="L217" s="525" t="s">
        <v>503</v>
      </c>
      <c r="M217" s="500">
        <f>'RICON_RICON-S-EK_GIGANT_WALCO '!H707</f>
        <v>1.4937800644343464</v>
      </c>
      <c r="N217" s="500">
        <f>'RICON_RICON-S-EK_GIGANT_WALCO '!I707</f>
        <v>5.4937800644343469</v>
      </c>
      <c r="O217" s="500">
        <f t="shared" si="21"/>
        <v>0.68943695281585216</v>
      </c>
      <c r="P217" s="500">
        <f t="shared" si="21"/>
        <v>1.0341554292237782</v>
      </c>
      <c r="Q217" s="500">
        <f t="shared" si="22"/>
        <v>2.5355907989696984</v>
      </c>
      <c r="R217" s="500">
        <f t="shared" si="22"/>
        <v>3.8033861984545481</v>
      </c>
      <c r="S217" s="514">
        <f t="shared" si="26"/>
        <v>102.13880782457069</v>
      </c>
      <c r="T217" s="514">
        <f t="shared" si="27"/>
        <v>375.64308132884418</v>
      </c>
    </row>
    <row r="218" spans="1:20" ht="45">
      <c r="A218" s="396" t="s">
        <v>514</v>
      </c>
      <c r="B218" s="500">
        <f>'RICON_RICON-S-EK_GIGANT_WALCO '!H708</f>
        <v>2.0699476121956257</v>
      </c>
      <c r="C218" s="500">
        <f>'RICON_RICON-S-EK_GIGANT_WALCO '!I708</f>
        <v>6.0699476121956257</v>
      </c>
      <c r="D218" s="500">
        <f t="shared" si="23"/>
        <v>0.95536043639798107</v>
      </c>
      <c r="E218" s="500">
        <f t="shared" si="23"/>
        <v>1.4330406545969716</v>
      </c>
      <c r="F218" s="500">
        <f t="shared" si="24"/>
        <v>2.8015142825518269</v>
      </c>
      <c r="G218" s="500">
        <f t="shared" si="24"/>
        <v>4.2022714238277405</v>
      </c>
      <c r="H218" s="514">
        <f t="shared" si="25"/>
        <v>141.53487946636756</v>
      </c>
      <c r="I218" s="514">
        <f t="shared" si="20"/>
        <v>415.039152970641</v>
      </c>
      <c r="J218" s="516"/>
      <c r="K218" s="396" t="s">
        <v>515</v>
      </c>
      <c r="L218" s="525" t="s">
        <v>504</v>
      </c>
      <c r="M218" s="500">
        <f>'RICON_RICON-S-EK_GIGANT_WALCO '!H708</f>
        <v>2.0699476121956257</v>
      </c>
      <c r="N218" s="500">
        <f>'RICON_RICON-S-EK_GIGANT_WALCO '!I708</f>
        <v>6.0699476121956257</v>
      </c>
      <c r="O218" s="500">
        <f t="shared" si="21"/>
        <v>0.95536043639798107</v>
      </c>
      <c r="P218" s="500">
        <f t="shared" si="21"/>
        <v>1.4330406545969716</v>
      </c>
      <c r="Q218" s="500">
        <f t="shared" si="22"/>
        <v>2.8015142825518269</v>
      </c>
      <c r="R218" s="500">
        <f t="shared" si="22"/>
        <v>4.2022714238277405</v>
      </c>
      <c r="S218" s="514">
        <f t="shared" si="26"/>
        <v>141.53487946636756</v>
      </c>
      <c r="T218" s="514">
        <f t="shared" si="27"/>
        <v>415.039152970641</v>
      </c>
    </row>
    <row r="219" spans="1:20" ht="45">
      <c r="A219" s="396" t="s">
        <v>516</v>
      </c>
      <c r="B219" s="500">
        <f>'RICON_RICON-S-EK_GIGANT_WALCO '!H709</f>
        <v>2.6785451403230303</v>
      </c>
      <c r="C219" s="500">
        <f>'RICON_RICON-S-EK_GIGANT_WALCO '!I709</f>
        <v>6.6785451403230303</v>
      </c>
      <c r="D219" s="500">
        <f t="shared" si="23"/>
        <v>1.2362516032260138</v>
      </c>
      <c r="E219" s="500">
        <f t="shared" si="23"/>
        <v>1.8543774048390211</v>
      </c>
      <c r="F219" s="500">
        <f t="shared" si="24"/>
        <v>3.0824054493798596</v>
      </c>
      <c r="G219" s="500">
        <f t="shared" si="24"/>
        <v>4.6236081740697896</v>
      </c>
      <c r="H219" s="514">
        <f t="shared" si="25"/>
        <v>183.14838566311315</v>
      </c>
      <c r="I219" s="514">
        <f t="shared" si="20"/>
        <v>456.65265916738662</v>
      </c>
      <c r="J219" s="516"/>
      <c r="K219" s="396" t="s">
        <v>517</v>
      </c>
      <c r="L219" s="525" t="s">
        <v>505</v>
      </c>
      <c r="M219" s="500">
        <f>'RICON_RICON-S-EK_GIGANT_WALCO '!H709</f>
        <v>2.6785451403230303</v>
      </c>
      <c r="N219" s="500">
        <f>'RICON_RICON-S-EK_GIGANT_WALCO '!I709</f>
        <v>6.6785451403230303</v>
      </c>
      <c r="O219" s="500">
        <f t="shared" si="21"/>
        <v>1.2362516032260138</v>
      </c>
      <c r="P219" s="500">
        <f t="shared" si="21"/>
        <v>1.8543774048390211</v>
      </c>
      <c r="Q219" s="500">
        <f t="shared" si="22"/>
        <v>3.0824054493798596</v>
      </c>
      <c r="R219" s="500">
        <f t="shared" si="22"/>
        <v>4.6236081740697896</v>
      </c>
      <c r="S219" s="514">
        <f t="shared" si="26"/>
        <v>183.14838566311315</v>
      </c>
      <c r="T219" s="514">
        <f t="shared" si="27"/>
        <v>456.65265916738662</v>
      </c>
    </row>
    <row r="220" spans="1:20" ht="45">
      <c r="A220" s="396" t="s">
        <v>518</v>
      </c>
      <c r="B220" s="500">
        <f>'RICON_RICON-S-EK_GIGANT_WALCO '!H710</f>
        <v>3.3245358298367984</v>
      </c>
      <c r="C220" s="500">
        <f>'RICON_RICON-S-EK_GIGANT_WALCO '!I710</f>
        <v>7.3245358298367984</v>
      </c>
      <c r="D220" s="500">
        <f t="shared" si="23"/>
        <v>1.5344011522323684</v>
      </c>
      <c r="E220" s="500">
        <f t="shared" si="23"/>
        <v>2.3016017283485528</v>
      </c>
      <c r="F220" s="500">
        <f t="shared" si="24"/>
        <v>3.3805549983862146</v>
      </c>
      <c r="G220" s="500">
        <f t="shared" si="24"/>
        <v>5.070832497579322</v>
      </c>
      <c r="H220" s="514">
        <f t="shared" si="25"/>
        <v>227.31868921961009</v>
      </c>
      <c r="I220" s="514">
        <f t="shared" si="20"/>
        <v>500.82296272388362</v>
      </c>
      <c r="J220" s="516"/>
      <c r="K220" s="396" t="s">
        <v>519</v>
      </c>
      <c r="L220" s="525" t="s">
        <v>506</v>
      </c>
      <c r="M220" s="500">
        <f>'RICON_RICON-S-EK_GIGANT_WALCO '!H710</f>
        <v>3.3245358298367984</v>
      </c>
      <c r="N220" s="500">
        <f>'RICON_RICON-S-EK_GIGANT_WALCO '!I710</f>
        <v>7.3245358298367984</v>
      </c>
      <c r="O220" s="500">
        <f t="shared" si="21"/>
        <v>1.5344011522323684</v>
      </c>
      <c r="P220" s="500">
        <f t="shared" si="21"/>
        <v>2.3016017283485528</v>
      </c>
      <c r="Q220" s="500">
        <f t="shared" si="22"/>
        <v>3.3805549983862146</v>
      </c>
      <c r="R220" s="500">
        <f t="shared" si="22"/>
        <v>5.070832497579322</v>
      </c>
      <c r="S220" s="514">
        <f t="shared" si="26"/>
        <v>227.31868921961009</v>
      </c>
      <c r="T220" s="514">
        <f t="shared" si="27"/>
        <v>500.82296272388362</v>
      </c>
    </row>
    <row r="221" spans="1:20" ht="45">
      <c r="A221" s="408" t="s">
        <v>520</v>
      </c>
      <c r="B221" s="500">
        <f>'RICON_RICON-S-EK_GIGANT_WALCO '!H713</f>
        <v>4.1135329443476287</v>
      </c>
      <c r="C221" s="500">
        <f>'RICON_RICON-S-EK_GIGANT_WALCO '!I713</f>
        <v>8.1135329443476287</v>
      </c>
      <c r="D221" s="500">
        <f t="shared" si="23"/>
        <v>1.8985536666219824</v>
      </c>
      <c r="E221" s="500">
        <f t="shared" si="23"/>
        <v>2.8478304999329738</v>
      </c>
      <c r="F221" s="500">
        <f t="shared" si="24"/>
        <v>3.744707512775828</v>
      </c>
      <c r="G221" s="500">
        <f t="shared" si="24"/>
        <v>5.6170612691637434</v>
      </c>
      <c r="H221" s="514">
        <f t="shared" si="25"/>
        <v>281.26720986992331</v>
      </c>
      <c r="I221" s="514">
        <f t="shared" si="20"/>
        <v>554.77148337419669</v>
      </c>
      <c r="J221" s="516"/>
      <c r="K221" s="408" t="s">
        <v>521</v>
      </c>
      <c r="L221" s="531" t="s">
        <v>505</v>
      </c>
      <c r="M221" s="500">
        <f>'RICON_RICON-S-EK_GIGANT_WALCO '!H713</f>
        <v>4.1135329443476287</v>
      </c>
      <c r="N221" s="500">
        <f>'RICON_RICON-S-EK_GIGANT_WALCO '!I713</f>
        <v>8.1135329443476287</v>
      </c>
      <c r="O221" s="500">
        <f t="shared" si="21"/>
        <v>1.8985536666219824</v>
      </c>
      <c r="P221" s="500">
        <f t="shared" si="21"/>
        <v>2.8478304999329738</v>
      </c>
      <c r="Q221" s="500">
        <f t="shared" si="22"/>
        <v>3.744707512775828</v>
      </c>
      <c r="R221" s="500">
        <f t="shared" si="22"/>
        <v>5.6170612691637434</v>
      </c>
      <c r="S221" s="514">
        <f t="shared" si="26"/>
        <v>281.26720986992331</v>
      </c>
      <c r="T221" s="514">
        <f t="shared" si="27"/>
        <v>554.77148337419669</v>
      </c>
    </row>
    <row r="222" spans="1:20" ht="45">
      <c r="A222" s="408" t="s">
        <v>522</v>
      </c>
      <c r="B222" s="500">
        <f>'RICON_RICON-S-EK_GIGANT_WALCO '!H714</f>
        <v>5.1055236549138909</v>
      </c>
      <c r="C222" s="500">
        <f>'RICON_RICON-S-EK_GIGANT_WALCO '!I714</f>
        <v>9.1055236549138918</v>
      </c>
      <c r="D222" s="500">
        <f t="shared" si="23"/>
        <v>2.3563955330371802</v>
      </c>
      <c r="E222" s="500">
        <f t="shared" si="23"/>
        <v>3.5345932995557705</v>
      </c>
      <c r="F222" s="500">
        <f t="shared" si="24"/>
        <v>4.2025493791910264</v>
      </c>
      <c r="G222" s="500">
        <f t="shared" si="24"/>
        <v>6.3038240687865406</v>
      </c>
      <c r="H222" s="514">
        <f t="shared" si="25"/>
        <v>349.09563452402671</v>
      </c>
      <c r="I222" s="514">
        <f t="shared" si="20"/>
        <v>622.59990802830021</v>
      </c>
      <c r="J222" s="516"/>
      <c r="K222" s="408" t="s">
        <v>523</v>
      </c>
      <c r="L222" s="531" t="s">
        <v>506</v>
      </c>
      <c r="M222" s="500">
        <f>'RICON_RICON-S-EK_GIGANT_WALCO '!H714</f>
        <v>5.1055236549138909</v>
      </c>
      <c r="N222" s="500">
        <f>'RICON_RICON-S-EK_GIGANT_WALCO '!I714</f>
        <v>9.1055236549138918</v>
      </c>
      <c r="O222" s="500">
        <f t="shared" si="21"/>
        <v>2.3563955330371802</v>
      </c>
      <c r="P222" s="500">
        <f t="shared" si="21"/>
        <v>3.5345932995557705</v>
      </c>
      <c r="Q222" s="500">
        <f t="shared" si="22"/>
        <v>4.2025493791910264</v>
      </c>
      <c r="R222" s="500">
        <f t="shared" si="22"/>
        <v>6.3038240687865406</v>
      </c>
      <c r="S222" s="514">
        <f t="shared" si="26"/>
        <v>349.09563452402671</v>
      </c>
      <c r="T222" s="514">
        <f t="shared" si="27"/>
        <v>622.59990802830021</v>
      </c>
    </row>
    <row r="223" spans="1:20" ht="45">
      <c r="A223" s="396" t="s">
        <v>524</v>
      </c>
      <c r="B223" s="500">
        <f>'RICON_RICON-S-EK_GIGANT_WALCO '!H715</f>
        <v>2.8454065427374902</v>
      </c>
      <c r="C223" s="500">
        <f>'RICON_RICON-S-EK_GIGANT_WALCO '!I715</f>
        <v>6.8454065427374902</v>
      </c>
      <c r="D223" s="500">
        <f t="shared" si="23"/>
        <v>1.3132645581865339</v>
      </c>
      <c r="E223" s="500">
        <f t="shared" si="23"/>
        <v>1.9698968372798009</v>
      </c>
      <c r="F223" s="500">
        <f t="shared" si="24"/>
        <v>3.1594184043403799</v>
      </c>
      <c r="G223" s="500">
        <f t="shared" si="24"/>
        <v>4.7391276065105696</v>
      </c>
      <c r="H223" s="514">
        <f t="shared" si="25"/>
        <v>194.55771232393093</v>
      </c>
      <c r="I223" s="514">
        <f t="shared" si="20"/>
        <v>468.0619858282044</v>
      </c>
      <c r="J223" s="516"/>
      <c r="K223" s="396" t="s">
        <v>525</v>
      </c>
      <c r="L223" s="525" t="s">
        <v>625</v>
      </c>
      <c r="M223" s="500">
        <f>'RICON_RICON-S-EK_GIGANT_WALCO '!H715</f>
        <v>2.8454065427374902</v>
      </c>
      <c r="N223" s="500">
        <f>'RICON_RICON-S-EK_GIGANT_WALCO '!I715</f>
        <v>6.8454065427374902</v>
      </c>
      <c r="O223" s="500">
        <f t="shared" si="21"/>
        <v>1.3132645581865339</v>
      </c>
      <c r="P223" s="500">
        <f t="shared" si="21"/>
        <v>1.9698968372798009</v>
      </c>
      <c r="Q223" s="500">
        <f t="shared" si="22"/>
        <v>3.1594184043403799</v>
      </c>
      <c r="R223" s="500">
        <f t="shared" si="22"/>
        <v>4.7391276065105696</v>
      </c>
      <c r="S223" s="514">
        <f t="shared" si="26"/>
        <v>194.55771232393093</v>
      </c>
      <c r="T223" s="514">
        <f t="shared" si="27"/>
        <v>468.0619858282044</v>
      </c>
    </row>
    <row r="224" spans="1:20" ht="45">
      <c r="A224" s="396" t="s">
        <v>526</v>
      </c>
      <c r="B224" s="500">
        <f>'RICON_RICON-S-EK_GIGANT_WALCO '!H716</f>
        <v>4.2725432285353833</v>
      </c>
      <c r="C224" s="500">
        <f>'RICON_RICON-S-EK_GIGANT_WALCO '!I716</f>
        <v>8.2725432285353833</v>
      </c>
      <c r="D224" s="500">
        <f t="shared" si="23"/>
        <v>1.9719430285547921</v>
      </c>
      <c r="E224" s="500">
        <f t="shared" si="23"/>
        <v>2.9579145428321882</v>
      </c>
      <c r="F224" s="500">
        <f t="shared" si="24"/>
        <v>3.8180968747086386</v>
      </c>
      <c r="G224" s="500">
        <f t="shared" si="24"/>
        <v>5.727145312062957</v>
      </c>
      <c r="H224" s="514">
        <f t="shared" si="25"/>
        <v>292.13970793404326</v>
      </c>
      <c r="I224" s="514">
        <f t="shared" si="20"/>
        <v>565.64398143831681</v>
      </c>
      <c r="J224" s="516"/>
      <c r="K224" s="396" t="s">
        <v>527</v>
      </c>
      <c r="L224" s="525" t="s">
        <v>626</v>
      </c>
      <c r="M224" s="500">
        <f>'RICON_RICON-S-EK_GIGANT_WALCO '!H716</f>
        <v>4.2725432285353833</v>
      </c>
      <c r="N224" s="500">
        <f>'RICON_RICON-S-EK_GIGANT_WALCO '!I716</f>
        <v>8.2725432285353833</v>
      </c>
      <c r="O224" s="500">
        <f t="shared" si="21"/>
        <v>1.9719430285547921</v>
      </c>
      <c r="P224" s="500">
        <f t="shared" si="21"/>
        <v>2.9579145428321882</v>
      </c>
      <c r="Q224" s="500">
        <f t="shared" si="22"/>
        <v>3.8180968747086386</v>
      </c>
      <c r="R224" s="500">
        <f t="shared" si="22"/>
        <v>5.727145312062957</v>
      </c>
      <c r="S224" s="514">
        <f t="shared" si="26"/>
        <v>292.13970793404326</v>
      </c>
      <c r="T224" s="514">
        <f t="shared" si="27"/>
        <v>565.64398143831681</v>
      </c>
    </row>
    <row r="225" spans="1:20" ht="45">
      <c r="A225" s="396" t="s">
        <v>528</v>
      </c>
      <c r="B225" s="500">
        <f>'RICON_RICON-S-EK_GIGANT_WALCO '!H717</f>
        <v>5.6346405643713657</v>
      </c>
      <c r="C225" s="500">
        <f>'RICON_RICON-S-EK_GIGANT_WALCO '!I717</f>
        <v>9.6346405643713666</v>
      </c>
      <c r="D225" s="500">
        <f t="shared" si="23"/>
        <v>2.6006033374021684</v>
      </c>
      <c r="E225" s="500">
        <f t="shared" si="23"/>
        <v>3.9009050061032533</v>
      </c>
      <c r="F225" s="500">
        <f t="shared" si="24"/>
        <v>4.4467571835560156</v>
      </c>
      <c r="G225" s="500">
        <f t="shared" si="24"/>
        <v>6.6701357753340238</v>
      </c>
      <c r="H225" s="514">
        <f t="shared" si="25"/>
        <v>385.2745685040249</v>
      </c>
      <c r="I225" s="514">
        <f t="shared" si="20"/>
        <v>658.77884200829851</v>
      </c>
      <c r="J225" s="516"/>
      <c r="K225" s="396" t="s">
        <v>529</v>
      </c>
      <c r="L225" s="525" t="s">
        <v>627</v>
      </c>
      <c r="M225" s="500">
        <f>'RICON_RICON-S-EK_GIGANT_WALCO '!H717</f>
        <v>5.6346405643713657</v>
      </c>
      <c r="N225" s="500">
        <f>'RICON_RICON-S-EK_GIGANT_WALCO '!I717</f>
        <v>9.6346405643713666</v>
      </c>
      <c r="O225" s="500">
        <f t="shared" si="21"/>
        <v>2.6006033374021684</v>
      </c>
      <c r="P225" s="500">
        <f t="shared" si="21"/>
        <v>3.9009050061032533</v>
      </c>
      <c r="Q225" s="500">
        <f t="shared" si="22"/>
        <v>4.4467571835560156</v>
      </c>
      <c r="R225" s="500">
        <f t="shared" si="22"/>
        <v>6.6701357753340238</v>
      </c>
      <c r="S225" s="514">
        <f t="shared" si="26"/>
        <v>385.2745685040249</v>
      </c>
      <c r="T225" s="514">
        <f t="shared" si="27"/>
        <v>658.77884200829851</v>
      </c>
    </row>
    <row r="226" spans="1:20" ht="45">
      <c r="A226" s="396" t="s">
        <v>530</v>
      </c>
      <c r="B226" s="500">
        <f>'RICON_RICON-S-EK_GIGANT_WALCO '!H718</f>
        <v>5.1169638723882258</v>
      </c>
      <c r="C226" s="500">
        <f>'RICON_RICON-S-EK_GIGANT_WALCO '!I718</f>
        <v>9.1169638723882258</v>
      </c>
      <c r="D226" s="500">
        <f t="shared" si="23"/>
        <v>2.3616756334099502</v>
      </c>
      <c r="E226" s="500">
        <f t="shared" si="23"/>
        <v>3.5425134501149258</v>
      </c>
      <c r="F226" s="500">
        <f t="shared" si="24"/>
        <v>4.207829479563796</v>
      </c>
      <c r="G226" s="500">
        <f t="shared" si="24"/>
        <v>6.3117442193456954</v>
      </c>
      <c r="H226" s="514">
        <f t="shared" si="25"/>
        <v>349.87787161628893</v>
      </c>
      <c r="I226" s="514">
        <f t="shared" si="20"/>
        <v>623.38214512056231</v>
      </c>
      <c r="J226" s="516"/>
      <c r="K226" s="396" t="s">
        <v>531</v>
      </c>
      <c r="L226" s="525" t="s">
        <v>628</v>
      </c>
      <c r="M226" s="500">
        <f>'RICON_RICON-S-EK_GIGANT_WALCO '!H718</f>
        <v>5.1169638723882258</v>
      </c>
      <c r="N226" s="500">
        <f>'RICON_RICON-S-EK_GIGANT_WALCO '!I718</f>
        <v>9.1169638723882258</v>
      </c>
      <c r="O226" s="500">
        <f t="shared" si="21"/>
        <v>2.3616756334099502</v>
      </c>
      <c r="P226" s="500">
        <f t="shared" si="21"/>
        <v>3.5425134501149258</v>
      </c>
      <c r="Q226" s="500">
        <f t="shared" si="22"/>
        <v>4.207829479563796</v>
      </c>
      <c r="R226" s="500">
        <f t="shared" si="22"/>
        <v>6.3117442193456954</v>
      </c>
      <c r="S226" s="514">
        <f t="shared" si="26"/>
        <v>349.87787161628893</v>
      </c>
      <c r="T226" s="514">
        <f t="shared" si="27"/>
        <v>623.38214512056231</v>
      </c>
    </row>
    <row r="227" spans="1:20" ht="45">
      <c r="A227" s="396" t="s">
        <v>532</v>
      </c>
      <c r="B227" s="500">
        <f>'RICON_RICON-S-EK_GIGANT_WALCO '!H719</f>
        <v>4.6863960027681477</v>
      </c>
      <c r="C227" s="500">
        <f>'RICON_RICON-S-EK_GIGANT_WALCO '!I719</f>
        <v>8.6863960027681486</v>
      </c>
      <c r="D227" s="500">
        <f t="shared" si="23"/>
        <v>2.1629520012776062</v>
      </c>
      <c r="E227" s="500">
        <f t="shared" si="23"/>
        <v>3.2444280019164102</v>
      </c>
      <c r="F227" s="500">
        <f t="shared" si="24"/>
        <v>4.0091058474314529</v>
      </c>
      <c r="G227" s="500">
        <f t="shared" si="24"/>
        <v>6.0136587711471794</v>
      </c>
      <c r="H227" s="514">
        <f t="shared" si="25"/>
        <v>320.4373335226083</v>
      </c>
      <c r="I227" s="514">
        <f t="shared" si="20"/>
        <v>593.94160702688191</v>
      </c>
      <c r="J227" s="516"/>
      <c r="K227" s="396" t="s">
        <v>533</v>
      </c>
      <c r="L227" s="525" t="s">
        <v>629</v>
      </c>
      <c r="M227" s="500">
        <f>'RICON_RICON-S-EK_GIGANT_WALCO '!H719</f>
        <v>4.6863960027681477</v>
      </c>
      <c r="N227" s="500">
        <f>'RICON_RICON-S-EK_GIGANT_WALCO '!I719</f>
        <v>8.6863960027681486</v>
      </c>
      <c r="O227" s="500">
        <f t="shared" si="21"/>
        <v>2.1629520012776062</v>
      </c>
      <c r="P227" s="500">
        <f t="shared" si="21"/>
        <v>3.2444280019164102</v>
      </c>
      <c r="Q227" s="500">
        <f t="shared" si="22"/>
        <v>4.0091058474314529</v>
      </c>
      <c r="R227" s="500">
        <f t="shared" si="22"/>
        <v>6.0136587711471794</v>
      </c>
      <c r="S227" s="514">
        <f t="shared" si="26"/>
        <v>320.4373335226083</v>
      </c>
      <c r="T227" s="514">
        <f t="shared" si="27"/>
        <v>593.94160702688191</v>
      </c>
    </row>
  </sheetData>
  <sheetProtection password="D9CA" sheet="1" objects="1" scenarios="1" selectLockedCells="1"/>
  <customSheetViews>
    <customSheetView guid="{88029C9E-0AAA-4AEA-8FBA-3530118F01BF}" hiddenColumns="1" topLeftCell="K1">
      <selection activeCell="O18" sqref="O18"/>
      <rowBreaks count="4" manualBreakCount="4">
        <brk id="37" max="16383" man="1"/>
        <brk id="68" max="16383" man="1"/>
        <brk id="99" max="16383" man="1"/>
        <brk id="146" max="16383" man="1"/>
      </rowBreaks>
      <colBreaks count="1" manualBreakCount="1">
        <brk id="10" max="1048575" man="1"/>
      </colBreaks>
      <pageMargins left="0.23622047244094491" right="0.23622047244094491" top="0.74803149606299213" bottom="0.74803149606299213" header="0.31496062992125984" footer="0.31496062992125984"/>
      <pageSetup paperSize="9" scale="62" orientation="portrait" r:id="rId1"/>
    </customSheetView>
  </customSheetViews>
  <mergeCells count="52">
    <mergeCell ref="S213:S214"/>
    <mergeCell ref="T213:T214"/>
    <mergeCell ref="D213:E213"/>
    <mergeCell ref="F213:G213"/>
    <mergeCell ref="H213:H214"/>
    <mergeCell ref="I213:I214"/>
    <mergeCell ref="O213:P213"/>
    <mergeCell ref="Q213:R213"/>
    <mergeCell ref="L212:L214"/>
    <mergeCell ref="A198:H198"/>
    <mergeCell ref="K198:S198"/>
    <mergeCell ref="B212:C212"/>
    <mergeCell ref="D212:F212"/>
    <mergeCell ref="H212:I212"/>
    <mergeCell ref="M212:N212"/>
    <mergeCell ref="O212:Q212"/>
    <mergeCell ref="S212:T212"/>
    <mergeCell ref="A147:H147"/>
    <mergeCell ref="B172:C172"/>
    <mergeCell ref="D172:H172"/>
    <mergeCell ref="M172:N172"/>
    <mergeCell ref="O172:S172"/>
    <mergeCell ref="A122:H122"/>
    <mergeCell ref="B134:C134"/>
    <mergeCell ref="D134:H134"/>
    <mergeCell ref="M134:N134"/>
    <mergeCell ref="O134:S134"/>
    <mergeCell ref="A100:H100"/>
    <mergeCell ref="K100:S100"/>
    <mergeCell ref="B110:C110"/>
    <mergeCell ref="D110:H110"/>
    <mergeCell ref="M110:N110"/>
    <mergeCell ref="O110:S110"/>
    <mergeCell ref="A69:H69"/>
    <mergeCell ref="K69:S69"/>
    <mergeCell ref="B72:C72"/>
    <mergeCell ref="D72:H72"/>
    <mergeCell ref="M72:N72"/>
    <mergeCell ref="O72:S72"/>
    <mergeCell ref="A38:H38"/>
    <mergeCell ref="K38:S38"/>
    <mergeCell ref="B41:C41"/>
    <mergeCell ref="D41:H41"/>
    <mergeCell ref="M41:N41"/>
    <mergeCell ref="O41:S41"/>
    <mergeCell ref="A1:H2"/>
    <mergeCell ref="K1:S2"/>
    <mergeCell ref="B16:C16"/>
    <mergeCell ref="D16:H16"/>
    <mergeCell ref="M16:N16"/>
    <mergeCell ref="O16:S16"/>
    <mergeCell ref="A4:H4"/>
  </mergeCells>
  <pageMargins left="0.23622047244094491" right="0.23622047244094491" top="0.74803149606299213" bottom="0.74803149606299213" header="0.31496062992125984" footer="0.31496062992125984"/>
  <pageSetup paperSize="9" scale="62" orientation="portrait" r:id="rId2"/>
  <rowBreaks count="4" manualBreakCount="4">
    <brk id="37" max="16383" man="1"/>
    <brk id="68" max="16383" man="1"/>
    <brk id="99" max="16383" man="1"/>
    <brk id="146" max="16383" man="1"/>
  </rowBreaks>
  <colBreaks count="1" manualBreakCount="1">
    <brk id="10" max="1048575" man="1"/>
  </col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00"/>
  <sheetViews>
    <sheetView showGridLines="0" showRowColHeaders="0" showRuler="0" view="pageLayout" zoomScaleNormal="100" workbookViewId="0">
      <selection activeCell="E5" sqref="E5"/>
    </sheetView>
  </sheetViews>
  <sheetFormatPr baseColWidth="10" defaultRowHeight="15"/>
  <cols>
    <col min="1" max="1" width="27.42578125" customWidth="1"/>
    <col min="2" max="2" width="24.85546875" bestFit="1" customWidth="1"/>
    <col min="3" max="3" width="14.5703125" bestFit="1" customWidth="1"/>
    <col min="4" max="4" width="25" bestFit="1" customWidth="1"/>
    <col min="6" max="6" width="12.42578125" customWidth="1"/>
    <col min="10" max="10" width="10.140625" customWidth="1"/>
    <col min="11" max="11" width="27.42578125" hidden="1" customWidth="1"/>
    <col min="12" max="12" width="0" hidden="1" customWidth="1"/>
    <col min="13" max="13" width="13.7109375" hidden="1" customWidth="1"/>
    <col min="14" max="19" width="0" hidden="1" customWidth="1"/>
  </cols>
  <sheetData>
    <row r="1" spans="1:20" ht="21" customHeight="1">
      <c r="A1" s="787" t="s">
        <v>649</v>
      </c>
      <c r="B1" s="787"/>
      <c r="C1" s="787"/>
      <c r="D1" s="787"/>
      <c r="E1" s="787"/>
      <c r="F1" s="787"/>
      <c r="G1" s="787"/>
      <c r="H1" s="787"/>
      <c r="I1" s="787"/>
      <c r="J1" s="787"/>
      <c r="K1" s="765" t="s">
        <v>444</v>
      </c>
      <c r="L1" s="765"/>
      <c r="M1" s="765"/>
      <c r="N1" s="765"/>
      <c r="O1" s="765"/>
      <c r="P1" s="765"/>
      <c r="Q1" s="765"/>
      <c r="R1" s="765"/>
    </row>
    <row r="2" spans="1:20" ht="21.6" customHeight="1" thickBot="1">
      <c r="A2" s="788"/>
      <c r="B2" s="788"/>
      <c r="C2" s="788"/>
      <c r="D2" s="788"/>
      <c r="E2" s="788"/>
      <c r="F2" s="788"/>
      <c r="G2" s="788"/>
      <c r="H2" s="788"/>
      <c r="I2" s="788"/>
      <c r="J2" s="788"/>
      <c r="K2" s="765"/>
      <c r="L2" s="765"/>
      <c r="M2" s="765"/>
      <c r="N2" s="765"/>
      <c r="O2" s="765"/>
      <c r="P2" s="765"/>
      <c r="Q2" s="765"/>
      <c r="R2" s="765"/>
    </row>
    <row r="3" spans="1:20" ht="21">
      <c r="A3" s="519"/>
      <c r="B3" s="519"/>
      <c r="C3" s="519"/>
      <c r="D3" s="519"/>
      <c r="E3" s="519"/>
      <c r="F3" s="519"/>
      <c r="G3" s="519"/>
      <c r="H3" s="519"/>
      <c r="I3" s="519"/>
      <c r="K3" s="519"/>
      <c r="L3" s="519"/>
      <c r="M3" s="519"/>
      <c r="N3" s="519"/>
      <c r="O3" s="519"/>
      <c r="P3" s="519"/>
      <c r="Q3" s="519"/>
      <c r="R3" s="519"/>
    </row>
    <row r="4" spans="1:20" ht="33.75">
      <c r="A4" s="556" t="s">
        <v>478</v>
      </c>
      <c r="B4" s="557"/>
      <c r="C4" s="557"/>
      <c r="D4" s="557"/>
      <c r="E4" s="557"/>
      <c r="F4" s="557"/>
      <c r="G4" s="557"/>
      <c r="H4" s="557"/>
      <c r="I4" s="557"/>
      <c r="J4" s="555"/>
      <c r="K4" s="553"/>
      <c r="L4" s="553"/>
      <c r="M4" s="553"/>
      <c r="N4" s="553"/>
      <c r="O4" s="553"/>
      <c r="P4" s="553"/>
      <c r="Q4" s="553"/>
      <c r="R4" s="553"/>
    </row>
    <row r="5" spans="1:20" ht="21">
      <c r="A5" s="558" t="s">
        <v>678</v>
      </c>
      <c r="B5" s="543"/>
      <c r="C5" s="543"/>
      <c r="D5" s="543" t="s">
        <v>650</v>
      </c>
      <c r="E5" s="601" t="s">
        <v>25</v>
      </c>
      <c r="G5" s="582" t="str">
        <f>VLOOKUP(E5,'RICON_RICON-S-EK_GIGANT_WALCO '!V7:X16,3,FALSE)</f>
        <v>Brettschichtholz homogen</v>
      </c>
      <c r="H5" s="543"/>
      <c r="K5" s="767" t="s">
        <v>473</v>
      </c>
      <c r="L5" s="767"/>
      <c r="M5" s="767"/>
      <c r="N5" s="767"/>
      <c r="O5" s="767"/>
      <c r="P5" s="767"/>
      <c r="Q5" s="767"/>
      <c r="R5" s="767"/>
    </row>
    <row r="6" spans="1:20" ht="18.75">
      <c r="D6" s="580" t="s">
        <v>657</v>
      </c>
      <c r="E6" s="601">
        <v>1</v>
      </c>
      <c r="G6" s="581" t="str">
        <f>VLOOKUP(Belastungsblatt_RICON_DE!E6,'RICON_RICON-S-EK_GIGANT_WALCO '!V21:W22,2,FALSE)</f>
        <v>Innenbereich</v>
      </c>
      <c r="K6" s="511" t="s">
        <v>445</v>
      </c>
    </row>
    <row r="7" spans="1:20" ht="21.6" customHeight="1">
      <c r="A7" s="517"/>
      <c r="B7" s="519"/>
      <c r="C7" s="517"/>
      <c r="D7" s="517"/>
      <c r="E7" s="517"/>
      <c r="F7" s="517"/>
      <c r="G7" s="517"/>
      <c r="H7" s="517"/>
      <c r="I7" s="517"/>
      <c r="K7" s="517"/>
      <c r="L7" s="517"/>
      <c r="M7" s="517"/>
      <c r="N7" s="517"/>
      <c r="O7" s="517"/>
      <c r="P7" s="517"/>
      <c r="Q7" s="517"/>
      <c r="R7" s="517"/>
    </row>
    <row r="8" spans="1:20" ht="21.6" customHeight="1">
      <c r="A8" s="517"/>
      <c r="B8" s="519"/>
      <c r="C8" s="517"/>
      <c r="D8" s="517"/>
      <c r="E8" s="517"/>
      <c r="F8" s="517"/>
      <c r="G8" s="517"/>
      <c r="H8" s="517"/>
      <c r="I8" s="517"/>
      <c r="K8" s="517"/>
      <c r="L8" s="517"/>
      <c r="M8" s="517"/>
      <c r="N8" s="517"/>
      <c r="O8" s="517"/>
      <c r="P8" s="517"/>
      <c r="Q8" s="517"/>
      <c r="R8" s="517"/>
    </row>
    <row r="9" spans="1:20" ht="21.6" customHeight="1">
      <c r="A9" s="517"/>
      <c r="B9" s="519"/>
      <c r="C9" s="517"/>
      <c r="D9" s="517"/>
      <c r="E9" s="517"/>
      <c r="F9" s="517"/>
      <c r="G9" s="517"/>
      <c r="H9" s="517"/>
      <c r="K9" s="517"/>
      <c r="L9" s="517"/>
      <c r="M9" s="517"/>
      <c r="N9" s="517"/>
      <c r="O9" s="517"/>
      <c r="P9" s="517"/>
      <c r="Q9" s="517"/>
      <c r="R9" s="517"/>
      <c r="T9" s="542"/>
    </row>
    <row r="10" spans="1:20" ht="21.6" customHeight="1">
      <c r="A10" s="517"/>
      <c r="B10" s="519"/>
      <c r="C10" s="517"/>
      <c r="D10" s="517"/>
      <c r="E10" s="517"/>
      <c r="F10" s="517"/>
      <c r="G10" s="517"/>
      <c r="H10" s="517"/>
      <c r="I10" s="517"/>
      <c r="K10" s="517"/>
      <c r="L10" s="517"/>
      <c r="M10" s="517"/>
      <c r="N10" s="517"/>
      <c r="O10" s="517"/>
      <c r="P10" s="517"/>
      <c r="Q10" s="517"/>
      <c r="R10" s="517"/>
    </row>
    <row r="11" spans="1:20" ht="21.6" customHeight="1">
      <c r="A11" s="517"/>
      <c r="B11" s="519"/>
      <c r="C11" s="517"/>
      <c r="D11" s="517"/>
      <c r="E11" s="517"/>
      <c r="F11" s="517"/>
      <c r="G11" s="517"/>
      <c r="H11" s="517"/>
      <c r="I11" s="517"/>
      <c r="K11" s="517"/>
      <c r="L11" s="517"/>
      <c r="M11" s="517"/>
      <c r="N11" s="517"/>
      <c r="O11" s="517"/>
      <c r="P11" s="517"/>
      <c r="Q11" s="517"/>
      <c r="R11" s="517"/>
    </row>
    <row r="12" spans="1:20" ht="21.6" customHeight="1">
      <c r="A12" s="517"/>
      <c r="B12" s="519"/>
      <c r="C12" s="517"/>
      <c r="D12" s="517"/>
      <c r="E12" s="517"/>
      <c r="F12" s="517"/>
      <c r="G12" s="517"/>
      <c r="H12" s="517"/>
      <c r="I12" s="517"/>
      <c r="K12" s="517"/>
      <c r="L12" s="517"/>
      <c r="M12" s="517"/>
      <c r="N12" s="517"/>
      <c r="O12" s="517"/>
      <c r="P12" s="517"/>
      <c r="Q12" s="517"/>
      <c r="R12" s="517"/>
    </row>
    <row r="13" spans="1:20" ht="21.6" customHeight="1">
      <c r="A13" s="509"/>
      <c r="B13" s="519"/>
      <c r="C13" s="509"/>
      <c r="D13" s="509"/>
      <c r="E13" s="509"/>
      <c r="F13" s="509"/>
      <c r="G13" s="509"/>
      <c r="H13" s="509"/>
      <c r="I13" s="509"/>
      <c r="K13" s="509"/>
      <c r="L13" s="509"/>
      <c r="M13" s="509"/>
      <c r="N13" s="509"/>
      <c r="O13" s="509"/>
      <c r="P13" s="509"/>
      <c r="Q13" s="509"/>
      <c r="R13" s="509"/>
    </row>
    <row r="16" spans="1:20" ht="21">
      <c r="B16" s="508"/>
      <c r="K16" s="508" t="s">
        <v>410</v>
      </c>
    </row>
    <row r="17" spans="1:18" ht="15" customHeight="1">
      <c r="A17" s="596" t="s">
        <v>413</v>
      </c>
      <c r="B17" s="771" t="s">
        <v>487</v>
      </c>
      <c r="C17" s="793" t="s">
        <v>414</v>
      </c>
      <c r="D17" s="793"/>
      <c r="E17" s="705" t="str">
        <f>"Belastungswerte F2,Rd für "&amp;E5&amp;" [kN]"</f>
        <v>Belastungswerte F2,Rd für GL24h [kN]</v>
      </c>
      <c r="F17" s="706"/>
      <c r="G17" s="706"/>
      <c r="H17" s="706"/>
      <c r="I17" s="604" t="s">
        <v>690</v>
      </c>
      <c r="K17" s="4" t="s">
        <v>479</v>
      </c>
      <c r="L17" s="766" t="s">
        <v>450</v>
      </c>
      <c r="M17" s="766"/>
      <c r="N17" s="682" t="s">
        <v>448</v>
      </c>
      <c r="O17" s="683"/>
      <c r="P17" s="683"/>
      <c r="Q17" s="683"/>
      <c r="R17" s="684"/>
    </row>
    <row r="18" spans="1:18" ht="33.75" customHeight="1">
      <c r="A18" s="598" t="s">
        <v>418</v>
      </c>
      <c r="B18" s="773"/>
      <c r="C18" s="597" t="s">
        <v>411</v>
      </c>
      <c r="D18" s="597" t="s">
        <v>412</v>
      </c>
      <c r="E18" s="603">
        <v>0.6</v>
      </c>
      <c r="F18" s="603">
        <v>0.7</v>
      </c>
      <c r="G18" s="603">
        <v>0.8</v>
      </c>
      <c r="H18" s="603">
        <v>0.9</v>
      </c>
      <c r="I18" s="603">
        <v>1</v>
      </c>
      <c r="K18" s="8" t="s">
        <v>447</v>
      </c>
      <c r="L18" s="44" t="s">
        <v>411</v>
      </c>
      <c r="M18" s="44" t="s">
        <v>412</v>
      </c>
      <c r="N18" s="95">
        <v>0.6</v>
      </c>
      <c r="O18" s="95">
        <v>0.7</v>
      </c>
      <c r="P18" s="95">
        <v>0.8</v>
      </c>
      <c r="Q18" s="95">
        <v>0.9</v>
      </c>
      <c r="R18" s="95">
        <v>1</v>
      </c>
    </row>
    <row r="19" spans="1:18" ht="45">
      <c r="A19" s="396" t="s">
        <v>694</v>
      </c>
      <c r="B19" s="525" t="s">
        <v>491</v>
      </c>
      <c r="C19" s="551">
        <f>'RICON_RICON-S-EK_GIGANT_WALCO '!C165</f>
        <v>6</v>
      </c>
      <c r="D19" s="551">
        <f>'RICON_RICON-S-EK_GIGANT_WALCO '!F165</f>
        <v>5.0131385975895597</v>
      </c>
      <c r="E19" s="500">
        <f t="shared" ref="E19:I31" si="0">MIN($C19/1,$D19*E$18/1.3)</f>
        <v>2.3137562758105656</v>
      </c>
      <c r="F19" s="500">
        <f t="shared" si="0"/>
        <v>2.6993823217789936</v>
      </c>
      <c r="G19" s="500">
        <f t="shared" si="0"/>
        <v>3.0850083677474216</v>
      </c>
      <c r="H19" s="500">
        <f t="shared" si="0"/>
        <v>3.4706344137158487</v>
      </c>
      <c r="I19" s="500">
        <f t="shared" si="0"/>
        <v>3.8562604596842767</v>
      </c>
      <c r="K19" s="396" t="s">
        <v>424</v>
      </c>
      <c r="L19" s="500">
        <f>'RICON_RICON-S-EK_GIGANT_WALCO '!C165</f>
        <v>6</v>
      </c>
      <c r="M19" s="500">
        <f>'RICON_RICON-S-EK_GIGANT_WALCO '!F165</f>
        <v>5.0131385975895597</v>
      </c>
      <c r="N19" s="500">
        <f t="shared" ref="N19:R31" si="1">MIN($C19/1,$D19*N$18/1.3)</f>
        <v>2.3137562758105656</v>
      </c>
      <c r="O19" s="500">
        <f t="shared" si="1"/>
        <v>2.6993823217789936</v>
      </c>
      <c r="P19" s="500">
        <f t="shared" si="1"/>
        <v>3.0850083677474216</v>
      </c>
      <c r="Q19" s="500">
        <f t="shared" si="1"/>
        <v>3.4706344137158487</v>
      </c>
      <c r="R19" s="500">
        <f t="shared" si="1"/>
        <v>3.8562604596842767</v>
      </c>
    </row>
    <row r="20" spans="1:18" ht="45">
      <c r="A20" s="396" t="s">
        <v>693</v>
      </c>
      <c r="B20" s="525" t="s">
        <v>648</v>
      </c>
      <c r="C20" s="551">
        <f>'RICON_RICON-S-EK_GIGANT_WALCO '!C166</f>
        <v>11</v>
      </c>
      <c r="D20" s="551">
        <f>'RICON_RICON-S-EK_GIGANT_WALCO '!F166</f>
        <v>7.2988007866232749</v>
      </c>
      <c r="E20" s="500">
        <f t="shared" si="0"/>
        <v>3.3686772861338188</v>
      </c>
      <c r="F20" s="500">
        <f t="shared" si="0"/>
        <v>3.9301235004894552</v>
      </c>
      <c r="G20" s="500">
        <f t="shared" si="0"/>
        <v>4.4915697148450926</v>
      </c>
      <c r="H20" s="500">
        <f t="shared" si="0"/>
        <v>5.0530159292007291</v>
      </c>
      <c r="I20" s="500">
        <f t="shared" si="0"/>
        <v>5.6144621435563655</v>
      </c>
      <c r="K20" s="396" t="s">
        <v>425</v>
      </c>
      <c r="L20" s="500">
        <f>'RICON_RICON-S-EK_GIGANT_WALCO '!C166</f>
        <v>11</v>
      </c>
      <c r="M20" s="500">
        <f>'RICON_RICON-S-EK_GIGANT_WALCO '!F166</f>
        <v>7.2988007866232749</v>
      </c>
      <c r="N20" s="500">
        <f t="shared" si="1"/>
        <v>3.3686772861338188</v>
      </c>
      <c r="O20" s="500">
        <f t="shared" si="1"/>
        <v>3.9301235004894552</v>
      </c>
      <c r="P20" s="500">
        <f t="shared" si="1"/>
        <v>4.4915697148450926</v>
      </c>
      <c r="Q20" s="500">
        <f t="shared" si="1"/>
        <v>5.0530159292007291</v>
      </c>
      <c r="R20" s="500">
        <f t="shared" si="1"/>
        <v>5.6144621435563655</v>
      </c>
    </row>
    <row r="21" spans="1:18" ht="45">
      <c r="A21" s="396" t="s">
        <v>696</v>
      </c>
      <c r="B21" s="525" t="s">
        <v>495</v>
      </c>
      <c r="C21" s="551">
        <f>'RICON_RICON-S-EK_GIGANT_WALCO '!C167</f>
        <v>14</v>
      </c>
      <c r="D21" s="551">
        <f>'RICON_RICON-S-EK_GIGANT_WALCO '!F167</f>
        <v>10.026277195179119</v>
      </c>
      <c r="E21" s="500">
        <f t="shared" si="0"/>
        <v>4.6275125516211313</v>
      </c>
      <c r="F21" s="500">
        <f t="shared" si="0"/>
        <v>5.3987646435579872</v>
      </c>
      <c r="G21" s="500">
        <f t="shared" si="0"/>
        <v>6.1700167354948432</v>
      </c>
      <c r="H21" s="500">
        <f t="shared" si="0"/>
        <v>6.9412688274316974</v>
      </c>
      <c r="I21" s="500">
        <f t="shared" si="0"/>
        <v>7.7125209193685533</v>
      </c>
      <c r="K21" s="396" t="s">
        <v>426</v>
      </c>
      <c r="L21" s="500">
        <f>'RICON_RICON-S-EK_GIGANT_WALCO '!C167</f>
        <v>14</v>
      </c>
      <c r="M21" s="500">
        <f>'RICON_RICON-S-EK_GIGANT_WALCO '!F167</f>
        <v>10.026277195179119</v>
      </c>
      <c r="N21" s="500">
        <f t="shared" si="1"/>
        <v>4.6275125516211313</v>
      </c>
      <c r="O21" s="500">
        <f t="shared" si="1"/>
        <v>5.3987646435579872</v>
      </c>
      <c r="P21" s="500">
        <f t="shared" si="1"/>
        <v>6.1700167354948432</v>
      </c>
      <c r="Q21" s="500">
        <f t="shared" si="1"/>
        <v>6.9412688274316974</v>
      </c>
      <c r="R21" s="500">
        <f t="shared" si="1"/>
        <v>7.7125209193685533</v>
      </c>
    </row>
    <row r="22" spans="1:18" ht="45">
      <c r="A22" s="396" t="s">
        <v>695</v>
      </c>
      <c r="B22" s="525" t="s">
        <v>496</v>
      </c>
      <c r="C22" s="551">
        <f>'RICON_RICON-S-EK_GIGANT_WALCO '!C168</f>
        <v>18</v>
      </c>
      <c r="D22" s="551">
        <f>'RICON_RICON-S-EK_GIGANT_WALCO '!F168</f>
        <v>12.753753603734964</v>
      </c>
      <c r="E22" s="500">
        <f t="shared" si="0"/>
        <v>5.8863478171084447</v>
      </c>
      <c r="F22" s="500">
        <f t="shared" si="0"/>
        <v>6.8674057866265183</v>
      </c>
      <c r="G22" s="500">
        <f t="shared" si="0"/>
        <v>7.8484637561445938</v>
      </c>
      <c r="H22" s="500">
        <f t="shared" si="0"/>
        <v>8.8295217256626675</v>
      </c>
      <c r="I22" s="500">
        <f t="shared" si="0"/>
        <v>9.810579695180742</v>
      </c>
      <c r="K22" s="396" t="s">
        <v>427</v>
      </c>
      <c r="L22" s="500">
        <f>'RICON_RICON-S-EK_GIGANT_WALCO '!C168</f>
        <v>18</v>
      </c>
      <c r="M22" s="500">
        <f>'RICON_RICON-S-EK_GIGANT_WALCO '!F168</f>
        <v>12.753753603734964</v>
      </c>
      <c r="N22" s="500">
        <f t="shared" si="1"/>
        <v>5.8863478171084447</v>
      </c>
      <c r="O22" s="500">
        <f t="shared" si="1"/>
        <v>6.8674057866265183</v>
      </c>
      <c r="P22" s="500">
        <f t="shared" si="1"/>
        <v>7.8484637561445938</v>
      </c>
      <c r="Q22" s="500">
        <f t="shared" si="1"/>
        <v>8.8295217256626675</v>
      </c>
      <c r="R22" s="500">
        <f t="shared" si="1"/>
        <v>9.810579695180742</v>
      </c>
    </row>
    <row r="23" spans="1:18" ht="45">
      <c r="A23" s="396" t="s">
        <v>697</v>
      </c>
      <c r="B23" s="525" t="s">
        <v>497</v>
      </c>
      <c r="C23" s="551">
        <f>'RICON_RICON-S-EK_GIGANT_WALCO '!C169</f>
        <v>18</v>
      </c>
      <c r="D23" s="551">
        <f>'RICON_RICON-S-EK_GIGANT_WALCO '!F169</f>
        <v>15.481230012290808</v>
      </c>
      <c r="E23" s="500">
        <f t="shared" si="0"/>
        <v>7.1451830825957581</v>
      </c>
      <c r="F23" s="500">
        <f t="shared" si="0"/>
        <v>8.3360469296950495</v>
      </c>
      <c r="G23" s="500">
        <f t="shared" si="0"/>
        <v>9.5269107767943435</v>
      </c>
      <c r="H23" s="500">
        <f t="shared" si="0"/>
        <v>10.717774623893636</v>
      </c>
      <c r="I23" s="500">
        <f t="shared" si="0"/>
        <v>11.90863847099293</v>
      </c>
      <c r="K23" s="396" t="s">
        <v>428</v>
      </c>
      <c r="L23" s="500">
        <f>'RICON_RICON-S-EK_GIGANT_WALCO '!C169</f>
        <v>18</v>
      </c>
      <c r="M23" s="500">
        <f>'RICON_RICON-S-EK_GIGANT_WALCO '!F169</f>
        <v>15.481230012290808</v>
      </c>
      <c r="N23" s="500">
        <f t="shared" si="1"/>
        <v>7.1451830825957581</v>
      </c>
      <c r="O23" s="500">
        <f t="shared" si="1"/>
        <v>8.3360469296950495</v>
      </c>
      <c r="P23" s="500">
        <f t="shared" si="1"/>
        <v>9.5269107767943435</v>
      </c>
      <c r="Q23" s="500">
        <f t="shared" si="1"/>
        <v>10.717774623893636</v>
      </c>
      <c r="R23" s="500">
        <f t="shared" si="1"/>
        <v>11.90863847099293</v>
      </c>
    </row>
    <row r="24" spans="1:18" ht="45">
      <c r="A24" s="396" t="s">
        <v>698</v>
      </c>
      <c r="B24" s="525" t="s">
        <v>482</v>
      </c>
      <c r="C24" s="551">
        <f>'RICON_RICON-S-EK_GIGANT_WALCO '!C170</f>
        <v>18</v>
      </c>
      <c r="D24" s="551">
        <f>'RICON_RICON-S-EK_GIGANT_WALCO '!F170</f>
        <v>18.208706420846653</v>
      </c>
      <c r="E24" s="500">
        <f t="shared" si="0"/>
        <v>8.4040183480830706</v>
      </c>
      <c r="F24" s="500">
        <f t="shared" si="0"/>
        <v>9.8046880727635806</v>
      </c>
      <c r="G24" s="500">
        <f t="shared" si="0"/>
        <v>11.205357797444094</v>
      </c>
      <c r="H24" s="500">
        <f t="shared" si="0"/>
        <v>12.606027522124606</v>
      </c>
      <c r="I24" s="500">
        <f t="shared" si="0"/>
        <v>14.006697246805118</v>
      </c>
      <c r="K24" s="396" t="s">
        <v>429</v>
      </c>
      <c r="L24" s="500">
        <f>'RICON_RICON-S-EK_GIGANT_WALCO '!C170</f>
        <v>18</v>
      </c>
      <c r="M24" s="500">
        <f>'RICON_RICON-S-EK_GIGANT_WALCO '!F170</f>
        <v>18.208706420846653</v>
      </c>
      <c r="N24" s="500">
        <f t="shared" si="1"/>
        <v>8.4040183480830706</v>
      </c>
      <c r="O24" s="500">
        <f t="shared" si="1"/>
        <v>9.8046880727635806</v>
      </c>
      <c r="P24" s="500">
        <f t="shared" si="1"/>
        <v>11.205357797444094</v>
      </c>
      <c r="Q24" s="500">
        <f t="shared" si="1"/>
        <v>12.606027522124606</v>
      </c>
      <c r="R24" s="500">
        <f t="shared" si="1"/>
        <v>14.006697246805118</v>
      </c>
    </row>
    <row r="25" spans="1:18" ht="45">
      <c r="A25" s="408" t="s">
        <v>699</v>
      </c>
      <c r="B25" s="525" t="s">
        <v>497</v>
      </c>
      <c r="C25" s="551">
        <f>'RICON_RICON-S-EK_GIGANT_WALCO '!C173</f>
        <v>18</v>
      </c>
      <c r="D25" s="551">
        <f>'RICON_RICON-S-EK_GIGANT_WALCO '!F173</f>
        <v>19.321640441339383</v>
      </c>
      <c r="E25" s="500">
        <f t="shared" si="0"/>
        <v>8.9176802036950988</v>
      </c>
      <c r="F25" s="500">
        <f t="shared" si="0"/>
        <v>10.403960237644283</v>
      </c>
      <c r="G25" s="500">
        <f t="shared" si="0"/>
        <v>11.890240271593468</v>
      </c>
      <c r="H25" s="500">
        <f t="shared" si="0"/>
        <v>13.37652030554265</v>
      </c>
      <c r="I25" s="500">
        <f t="shared" si="0"/>
        <v>14.862800339491832</v>
      </c>
      <c r="K25" s="408" t="s">
        <v>430</v>
      </c>
      <c r="L25" s="500">
        <f>'RICON_RICON-S-EK_GIGANT_WALCO '!C173</f>
        <v>18</v>
      </c>
      <c r="M25" s="500">
        <f>'RICON_RICON-S-EK_GIGANT_WALCO '!F173</f>
        <v>19.321640441339383</v>
      </c>
      <c r="N25" s="500">
        <f t="shared" si="1"/>
        <v>8.9176802036950988</v>
      </c>
      <c r="O25" s="500">
        <f t="shared" si="1"/>
        <v>10.403960237644283</v>
      </c>
      <c r="P25" s="500">
        <f t="shared" si="1"/>
        <v>11.890240271593468</v>
      </c>
      <c r="Q25" s="500">
        <f t="shared" si="1"/>
        <v>13.37652030554265</v>
      </c>
      <c r="R25" s="500">
        <f t="shared" si="1"/>
        <v>14.862800339491832</v>
      </c>
    </row>
    <row r="26" spans="1:18" ht="45">
      <c r="A26" s="408" t="s">
        <v>700</v>
      </c>
      <c r="B26" s="525" t="s">
        <v>482</v>
      </c>
      <c r="C26" s="551">
        <f>'RICON_RICON-S-EK_GIGANT_WALCO '!C174</f>
        <v>18</v>
      </c>
      <c r="D26" s="551">
        <f>'RICON_RICON-S-EK_GIGANT_WALCO '!F174</f>
        <v>22.049116849895228</v>
      </c>
      <c r="E26" s="500">
        <f t="shared" si="0"/>
        <v>10.176515469182412</v>
      </c>
      <c r="F26" s="500">
        <f t="shared" si="0"/>
        <v>11.872601380712814</v>
      </c>
      <c r="G26" s="500">
        <f t="shared" si="0"/>
        <v>13.568687292243217</v>
      </c>
      <c r="H26" s="500">
        <f t="shared" si="0"/>
        <v>15.264773203773618</v>
      </c>
      <c r="I26" s="500">
        <f t="shared" si="0"/>
        <v>16.960859115304022</v>
      </c>
      <c r="K26" s="408" t="s">
        <v>431</v>
      </c>
      <c r="L26" s="500">
        <f>'RICON_RICON-S-EK_GIGANT_WALCO '!C174</f>
        <v>18</v>
      </c>
      <c r="M26" s="500">
        <f>'RICON_RICON-S-EK_GIGANT_WALCO '!F174</f>
        <v>22.049116849895228</v>
      </c>
      <c r="N26" s="500">
        <f t="shared" si="1"/>
        <v>10.176515469182412</v>
      </c>
      <c r="O26" s="500">
        <f t="shared" si="1"/>
        <v>11.872601380712814</v>
      </c>
      <c r="P26" s="500">
        <f t="shared" si="1"/>
        <v>13.568687292243217</v>
      </c>
      <c r="Q26" s="500">
        <f t="shared" si="1"/>
        <v>15.264773203773618</v>
      </c>
      <c r="R26" s="500">
        <f t="shared" si="1"/>
        <v>16.960859115304022</v>
      </c>
    </row>
    <row r="27" spans="1:18" ht="45">
      <c r="A27" s="396" t="s">
        <v>701</v>
      </c>
      <c r="B27" s="525" t="s">
        <v>482</v>
      </c>
      <c r="C27" s="551">
        <f>'RICON_RICON-S-EK_GIGANT_WALCO '!C175</f>
        <v>11</v>
      </c>
      <c r="D27" s="551">
        <f>'RICON_RICON-S-EK_GIGANT_WALCO '!F175</f>
        <v>12.311939384212835</v>
      </c>
      <c r="E27" s="500">
        <f t="shared" si="0"/>
        <v>5.6824335619443849</v>
      </c>
      <c r="F27" s="500">
        <f t="shared" si="0"/>
        <v>6.6295058222684489</v>
      </c>
      <c r="G27" s="500">
        <f t="shared" si="0"/>
        <v>7.5765780825925138</v>
      </c>
      <c r="H27" s="500">
        <f t="shared" si="0"/>
        <v>8.5236503429165786</v>
      </c>
      <c r="I27" s="500">
        <f t="shared" si="0"/>
        <v>9.4707226032406417</v>
      </c>
      <c r="K27" s="396" t="s">
        <v>432</v>
      </c>
      <c r="L27" s="500">
        <f>'RICON_RICON-S-EK_GIGANT_WALCO '!C175</f>
        <v>11</v>
      </c>
      <c r="M27" s="500">
        <f>'RICON_RICON-S-EK_GIGANT_WALCO '!F175</f>
        <v>12.311939384212835</v>
      </c>
      <c r="N27" s="500">
        <f t="shared" si="1"/>
        <v>5.6824335619443849</v>
      </c>
      <c r="O27" s="500">
        <f t="shared" si="1"/>
        <v>6.6295058222684489</v>
      </c>
      <c r="P27" s="500">
        <f t="shared" si="1"/>
        <v>7.5765780825925138</v>
      </c>
      <c r="Q27" s="500">
        <f t="shared" si="1"/>
        <v>8.5236503429165786</v>
      </c>
      <c r="R27" s="500">
        <f t="shared" si="1"/>
        <v>9.4707226032406417</v>
      </c>
    </row>
    <row r="28" spans="1:18" ht="45">
      <c r="A28" s="396" t="s">
        <v>702</v>
      </c>
      <c r="B28" s="525" t="s">
        <v>483</v>
      </c>
      <c r="C28" s="551">
        <f>'RICON_RICON-S-EK_GIGANT_WALCO '!C176</f>
        <v>14</v>
      </c>
      <c r="D28" s="551">
        <f>'RICON_RICON-S-EK_GIGANT_WALCO '!F176</f>
        <v>17.766892201324524</v>
      </c>
      <c r="E28" s="500">
        <f t="shared" si="0"/>
        <v>8.2001040929190108</v>
      </c>
      <c r="F28" s="500">
        <f t="shared" si="0"/>
        <v>9.5667881084055111</v>
      </c>
      <c r="G28" s="500">
        <f t="shared" si="0"/>
        <v>10.933472123892015</v>
      </c>
      <c r="H28" s="500">
        <f t="shared" si="0"/>
        <v>12.300156139378517</v>
      </c>
      <c r="I28" s="500">
        <f t="shared" si="0"/>
        <v>13.666840154865017</v>
      </c>
      <c r="K28" s="396" t="s">
        <v>433</v>
      </c>
      <c r="L28" s="500">
        <f>'RICON_RICON-S-EK_GIGANT_WALCO '!C176</f>
        <v>14</v>
      </c>
      <c r="M28" s="500">
        <f>'RICON_RICON-S-EK_GIGANT_WALCO '!F176</f>
        <v>17.766892201324524</v>
      </c>
      <c r="N28" s="500">
        <f t="shared" si="1"/>
        <v>8.2001040929190108</v>
      </c>
      <c r="O28" s="500">
        <f t="shared" si="1"/>
        <v>9.5667881084055111</v>
      </c>
      <c r="P28" s="500">
        <f t="shared" si="1"/>
        <v>10.933472123892015</v>
      </c>
      <c r="Q28" s="500">
        <f t="shared" si="1"/>
        <v>12.300156139378517</v>
      </c>
      <c r="R28" s="500">
        <f t="shared" si="1"/>
        <v>13.666840154865017</v>
      </c>
    </row>
    <row r="29" spans="1:18" ht="45">
      <c r="A29" s="396" t="s">
        <v>703</v>
      </c>
      <c r="B29" s="525" t="s">
        <v>484</v>
      </c>
      <c r="C29" s="551">
        <f>'RICON_RICON-S-EK_GIGANT_WALCO '!C177</f>
        <v>18</v>
      </c>
      <c r="D29" s="551">
        <f>'RICON_RICON-S-EK_GIGANT_WALCO '!F177</f>
        <v>23.221845018436213</v>
      </c>
      <c r="E29" s="500">
        <f t="shared" si="0"/>
        <v>10.717774623893636</v>
      </c>
      <c r="F29" s="500">
        <f t="shared" si="0"/>
        <v>12.504070394542575</v>
      </c>
      <c r="G29" s="500">
        <f t="shared" si="0"/>
        <v>14.290366165191516</v>
      </c>
      <c r="H29" s="500">
        <f t="shared" si="0"/>
        <v>16.076661935840455</v>
      </c>
      <c r="I29" s="500">
        <f t="shared" si="0"/>
        <v>17.862957706489393</v>
      </c>
      <c r="K29" s="396" t="s">
        <v>434</v>
      </c>
      <c r="L29" s="500">
        <f>'RICON_RICON-S-EK_GIGANT_WALCO '!C177</f>
        <v>18</v>
      </c>
      <c r="M29" s="500">
        <f>'RICON_RICON-S-EK_GIGANT_WALCO '!F177</f>
        <v>23.221845018436213</v>
      </c>
      <c r="N29" s="500">
        <f t="shared" si="1"/>
        <v>10.717774623893636</v>
      </c>
      <c r="O29" s="500">
        <f t="shared" si="1"/>
        <v>12.504070394542575</v>
      </c>
      <c r="P29" s="500">
        <f t="shared" si="1"/>
        <v>14.290366165191516</v>
      </c>
      <c r="Q29" s="500">
        <f t="shared" si="1"/>
        <v>16.076661935840455</v>
      </c>
      <c r="R29" s="500">
        <f t="shared" si="1"/>
        <v>17.862957706489393</v>
      </c>
    </row>
    <row r="30" spans="1:18" ht="45">
      <c r="A30" s="396" t="s">
        <v>704</v>
      </c>
      <c r="B30" s="525" t="s">
        <v>485</v>
      </c>
      <c r="C30" s="551">
        <f>'RICON_RICON-S-EK_GIGANT_WALCO '!C178</f>
        <v>18</v>
      </c>
      <c r="D30" s="551">
        <f>'RICON_RICON-S-EK_GIGANT_WALCO '!F178</f>
        <v>28.676797835547902</v>
      </c>
      <c r="E30" s="500">
        <f t="shared" si="0"/>
        <v>13.235445154868261</v>
      </c>
      <c r="F30" s="500">
        <f t="shared" si="0"/>
        <v>15.441352680679639</v>
      </c>
      <c r="G30" s="500">
        <f t="shared" si="0"/>
        <v>17.647260206491016</v>
      </c>
      <c r="H30" s="500">
        <f t="shared" si="0"/>
        <v>18</v>
      </c>
      <c r="I30" s="500">
        <f t="shared" si="0"/>
        <v>18</v>
      </c>
      <c r="K30" s="396" t="s">
        <v>435</v>
      </c>
      <c r="L30" s="500">
        <f>'RICON_RICON-S-EK_GIGANT_WALCO '!C178</f>
        <v>18</v>
      </c>
      <c r="M30" s="500">
        <f>'RICON_RICON-S-EK_GIGANT_WALCO '!F178</f>
        <v>28.676797835547902</v>
      </c>
      <c r="N30" s="500">
        <f t="shared" si="1"/>
        <v>13.235445154868261</v>
      </c>
      <c r="O30" s="500">
        <f t="shared" si="1"/>
        <v>15.441352680679639</v>
      </c>
      <c r="P30" s="500">
        <f t="shared" si="1"/>
        <v>17.647260206491016</v>
      </c>
      <c r="Q30" s="500">
        <f t="shared" si="1"/>
        <v>18</v>
      </c>
      <c r="R30" s="500">
        <f t="shared" si="1"/>
        <v>18</v>
      </c>
    </row>
    <row r="31" spans="1:18" ht="45">
      <c r="A31" s="396" t="s">
        <v>705</v>
      </c>
      <c r="B31" s="525" t="s">
        <v>486</v>
      </c>
      <c r="C31" s="551">
        <f>'RICON_RICON-S-EK_GIGANT_WALCO '!C179</f>
        <v>18</v>
      </c>
      <c r="D31" s="551">
        <f>'RICON_RICON-S-EK_GIGANT_WALCO '!F179</f>
        <v>34.131750652659591</v>
      </c>
      <c r="E31" s="500">
        <f t="shared" si="0"/>
        <v>15.753115685842886</v>
      </c>
      <c r="F31" s="500">
        <f t="shared" si="0"/>
        <v>18</v>
      </c>
      <c r="G31" s="500">
        <f t="shared" si="0"/>
        <v>18</v>
      </c>
      <c r="H31" s="500">
        <f t="shared" si="0"/>
        <v>18</v>
      </c>
      <c r="I31" s="500">
        <f t="shared" si="0"/>
        <v>18</v>
      </c>
      <c r="K31" s="396" t="s">
        <v>436</v>
      </c>
      <c r="L31" s="500">
        <f>'RICON_RICON-S-EK_GIGANT_WALCO '!C179</f>
        <v>18</v>
      </c>
      <c r="M31" s="500">
        <f>'RICON_RICON-S-EK_GIGANT_WALCO '!F179</f>
        <v>34.131750652659591</v>
      </c>
      <c r="N31" s="500">
        <f t="shared" si="1"/>
        <v>15.753115685842886</v>
      </c>
      <c r="O31" s="500">
        <f t="shared" si="1"/>
        <v>18</v>
      </c>
      <c r="P31" s="500">
        <f t="shared" si="1"/>
        <v>18</v>
      </c>
      <c r="Q31" s="500">
        <f t="shared" si="1"/>
        <v>18</v>
      </c>
      <c r="R31" s="500">
        <f t="shared" si="1"/>
        <v>18</v>
      </c>
    </row>
    <row r="32" spans="1:18">
      <c r="A32" s="418"/>
      <c r="B32" s="526"/>
      <c r="C32" s="510"/>
      <c r="D32" s="510"/>
      <c r="E32" s="510"/>
      <c r="F32" s="510"/>
      <c r="G32" s="510"/>
      <c r="H32" s="510"/>
      <c r="I32" s="510"/>
      <c r="K32" s="418"/>
      <c r="L32" s="510"/>
      <c r="M32" s="510"/>
      <c r="N32" s="510"/>
      <c r="O32" s="510"/>
      <c r="P32" s="510"/>
      <c r="Q32" s="510"/>
      <c r="R32" s="510"/>
    </row>
    <row r="33" spans="1:18">
      <c r="A33" s="418"/>
      <c r="B33" s="526"/>
      <c r="C33" s="510"/>
      <c r="D33" s="510"/>
      <c r="E33" s="510"/>
      <c r="F33" s="510"/>
      <c r="G33" s="510"/>
      <c r="H33" s="510"/>
      <c r="I33" s="510"/>
      <c r="K33" s="418"/>
      <c r="L33" s="510"/>
      <c r="M33" s="510"/>
      <c r="N33" s="510"/>
      <c r="O33" s="510"/>
      <c r="P33" s="510"/>
      <c r="Q33" s="510"/>
      <c r="R33" s="510"/>
    </row>
    <row r="34" spans="1:18">
      <c r="A34" s="418"/>
      <c r="B34" s="526"/>
      <c r="C34" s="510"/>
      <c r="D34" s="510"/>
      <c r="E34" s="510"/>
      <c r="F34" s="510"/>
      <c r="G34" s="510"/>
      <c r="H34" s="510"/>
      <c r="I34" s="510"/>
      <c r="K34" s="418"/>
      <c r="L34" s="510"/>
      <c r="M34" s="510"/>
      <c r="N34" s="510"/>
      <c r="O34" s="510"/>
      <c r="P34" s="510"/>
      <c r="Q34" s="510"/>
      <c r="R34" s="510"/>
    </row>
    <row r="35" spans="1:18">
      <c r="A35" s="418"/>
      <c r="B35" s="418"/>
      <c r="C35" s="510"/>
      <c r="D35" s="510"/>
      <c r="E35" s="510"/>
      <c r="F35" s="510"/>
      <c r="G35" s="510"/>
      <c r="H35" s="510"/>
      <c r="I35" s="510"/>
      <c r="K35" s="418"/>
      <c r="L35" s="510"/>
      <c r="M35" s="510"/>
      <c r="N35" s="510"/>
      <c r="O35" s="510"/>
      <c r="P35" s="510"/>
      <c r="Q35" s="510"/>
      <c r="R35" s="510"/>
    </row>
    <row r="36" spans="1:18">
      <c r="A36" s="418"/>
      <c r="B36" s="418"/>
      <c r="C36" s="510"/>
      <c r="D36" s="510"/>
      <c r="E36" s="510"/>
      <c r="F36" s="510"/>
      <c r="G36" s="510"/>
      <c r="H36" s="510"/>
      <c r="I36" s="510"/>
      <c r="K36" s="418"/>
      <c r="L36" s="510"/>
      <c r="M36" s="510"/>
      <c r="N36" s="510"/>
      <c r="O36" s="510"/>
      <c r="P36" s="510"/>
      <c r="Q36" s="510"/>
      <c r="R36" s="510"/>
    </row>
    <row r="37" spans="1:18">
      <c r="A37" s="418"/>
      <c r="B37" s="418"/>
      <c r="C37" s="510"/>
      <c r="D37" s="510"/>
      <c r="E37" s="510"/>
      <c r="F37" s="510"/>
      <c r="G37" s="510"/>
      <c r="H37" s="510"/>
      <c r="I37" s="510"/>
      <c r="K37" s="418"/>
      <c r="L37" s="510"/>
      <c r="M37" s="510"/>
      <c r="N37" s="510"/>
      <c r="O37" s="510"/>
      <c r="P37" s="510"/>
      <c r="Q37" s="510"/>
      <c r="R37" s="510"/>
    </row>
    <row r="38" spans="1:18">
      <c r="A38" s="418"/>
      <c r="B38" s="418"/>
      <c r="C38" s="510"/>
      <c r="D38" s="510"/>
      <c r="E38" s="510"/>
      <c r="F38" s="510"/>
      <c r="G38" s="510"/>
      <c r="H38" s="510"/>
      <c r="I38" s="510"/>
      <c r="K38" s="418"/>
      <c r="L38" s="510"/>
      <c r="M38" s="510"/>
      <c r="N38" s="510"/>
      <c r="O38" s="510"/>
      <c r="P38" s="510"/>
      <c r="Q38" s="510"/>
      <c r="R38" s="510"/>
    </row>
    <row r="39" spans="1:18" ht="33.75">
      <c r="A39" s="792" t="s">
        <v>416</v>
      </c>
      <c r="B39" s="792"/>
      <c r="C39" s="555"/>
      <c r="D39" s="555"/>
      <c r="E39" s="555"/>
      <c r="F39" s="555"/>
      <c r="G39" s="555"/>
      <c r="H39" s="555"/>
      <c r="I39" s="555"/>
      <c r="J39" s="579"/>
      <c r="K39" s="767" t="s">
        <v>473</v>
      </c>
      <c r="L39" s="767"/>
      <c r="M39" s="767"/>
      <c r="N39" s="767"/>
      <c r="O39" s="767"/>
      <c r="P39" s="767"/>
      <c r="Q39" s="767"/>
      <c r="R39" s="767"/>
    </row>
    <row r="40" spans="1:18" s="559" customFormat="1" ht="23.25">
      <c r="A40" s="611" t="s">
        <v>731</v>
      </c>
      <c r="B40" s="558"/>
      <c r="C40" s="558"/>
      <c r="D40" s="543" t="s">
        <v>650</v>
      </c>
      <c r="E40" s="601" t="s">
        <v>25</v>
      </c>
      <c r="F40" s="511"/>
      <c r="G40" s="582" t="str">
        <f>VLOOKUP(E40,'RICON_RICON-S-EK_GIGANT_WALCO '!V7:X16,3,FALSE)</f>
        <v>Brettschichtholz homogen</v>
      </c>
      <c r="H40" s="543"/>
      <c r="I40" s="511"/>
      <c r="K40" s="560"/>
      <c r="L40" s="560"/>
      <c r="M40" s="560"/>
      <c r="N40" s="560"/>
      <c r="O40" s="560"/>
      <c r="P40" s="560"/>
      <c r="Q40" s="560"/>
      <c r="R40" s="560"/>
    </row>
    <row r="41" spans="1:18" s="559" customFormat="1" ht="21">
      <c r="D41" s="580" t="s">
        <v>657</v>
      </c>
      <c r="E41" s="601">
        <v>1</v>
      </c>
      <c r="F41" s="511"/>
      <c r="G41" s="581" t="str">
        <f>VLOOKUP(Belastungsblatt_RICON_DE!E41,'RICON_RICON-S-EK_GIGANT_WALCO '!V21:W23,2,FALSE)</f>
        <v>Innenbereich</v>
      </c>
      <c r="H41" s="511"/>
      <c r="I41" s="511"/>
      <c r="J41" s="511"/>
      <c r="K41" s="559" t="s">
        <v>666</v>
      </c>
    </row>
    <row r="42" spans="1:18" ht="21" customHeight="1">
      <c r="A42" s="507"/>
      <c r="B42" s="507"/>
      <c r="K42" s="507" t="s">
        <v>449</v>
      </c>
    </row>
    <row r="43" spans="1:18" s="562" customFormat="1" ht="18">
      <c r="A43" s="592" t="s">
        <v>413</v>
      </c>
      <c r="B43" s="777" t="s">
        <v>487</v>
      </c>
      <c r="C43" s="776" t="s">
        <v>414</v>
      </c>
      <c r="D43" s="776"/>
      <c r="E43" s="794" t="str">
        <f>"Belastungswerte F2,Rd für "&amp;E40&amp;" [kN]"</f>
        <v>Belastungswerte F2,Rd für GL24h [kN]</v>
      </c>
      <c r="F43" s="795"/>
      <c r="G43" s="795"/>
      <c r="H43" s="795"/>
      <c r="I43" s="604" t="s">
        <v>691</v>
      </c>
      <c r="K43" s="561" t="s">
        <v>413</v>
      </c>
      <c r="L43" s="766" t="s">
        <v>450</v>
      </c>
      <c r="M43" s="766"/>
      <c r="N43" s="789" t="s">
        <v>448</v>
      </c>
      <c r="O43" s="791"/>
      <c r="P43" s="791"/>
      <c r="Q43" s="791"/>
      <c r="R43" s="790"/>
    </row>
    <row r="44" spans="1:18" s="562" customFormat="1" ht="33.75" customHeight="1">
      <c r="A44" s="594" t="s">
        <v>417</v>
      </c>
      <c r="B44" s="778"/>
      <c r="C44" s="600" t="s">
        <v>411</v>
      </c>
      <c r="D44" s="600" t="s">
        <v>412</v>
      </c>
      <c r="E44" s="599">
        <f>IF(OR($E$41=1,$E$41=2),0.6,0.5)</f>
        <v>0.6</v>
      </c>
      <c r="F44" s="599">
        <f>IF(OR($E$41=1,$E$41=2),0.7,0.55)</f>
        <v>0.7</v>
      </c>
      <c r="G44" s="599">
        <f>IF(OR($E$41=1,$E$41=2),0.8,0.65)</f>
        <v>0.8</v>
      </c>
      <c r="H44" s="599">
        <f>IF(OR($E$41=1,$E$41=2),0.9,0.7)</f>
        <v>0.9</v>
      </c>
      <c r="I44" s="599">
        <f>IF(OR($E$41=1,$E$41=2),1,0.8)</f>
        <v>1</v>
      </c>
      <c r="K44" s="563" t="s">
        <v>337</v>
      </c>
      <c r="L44" s="565" t="s">
        <v>411</v>
      </c>
      <c r="M44" s="565" t="s">
        <v>412</v>
      </c>
      <c r="N44" s="564">
        <v>0.6</v>
      </c>
      <c r="O44" s="564">
        <v>0.7</v>
      </c>
      <c r="P44" s="564">
        <v>0.8</v>
      </c>
      <c r="Q44" s="564">
        <v>0.9</v>
      </c>
      <c r="R44" s="564">
        <v>1</v>
      </c>
    </row>
    <row r="45" spans="1:18" s="562" customFormat="1" ht="38.25" hidden="1">
      <c r="A45" s="566" t="s">
        <v>460</v>
      </c>
      <c r="B45" s="567" t="s">
        <v>491</v>
      </c>
      <c r="C45" s="568">
        <f>RICON_Edelstahl!C111</f>
        <v>4.5</v>
      </c>
      <c r="D45" s="568">
        <f>RICON_Edelstahl!F111</f>
        <v>5.1804296195027444</v>
      </c>
      <c r="E45" s="569">
        <f t="shared" ref="E45:E68" si="2">MIN($C45/1,$D45*E$44/1.3)</f>
        <v>2.3909675166935744</v>
      </c>
      <c r="F45" s="569">
        <f t="shared" ref="F45:I60" si="3">MIN($C45/1,$D45*F$44/1.3)</f>
        <v>2.7894621028091695</v>
      </c>
      <c r="G45" s="569">
        <f t="shared" si="3"/>
        <v>3.1879566889247655</v>
      </c>
      <c r="H45" s="569">
        <f t="shared" si="3"/>
        <v>3.5864512750403614</v>
      </c>
      <c r="I45" s="569">
        <f t="shared" si="3"/>
        <v>3.9849458611559569</v>
      </c>
      <c r="K45" s="566" t="s">
        <v>385</v>
      </c>
      <c r="L45" s="569">
        <f>RICON_Edelstahl!C111</f>
        <v>4.5</v>
      </c>
      <c r="M45" s="569">
        <f>RICON_Edelstahl!F111</f>
        <v>5.1804296195027444</v>
      </c>
      <c r="N45" s="569">
        <f t="shared" ref="N45:N68" si="4">MIN($C45/1,$D45*N$44/1.3)</f>
        <v>2.3909675166935744</v>
      </c>
      <c r="O45" s="569">
        <f t="shared" ref="O45:R60" si="5">MIN($C45/1,$D45*O$44/1.3)</f>
        <v>2.7894621028091695</v>
      </c>
      <c r="P45" s="569">
        <f t="shared" si="5"/>
        <v>3.1879566889247655</v>
      </c>
      <c r="Q45" s="569">
        <f t="shared" si="5"/>
        <v>3.5864512750403614</v>
      </c>
      <c r="R45" s="569">
        <f t="shared" si="5"/>
        <v>3.9849458611559569</v>
      </c>
    </row>
    <row r="46" spans="1:18" s="562" customFormat="1" ht="38.25">
      <c r="A46" s="566" t="s">
        <v>728</v>
      </c>
      <c r="B46" s="567" t="s">
        <v>494</v>
      </c>
      <c r="C46" s="568">
        <f>RICON_Edelstahl!C112</f>
        <v>8.1999999999999993</v>
      </c>
      <c r="D46" s="568">
        <f>RICON_Edelstahl!F112</f>
        <v>7.5161100233272613</v>
      </c>
      <c r="E46" s="569">
        <f t="shared" si="2"/>
        <v>3.4689738569202739</v>
      </c>
      <c r="F46" s="569">
        <f t="shared" si="3"/>
        <v>4.0471361664069869</v>
      </c>
      <c r="G46" s="569">
        <f t="shared" si="3"/>
        <v>4.6252984758936995</v>
      </c>
      <c r="H46" s="569">
        <f t="shared" si="3"/>
        <v>5.203460785380412</v>
      </c>
      <c r="I46" s="569">
        <f t="shared" si="3"/>
        <v>5.7816230948671237</v>
      </c>
      <c r="K46" s="566" t="s">
        <v>386</v>
      </c>
      <c r="L46" s="569">
        <f>RICON_Edelstahl!C112</f>
        <v>8.1999999999999993</v>
      </c>
      <c r="M46" s="569">
        <f>RICON_Edelstahl!F112</f>
        <v>7.5161100233272613</v>
      </c>
      <c r="N46" s="569">
        <f t="shared" si="4"/>
        <v>3.4689738569202739</v>
      </c>
      <c r="O46" s="569">
        <f t="shared" si="5"/>
        <v>4.0471361664069869</v>
      </c>
      <c r="P46" s="569">
        <f t="shared" si="5"/>
        <v>4.6252984758936995</v>
      </c>
      <c r="Q46" s="569">
        <f t="shared" si="5"/>
        <v>5.203460785380412</v>
      </c>
      <c r="R46" s="569">
        <f t="shared" si="5"/>
        <v>5.7816230948671237</v>
      </c>
    </row>
    <row r="47" spans="1:18" s="562" customFormat="1" ht="38.25" hidden="1">
      <c r="A47" s="566" t="s">
        <v>461</v>
      </c>
      <c r="B47" s="567" t="s">
        <v>495</v>
      </c>
      <c r="C47" s="568">
        <f>RICON_Edelstahl!C113</f>
        <v>10.4</v>
      </c>
      <c r="D47" s="568">
        <f>RICON_Edelstahl!F113</f>
        <v>10.360859239005489</v>
      </c>
      <c r="E47" s="569">
        <f t="shared" si="2"/>
        <v>4.7819350333871489</v>
      </c>
      <c r="F47" s="569">
        <f t="shared" si="3"/>
        <v>5.578924205618339</v>
      </c>
      <c r="G47" s="569">
        <f t="shared" si="3"/>
        <v>6.3759133778495309</v>
      </c>
      <c r="H47" s="569">
        <f t="shared" si="3"/>
        <v>7.1729025500807229</v>
      </c>
      <c r="I47" s="569">
        <f t="shared" si="3"/>
        <v>7.9698917223119139</v>
      </c>
      <c r="K47" s="566" t="s">
        <v>387</v>
      </c>
      <c r="L47" s="569">
        <f>RICON_Edelstahl!C113</f>
        <v>10.4</v>
      </c>
      <c r="M47" s="569">
        <f>RICON_Edelstahl!F113</f>
        <v>10.360859239005489</v>
      </c>
      <c r="N47" s="569">
        <f t="shared" si="4"/>
        <v>4.7819350333871489</v>
      </c>
      <c r="O47" s="569">
        <f t="shared" si="5"/>
        <v>5.578924205618339</v>
      </c>
      <c r="P47" s="569">
        <f t="shared" si="5"/>
        <v>6.3759133778495309</v>
      </c>
      <c r="Q47" s="569">
        <f t="shared" si="5"/>
        <v>7.1729025500807229</v>
      </c>
      <c r="R47" s="569">
        <f t="shared" si="5"/>
        <v>7.9698917223119139</v>
      </c>
    </row>
    <row r="48" spans="1:18" s="562" customFormat="1" ht="38.25" hidden="1">
      <c r="A48" s="566" t="s">
        <v>462</v>
      </c>
      <c r="B48" s="567" t="s">
        <v>496</v>
      </c>
      <c r="C48" s="568">
        <f>RICON_Edelstahl!C114</f>
        <v>13.4</v>
      </c>
      <c r="D48" s="568">
        <f>RICON_Edelstahl!F114</f>
        <v>13.205608454683714</v>
      </c>
      <c r="E48" s="569">
        <f t="shared" si="2"/>
        <v>6.0948962098540216</v>
      </c>
      <c r="F48" s="569">
        <f t="shared" si="3"/>
        <v>7.1107122448296911</v>
      </c>
      <c r="G48" s="569">
        <f t="shared" si="3"/>
        <v>8.1265282798053633</v>
      </c>
      <c r="H48" s="569">
        <f t="shared" si="3"/>
        <v>9.1423443147810328</v>
      </c>
      <c r="I48" s="569">
        <f t="shared" si="3"/>
        <v>10.158160349756702</v>
      </c>
      <c r="K48" s="566" t="s">
        <v>388</v>
      </c>
      <c r="L48" s="569">
        <f>RICON_Edelstahl!C114</f>
        <v>13.4</v>
      </c>
      <c r="M48" s="569">
        <f>RICON_Edelstahl!F114</f>
        <v>13.205608454683714</v>
      </c>
      <c r="N48" s="569">
        <f t="shared" si="4"/>
        <v>6.0948962098540216</v>
      </c>
      <c r="O48" s="569">
        <f t="shared" si="5"/>
        <v>7.1107122448296911</v>
      </c>
      <c r="P48" s="569">
        <f t="shared" si="5"/>
        <v>8.1265282798053633</v>
      </c>
      <c r="Q48" s="569">
        <f t="shared" si="5"/>
        <v>9.1423443147810328</v>
      </c>
      <c r="R48" s="569">
        <f t="shared" si="5"/>
        <v>10.158160349756702</v>
      </c>
    </row>
    <row r="49" spans="1:18" s="562" customFormat="1" ht="38.25" hidden="1">
      <c r="A49" s="566" t="s">
        <v>463</v>
      </c>
      <c r="B49" s="567" t="s">
        <v>497</v>
      </c>
      <c r="C49" s="568">
        <f>RICON_Edelstahl!C115</f>
        <v>13.4</v>
      </c>
      <c r="D49" s="568">
        <f>RICON_Edelstahl!F115</f>
        <v>16.05035767036194</v>
      </c>
      <c r="E49" s="569">
        <f t="shared" si="2"/>
        <v>7.4078573863208952</v>
      </c>
      <c r="F49" s="569">
        <f t="shared" si="3"/>
        <v>8.6425002840410432</v>
      </c>
      <c r="G49" s="569">
        <f t="shared" si="3"/>
        <v>9.8771431817611948</v>
      </c>
      <c r="H49" s="569">
        <f t="shared" si="3"/>
        <v>11.111786079481343</v>
      </c>
      <c r="I49" s="569">
        <f t="shared" si="3"/>
        <v>12.346428977201493</v>
      </c>
      <c r="K49" s="566" t="s">
        <v>389</v>
      </c>
      <c r="L49" s="569">
        <f>RICON_Edelstahl!C115</f>
        <v>13.4</v>
      </c>
      <c r="M49" s="569">
        <f>RICON_Edelstahl!F115</f>
        <v>16.05035767036194</v>
      </c>
      <c r="N49" s="569">
        <f t="shared" si="4"/>
        <v>7.4078573863208952</v>
      </c>
      <c r="O49" s="569">
        <f t="shared" si="5"/>
        <v>8.6425002840410432</v>
      </c>
      <c r="P49" s="569">
        <f t="shared" si="5"/>
        <v>9.8771431817611948</v>
      </c>
      <c r="Q49" s="569">
        <f t="shared" si="5"/>
        <v>11.111786079481343</v>
      </c>
      <c r="R49" s="569">
        <f t="shared" si="5"/>
        <v>12.346428977201493</v>
      </c>
    </row>
    <row r="50" spans="1:18" s="562" customFormat="1" ht="38.25">
      <c r="A50" s="566" t="s">
        <v>729</v>
      </c>
      <c r="B50" s="567" t="s">
        <v>482</v>
      </c>
      <c r="C50" s="568">
        <f>RICON_Edelstahl!C116</f>
        <v>13.4</v>
      </c>
      <c r="D50" s="568">
        <f>RICON_Edelstahl!F116</f>
        <v>18.895106886040168</v>
      </c>
      <c r="E50" s="569">
        <f t="shared" si="2"/>
        <v>8.7208185627877697</v>
      </c>
      <c r="F50" s="569">
        <f t="shared" si="3"/>
        <v>10.174288323252396</v>
      </c>
      <c r="G50" s="569">
        <f t="shared" si="3"/>
        <v>11.627758083717026</v>
      </c>
      <c r="H50" s="569">
        <f t="shared" si="3"/>
        <v>13.081227844181655</v>
      </c>
      <c r="I50" s="569">
        <f t="shared" si="3"/>
        <v>13.4</v>
      </c>
      <c r="K50" s="566" t="s">
        <v>390</v>
      </c>
      <c r="L50" s="569">
        <f>RICON_Edelstahl!C116</f>
        <v>13.4</v>
      </c>
      <c r="M50" s="569">
        <f>RICON_Edelstahl!F116</f>
        <v>18.895106886040168</v>
      </c>
      <c r="N50" s="569">
        <f t="shared" si="4"/>
        <v>8.7208185627877697</v>
      </c>
      <c r="O50" s="569">
        <f t="shared" si="5"/>
        <v>10.174288323252396</v>
      </c>
      <c r="P50" s="569">
        <f t="shared" si="5"/>
        <v>11.627758083717026</v>
      </c>
      <c r="Q50" s="569">
        <f t="shared" si="5"/>
        <v>13.081227844181655</v>
      </c>
      <c r="R50" s="569">
        <f t="shared" si="5"/>
        <v>13.4</v>
      </c>
    </row>
    <row r="51" spans="1:18" s="562" customFormat="1" ht="38.25">
      <c r="A51" s="566" t="s">
        <v>727</v>
      </c>
      <c r="B51" s="567" t="s">
        <v>482</v>
      </c>
      <c r="C51" s="568">
        <f>RICON_Edelstahl!C117</f>
        <v>8.1999999999999993</v>
      </c>
      <c r="D51" s="568">
        <f>RICON_Edelstahl!F117</f>
        <v>12.696539642830006</v>
      </c>
      <c r="E51" s="569">
        <f t="shared" si="2"/>
        <v>5.8599413736138484</v>
      </c>
      <c r="F51" s="569">
        <f t="shared" si="3"/>
        <v>6.8365982692161564</v>
      </c>
      <c r="G51" s="569">
        <f t="shared" si="3"/>
        <v>7.8132551648184654</v>
      </c>
      <c r="H51" s="569">
        <f t="shared" si="3"/>
        <v>8.1999999999999993</v>
      </c>
      <c r="I51" s="569">
        <f t="shared" si="3"/>
        <v>8.1999999999999993</v>
      </c>
      <c r="K51" s="566" t="s">
        <v>391</v>
      </c>
      <c r="L51" s="569">
        <f>RICON_Edelstahl!C117</f>
        <v>8.1999999999999993</v>
      </c>
      <c r="M51" s="569">
        <f>RICON_Edelstahl!F117</f>
        <v>12.696539642830006</v>
      </c>
      <c r="N51" s="569">
        <f t="shared" si="4"/>
        <v>5.8599413736138484</v>
      </c>
      <c r="O51" s="569">
        <f t="shared" si="5"/>
        <v>6.8365982692161564</v>
      </c>
      <c r="P51" s="569">
        <f t="shared" si="5"/>
        <v>7.8132551648184654</v>
      </c>
      <c r="Q51" s="569">
        <f t="shared" si="5"/>
        <v>8.1999999999999993</v>
      </c>
      <c r="R51" s="569">
        <f t="shared" si="5"/>
        <v>8.1999999999999993</v>
      </c>
    </row>
    <row r="52" spans="1:18" s="562" customFormat="1" ht="38.25" hidden="1">
      <c r="A52" s="566" t="s">
        <v>464</v>
      </c>
      <c r="B52" s="567" t="s">
        <v>483</v>
      </c>
      <c r="C52" s="568">
        <f>RICON_Edelstahl!C118</f>
        <v>10.4</v>
      </c>
      <c r="D52" s="568">
        <f>RICON_Edelstahl!F118</f>
        <v>18.386038074186459</v>
      </c>
      <c r="E52" s="569">
        <f t="shared" si="2"/>
        <v>8.4858637265475956</v>
      </c>
      <c r="F52" s="569">
        <f t="shared" si="3"/>
        <v>9.9001743476388615</v>
      </c>
      <c r="G52" s="569">
        <f t="shared" si="3"/>
        <v>10.4</v>
      </c>
      <c r="H52" s="569">
        <f t="shared" si="3"/>
        <v>10.4</v>
      </c>
      <c r="I52" s="569">
        <f t="shared" si="3"/>
        <v>10.4</v>
      </c>
      <c r="K52" s="566" t="s">
        <v>392</v>
      </c>
      <c r="L52" s="569">
        <f>RICON_Edelstahl!C118</f>
        <v>10.4</v>
      </c>
      <c r="M52" s="569">
        <f>RICON_Edelstahl!F118</f>
        <v>18.386038074186459</v>
      </c>
      <c r="N52" s="569">
        <f t="shared" si="4"/>
        <v>8.4858637265475956</v>
      </c>
      <c r="O52" s="569">
        <f t="shared" si="5"/>
        <v>9.9001743476388615</v>
      </c>
      <c r="P52" s="569">
        <f t="shared" si="5"/>
        <v>10.4</v>
      </c>
      <c r="Q52" s="569">
        <f t="shared" si="5"/>
        <v>10.4</v>
      </c>
      <c r="R52" s="569">
        <f t="shared" si="5"/>
        <v>10.4</v>
      </c>
    </row>
    <row r="53" spans="1:18" s="562" customFormat="1" ht="38.25" hidden="1">
      <c r="A53" s="566" t="s">
        <v>465</v>
      </c>
      <c r="B53" s="567" t="s">
        <v>484</v>
      </c>
      <c r="C53" s="568">
        <f>RICON_Edelstahl!C119</f>
        <v>13.4</v>
      </c>
      <c r="D53" s="568">
        <f>RICON_Edelstahl!F119</f>
        <v>24.07553650554291</v>
      </c>
      <c r="E53" s="569">
        <f t="shared" si="2"/>
        <v>11.111786079481341</v>
      </c>
      <c r="F53" s="569">
        <f t="shared" si="3"/>
        <v>12.963750426061566</v>
      </c>
      <c r="G53" s="569">
        <f t="shared" si="3"/>
        <v>13.4</v>
      </c>
      <c r="H53" s="569">
        <f t="shared" si="3"/>
        <v>13.4</v>
      </c>
      <c r="I53" s="569">
        <f t="shared" si="3"/>
        <v>13.4</v>
      </c>
      <c r="K53" s="566" t="s">
        <v>393</v>
      </c>
      <c r="L53" s="569">
        <f>RICON_Edelstahl!C119</f>
        <v>13.4</v>
      </c>
      <c r="M53" s="569">
        <f>RICON_Edelstahl!F119</f>
        <v>24.07553650554291</v>
      </c>
      <c r="N53" s="569">
        <f t="shared" si="4"/>
        <v>11.111786079481341</v>
      </c>
      <c r="O53" s="569">
        <f t="shared" si="5"/>
        <v>12.963750426061566</v>
      </c>
      <c r="P53" s="569">
        <f t="shared" si="5"/>
        <v>13.4</v>
      </c>
      <c r="Q53" s="569">
        <f t="shared" si="5"/>
        <v>13.4</v>
      </c>
      <c r="R53" s="569">
        <f t="shared" si="5"/>
        <v>13.4</v>
      </c>
    </row>
    <row r="54" spans="1:18" s="562" customFormat="1" ht="38.25" hidden="1">
      <c r="A54" s="566" t="s">
        <v>466</v>
      </c>
      <c r="B54" s="567" t="s">
        <v>485</v>
      </c>
      <c r="C54" s="568">
        <f>RICON_Edelstahl!C120</f>
        <v>13.4</v>
      </c>
      <c r="D54" s="568">
        <f>RICON_Edelstahl!F120</f>
        <v>29.765034936899362</v>
      </c>
      <c r="E54" s="569">
        <f t="shared" si="2"/>
        <v>13.4</v>
      </c>
      <c r="F54" s="569">
        <f t="shared" si="3"/>
        <v>13.4</v>
      </c>
      <c r="G54" s="569">
        <f t="shared" si="3"/>
        <v>13.4</v>
      </c>
      <c r="H54" s="569">
        <f t="shared" si="3"/>
        <v>13.4</v>
      </c>
      <c r="I54" s="569">
        <f t="shared" si="3"/>
        <v>13.4</v>
      </c>
      <c r="K54" s="566" t="s">
        <v>394</v>
      </c>
      <c r="L54" s="569">
        <f>RICON_Edelstahl!C120</f>
        <v>13.4</v>
      </c>
      <c r="M54" s="569">
        <f>RICON_Edelstahl!F120</f>
        <v>29.765034936899362</v>
      </c>
      <c r="N54" s="569">
        <f t="shared" si="4"/>
        <v>13.4</v>
      </c>
      <c r="O54" s="569">
        <f t="shared" si="5"/>
        <v>13.4</v>
      </c>
      <c r="P54" s="569">
        <f t="shared" si="5"/>
        <v>13.4</v>
      </c>
      <c r="Q54" s="569">
        <f t="shared" si="5"/>
        <v>13.4</v>
      </c>
      <c r="R54" s="569">
        <f t="shared" si="5"/>
        <v>13.4</v>
      </c>
    </row>
    <row r="55" spans="1:18" s="562" customFormat="1" ht="39" thickBot="1">
      <c r="A55" s="570" t="s">
        <v>726</v>
      </c>
      <c r="B55" s="571" t="s">
        <v>486</v>
      </c>
      <c r="C55" s="572">
        <f>RICON_Edelstahl!C121</f>
        <v>13.4</v>
      </c>
      <c r="D55" s="572">
        <f>RICON_Edelstahl!F121</f>
        <v>35.454533368255817</v>
      </c>
      <c r="E55" s="573">
        <f t="shared" si="2"/>
        <v>13.4</v>
      </c>
      <c r="F55" s="573">
        <f t="shared" si="3"/>
        <v>13.4</v>
      </c>
      <c r="G55" s="573">
        <f t="shared" si="3"/>
        <v>13.4</v>
      </c>
      <c r="H55" s="573">
        <f t="shared" si="3"/>
        <v>13.4</v>
      </c>
      <c r="I55" s="573">
        <f t="shared" si="3"/>
        <v>13.4</v>
      </c>
      <c r="K55" s="570" t="s">
        <v>395</v>
      </c>
      <c r="L55" s="573">
        <f>RICON_Edelstahl!C121</f>
        <v>13.4</v>
      </c>
      <c r="M55" s="573">
        <f>RICON_Edelstahl!F121</f>
        <v>35.454533368255817</v>
      </c>
      <c r="N55" s="573">
        <f t="shared" si="4"/>
        <v>13.4</v>
      </c>
      <c r="O55" s="573">
        <f t="shared" si="5"/>
        <v>13.4</v>
      </c>
      <c r="P55" s="573">
        <f t="shared" si="5"/>
        <v>13.4</v>
      </c>
      <c r="Q55" s="573">
        <f t="shared" si="5"/>
        <v>13.4</v>
      </c>
      <c r="R55" s="573">
        <f t="shared" si="5"/>
        <v>13.4</v>
      </c>
    </row>
    <row r="56" spans="1:18" s="562" customFormat="1" ht="39" thickTop="1">
      <c r="A56" s="574" t="s">
        <v>725</v>
      </c>
      <c r="B56" s="567" t="s">
        <v>491</v>
      </c>
      <c r="C56" s="575">
        <f>RICON_Edelstahl!C122</f>
        <v>4.5</v>
      </c>
      <c r="D56" s="575">
        <f>RICON_Edelstahl!F122</f>
        <v>5.1804296195027444</v>
      </c>
      <c r="E56" s="576">
        <f t="shared" si="2"/>
        <v>2.3909675166935744</v>
      </c>
      <c r="F56" s="576">
        <f t="shared" si="3"/>
        <v>2.7894621028091695</v>
      </c>
      <c r="G56" s="576">
        <f t="shared" si="3"/>
        <v>3.1879566889247655</v>
      </c>
      <c r="H56" s="576">
        <f t="shared" si="3"/>
        <v>3.5864512750403614</v>
      </c>
      <c r="I56" s="576">
        <f t="shared" si="3"/>
        <v>3.9849458611559569</v>
      </c>
      <c r="K56" s="574" t="s">
        <v>396</v>
      </c>
      <c r="L56" s="576">
        <f>RICON_Edelstahl!C122</f>
        <v>4.5</v>
      </c>
      <c r="M56" s="576">
        <f>RICON_Edelstahl!F122</f>
        <v>5.1804296195027444</v>
      </c>
      <c r="N56" s="576">
        <f t="shared" si="4"/>
        <v>2.3909675166935744</v>
      </c>
      <c r="O56" s="576">
        <f t="shared" si="5"/>
        <v>2.7894621028091695</v>
      </c>
      <c r="P56" s="576">
        <f t="shared" si="5"/>
        <v>3.1879566889247655</v>
      </c>
      <c r="Q56" s="576">
        <f t="shared" si="5"/>
        <v>3.5864512750403614</v>
      </c>
      <c r="R56" s="576">
        <f t="shared" si="5"/>
        <v>3.9849458611559569</v>
      </c>
    </row>
    <row r="57" spans="1:18" s="562" customFormat="1" ht="38.25">
      <c r="A57" s="566" t="s">
        <v>724</v>
      </c>
      <c r="B57" s="567" t="s">
        <v>494</v>
      </c>
      <c r="C57" s="568">
        <f>RICON_Edelstahl!C123</f>
        <v>8.1999999999999993</v>
      </c>
      <c r="D57" s="568">
        <f>RICON_Edelstahl!F123</f>
        <v>7.5161100233272613</v>
      </c>
      <c r="E57" s="569">
        <f t="shared" si="2"/>
        <v>3.4689738569202739</v>
      </c>
      <c r="F57" s="569">
        <f t="shared" si="3"/>
        <v>4.0471361664069869</v>
      </c>
      <c r="G57" s="569">
        <f t="shared" si="3"/>
        <v>4.6252984758936995</v>
      </c>
      <c r="H57" s="569">
        <f t="shared" si="3"/>
        <v>5.203460785380412</v>
      </c>
      <c r="I57" s="569">
        <f t="shared" si="3"/>
        <v>5.7816230948671237</v>
      </c>
      <c r="K57" s="566" t="s">
        <v>397</v>
      </c>
      <c r="L57" s="569">
        <f>RICON_Edelstahl!C123</f>
        <v>8.1999999999999993</v>
      </c>
      <c r="M57" s="569">
        <f>RICON_Edelstahl!F123</f>
        <v>7.5161100233272613</v>
      </c>
      <c r="N57" s="569">
        <f t="shared" si="4"/>
        <v>3.4689738569202739</v>
      </c>
      <c r="O57" s="569">
        <f t="shared" si="5"/>
        <v>4.0471361664069869</v>
      </c>
      <c r="P57" s="569">
        <f t="shared" si="5"/>
        <v>4.6252984758936995</v>
      </c>
      <c r="Q57" s="569">
        <f t="shared" si="5"/>
        <v>5.203460785380412</v>
      </c>
      <c r="R57" s="569">
        <f t="shared" si="5"/>
        <v>5.7816230948671237</v>
      </c>
    </row>
    <row r="58" spans="1:18" s="562" customFormat="1" ht="38.25">
      <c r="A58" s="566" t="s">
        <v>723</v>
      </c>
      <c r="B58" s="567" t="s">
        <v>495</v>
      </c>
      <c r="C58" s="568">
        <f>RICON_Edelstahl!C124</f>
        <v>10.4</v>
      </c>
      <c r="D58" s="568">
        <f>RICON_Edelstahl!F124</f>
        <v>10.360859239005489</v>
      </c>
      <c r="E58" s="569">
        <f t="shared" si="2"/>
        <v>4.7819350333871489</v>
      </c>
      <c r="F58" s="569">
        <f t="shared" si="3"/>
        <v>5.578924205618339</v>
      </c>
      <c r="G58" s="569">
        <f t="shared" si="3"/>
        <v>6.3759133778495309</v>
      </c>
      <c r="H58" s="569">
        <f t="shared" si="3"/>
        <v>7.1729025500807229</v>
      </c>
      <c r="I58" s="569">
        <f t="shared" si="3"/>
        <v>7.9698917223119139</v>
      </c>
      <c r="K58" s="566" t="s">
        <v>398</v>
      </c>
      <c r="L58" s="569">
        <f>RICON_Edelstahl!C124</f>
        <v>10.4</v>
      </c>
      <c r="M58" s="569">
        <f>RICON_Edelstahl!F124</f>
        <v>10.360859239005489</v>
      </c>
      <c r="N58" s="569">
        <f t="shared" si="4"/>
        <v>4.7819350333871489</v>
      </c>
      <c r="O58" s="569">
        <f t="shared" si="5"/>
        <v>5.578924205618339</v>
      </c>
      <c r="P58" s="569">
        <f t="shared" si="5"/>
        <v>6.3759133778495309</v>
      </c>
      <c r="Q58" s="569">
        <f t="shared" si="5"/>
        <v>7.1729025500807229</v>
      </c>
      <c r="R58" s="569">
        <f t="shared" si="5"/>
        <v>7.9698917223119139</v>
      </c>
    </row>
    <row r="59" spans="1:18" s="562" customFormat="1" ht="38.25">
      <c r="A59" s="566" t="s">
        <v>722</v>
      </c>
      <c r="B59" s="567" t="s">
        <v>496</v>
      </c>
      <c r="C59" s="568">
        <f>RICON_Edelstahl!C125</f>
        <v>13.4</v>
      </c>
      <c r="D59" s="568">
        <f>RICON_Edelstahl!F125</f>
        <v>13.205608454683714</v>
      </c>
      <c r="E59" s="569">
        <f t="shared" si="2"/>
        <v>6.0948962098540216</v>
      </c>
      <c r="F59" s="569">
        <f t="shared" si="3"/>
        <v>7.1107122448296911</v>
      </c>
      <c r="G59" s="569">
        <f t="shared" si="3"/>
        <v>8.1265282798053633</v>
      </c>
      <c r="H59" s="569">
        <f t="shared" si="3"/>
        <v>9.1423443147810328</v>
      </c>
      <c r="I59" s="569">
        <f t="shared" si="3"/>
        <v>10.158160349756702</v>
      </c>
      <c r="K59" s="566" t="s">
        <v>399</v>
      </c>
      <c r="L59" s="569">
        <f>RICON_Edelstahl!C125</f>
        <v>13.4</v>
      </c>
      <c r="M59" s="569">
        <f>RICON_Edelstahl!F125</f>
        <v>13.205608454683714</v>
      </c>
      <c r="N59" s="569">
        <f t="shared" si="4"/>
        <v>6.0948962098540216</v>
      </c>
      <c r="O59" s="569">
        <f t="shared" si="5"/>
        <v>7.1107122448296911</v>
      </c>
      <c r="P59" s="569">
        <f t="shared" si="5"/>
        <v>8.1265282798053633</v>
      </c>
      <c r="Q59" s="569">
        <f t="shared" si="5"/>
        <v>9.1423443147810328</v>
      </c>
      <c r="R59" s="569">
        <f t="shared" si="5"/>
        <v>10.158160349756702</v>
      </c>
    </row>
    <row r="60" spans="1:18" s="562" customFormat="1" ht="38.25">
      <c r="A60" s="566" t="s">
        <v>721</v>
      </c>
      <c r="B60" s="567" t="s">
        <v>497</v>
      </c>
      <c r="C60" s="568">
        <f>RICON_Edelstahl!C126</f>
        <v>13.4</v>
      </c>
      <c r="D60" s="568">
        <f>RICON_Edelstahl!F126</f>
        <v>16.05035767036194</v>
      </c>
      <c r="E60" s="569">
        <f t="shared" si="2"/>
        <v>7.4078573863208952</v>
      </c>
      <c r="F60" s="569">
        <f t="shared" si="3"/>
        <v>8.6425002840410432</v>
      </c>
      <c r="G60" s="569">
        <f t="shared" si="3"/>
        <v>9.8771431817611948</v>
      </c>
      <c r="H60" s="569">
        <f t="shared" si="3"/>
        <v>11.111786079481343</v>
      </c>
      <c r="I60" s="569">
        <f t="shared" si="3"/>
        <v>12.346428977201493</v>
      </c>
      <c r="K60" s="566" t="s">
        <v>400</v>
      </c>
      <c r="L60" s="569">
        <f>RICON_Edelstahl!C126</f>
        <v>13.4</v>
      </c>
      <c r="M60" s="569">
        <f>RICON_Edelstahl!F126</f>
        <v>16.05035767036194</v>
      </c>
      <c r="N60" s="569">
        <f t="shared" si="4"/>
        <v>7.4078573863208952</v>
      </c>
      <c r="O60" s="569">
        <f t="shared" si="5"/>
        <v>8.6425002840410432</v>
      </c>
      <c r="P60" s="569">
        <f t="shared" si="5"/>
        <v>9.8771431817611948</v>
      </c>
      <c r="Q60" s="569">
        <f t="shared" si="5"/>
        <v>11.111786079481343</v>
      </c>
      <c r="R60" s="569">
        <f t="shared" si="5"/>
        <v>12.346428977201493</v>
      </c>
    </row>
    <row r="61" spans="1:18" s="562" customFormat="1" ht="38.25">
      <c r="A61" s="566" t="s">
        <v>720</v>
      </c>
      <c r="B61" s="567" t="s">
        <v>482</v>
      </c>
      <c r="C61" s="568">
        <f>RICON_Edelstahl!C127</f>
        <v>13.4</v>
      </c>
      <c r="D61" s="568">
        <f>RICON_Edelstahl!F127</f>
        <v>18.895106886040168</v>
      </c>
      <c r="E61" s="569">
        <f t="shared" si="2"/>
        <v>8.7208185627877697</v>
      </c>
      <c r="F61" s="569">
        <f t="shared" ref="F61:I68" si="6">MIN($C61/1,$D61*F$44/1.3)</f>
        <v>10.174288323252396</v>
      </c>
      <c r="G61" s="569">
        <f t="shared" si="6"/>
        <v>11.627758083717026</v>
      </c>
      <c r="H61" s="569">
        <f t="shared" si="6"/>
        <v>13.081227844181655</v>
      </c>
      <c r="I61" s="569">
        <f t="shared" si="6"/>
        <v>13.4</v>
      </c>
      <c r="K61" s="566" t="s">
        <v>401</v>
      </c>
      <c r="L61" s="569">
        <f>RICON_Edelstahl!C127</f>
        <v>13.4</v>
      </c>
      <c r="M61" s="569">
        <f>RICON_Edelstahl!F127</f>
        <v>18.895106886040168</v>
      </c>
      <c r="N61" s="569">
        <f t="shared" si="4"/>
        <v>8.7208185627877697</v>
      </c>
      <c r="O61" s="569">
        <f t="shared" ref="O61:R68" si="7">MIN($C61/1,$D61*O$44/1.3)</f>
        <v>10.174288323252396</v>
      </c>
      <c r="P61" s="569">
        <f t="shared" si="7"/>
        <v>11.627758083717026</v>
      </c>
      <c r="Q61" s="569">
        <f t="shared" si="7"/>
        <v>13.081227844181655</v>
      </c>
      <c r="R61" s="569">
        <f t="shared" si="7"/>
        <v>13.4</v>
      </c>
    </row>
    <row r="62" spans="1:18" s="562" customFormat="1" ht="38.25">
      <c r="A62" s="566" t="s">
        <v>719</v>
      </c>
      <c r="B62" s="567" t="s">
        <v>482</v>
      </c>
      <c r="C62" s="568">
        <f>RICON_Edelstahl!C128</f>
        <v>8.1999999999999993</v>
      </c>
      <c r="D62" s="568">
        <f>RICON_Edelstahl!F128</f>
        <v>12.696539642830006</v>
      </c>
      <c r="E62" s="569">
        <f t="shared" si="2"/>
        <v>5.8599413736138484</v>
      </c>
      <c r="F62" s="569">
        <f t="shared" si="6"/>
        <v>6.8365982692161564</v>
      </c>
      <c r="G62" s="569">
        <f t="shared" si="6"/>
        <v>7.8132551648184654</v>
      </c>
      <c r="H62" s="569">
        <f t="shared" si="6"/>
        <v>8.1999999999999993</v>
      </c>
      <c r="I62" s="569">
        <f t="shared" si="6"/>
        <v>8.1999999999999993</v>
      </c>
      <c r="K62" s="566" t="s">
        <v>402</v>
      </c>
      <c r="L62" s="569">
        <f>RICON_Edelstahl!C128</f>
        <v>8.1999999999999993</v>
      </c>
      <c r="M62" s="569">
        <f>RICON_Edelstahl!F128</f>
        <v>12.696539642830006</v>
      </c>
      <c r="N62" s="569">
        <f t="shared" si="4"/>
        <v>5.8599413736138484</v>
      </c>
      <c r="O62" s="569">
        <f t="shared" si="7"/>
        <v>6.8365982692161564</v>
      </c>
      <c r="P62" s="569">
        <f t="shared" si="7"/>
        <v>7.8132551648184654</v>
      </c>
      <c r="Q62" s="569">
        <f t="shared" si="7"/>
        <v>8.1999999999999993</v>
      </c>
      <c r="R62" s="569">
        <f t="shared" si="7"/>
        <v>8.1999999999999993</v>
      </c>
    </row>
    <row r="63" spans="1:18" s="562" customFormat="1" ht="38.25">
      <c r="A63" s="566" t="s">
        <v>718</v>
      </c>
      <c r="B63" s="567" t="s">
        <v>483</v>
      </c>
      <c r="C63" s="568">
        <f>RICON_Edelstahl!C129</f>
        <v>10.4</v>
      </c>
      <c r="D63" s="568">
        <f>RICON_Edelstahl!F129</f>
        <v>18.386038074186459</v>
      </c>
      <c r="E63" s="569">
        <f t="shared" si="2"/>
        <v>8.4858637265475956</v>
      </c>
      <c r="F63" s="569">
        <f t="shared" si="6"/>
        <v>9.9001743476388615</v>
      </c>
      <c r="G63" s="569">
        <f t="shared" si="6"/>
        <v>10.4</v>
      </c>
      <c r="H63" s="569">
        <f t="shared" si="6"/>
        <v>10.4</v>
      </c>
      <c r="I63" s="569">
        <f t="shared" si="6"/>
        <v>10.4</v>
      </c>
      <c r="K63" s="566" t="s">
        <v>403</v>
      </c>
      <c r="L63" s="569">
        <f>RICON_Edelstahl!C129</f>
        <v>10.4</v>
      </c>
      <c r="M63" s="569">
        <f>RICON_Edelstahl!F129</f>
        <v>18.386038074186459</v>
      </c>
      <c r="N63" s="569">
        <f t="shared" si="4"/>
        <v>8.4858637265475956</v>
      </c>
      <c r="O63" s="569">
        <f t="shared" si="7"/>
        <v>9.9001743476388615</v>
      </c>
      <c r="P63" s="569">
        <f t="shared" si="7"/>
        <v>10.4</v>
      </c>
      <c r="Q63" s="569">
        <f t="shared" si="7"/>
        <v>10.4</v>
      </c>
      <c r="R63" s="569">
        <f t="shared" si="7"/>
        <v>10.4</v>
      </c>
    </row>
    <row r="64" spans="1:18" s="562" customFormat="1" ht="38.25">
      <c r="A64" s="566" t="s">
        <v>716</v>
      </c>
      <c r="B64" s="567" t="s">
        <v>484</v>
      </c>
      <c r="C64" s="568">
        <f>RICON_Edelstahl!C130</f>
        <v>13.4</v>
      </c>
      <c r="D64" s="568">
        <f>RICON_Edelstahl!F130</f>
        <v>24.07553650554291</v>
      </c>
      <c r="E64" s="569">
        <f t="shared" si="2"/>
        <v>11.111786079481341</v>
      </c>
      <c r="F64" s="569">
        <f t="shared" si="6"/>
        <v>12.963750426061566</v>
      </c>
      <c r="G64" s="569">
        <f t="shared" si="6"/>
        <v>13.4</v>
      </c>
      <c r="H64" s="569">
        <f t="shared" si="6"/>
        <v>13.4</v>
      </c>
      <c r="I64" s="569">
        <f t="shared" si="6"/>
        <v>13.4</v>
      </c>
      <c r="K64" s="566" t="s">
        <v>404</v>
      </c>
      <c r="L64" s="569">
        <f>RICON_Edelstahl!C130</f>
        <v>13.4</v>
      </c>
      <c r="M64" s="569">
        <f>RICON_Edelstahl!F130</f>
        <v>24.07553650554291</v>
      </c>
      <c r="N64" s="569">
        <f t="shared" si="4"/>
        <v>11.111786079481341</v>
      </c>
      <c r="O64" s="569">
        <f t="shared" si="7"/>
        <v>12.963750426061566</v>
      </c>
      <c r="P64" s="569">
        <f t="shared" si="7"/>
        <v>13.4</v>
      </c>
      <c r="Q64" s="569">
        <f t="shared" si="7"/>
        <v>13.4</v>
      </c>
      <c r="R64" s="569">
        <f t="shared" si="7"/>
        <v>13.4</v>
      </c>
    </row>
    <row r="65" spans="1:18" s="562" customFormat="1" ht="38.25">
      <c r="A65" s="566" t="s">
        <v>717</v>
      </c>
      <c r="B65" s="567" t="s">
        <v>485</v>
      </c>
      <c r="C65" s="568">
        <f>RICON_Edelstahl!C131</f>
        <v>13.4</v>
      </c>
      <c r="D65" s="568">
        <f>RICON_Edelstahl!F131</f>
        <v>29.765034936899362</v>
      </c>
      <c r="E65" s="569">
        <f t="shared" si="2"/>
        <v>13.4</v>
      </c>
      <c r="F65" s="569">
        <f t="shared" si="6"/>
        <v>13.4</v>
      </c>
      <c r="G65" s="569">
        <f t="shared" si="6"/>
        <v>13.4</v>
      </c>
      <c r="H65" s="569">
        <f t="shared" si="6"/>
        <v>13.4</v>
      </c>
      <c r="I65" s="569">
        <f t="shared" si="6"/>
        <v>13.4</v>
      </c>
      <c r="K65" s="566" t="s">
        <v>405</v>
      </c>
      <c r="L65" s="569">
        <f>RICON_Edelstahl!C131</f>
        <v>13.4</v>
      </c>
      <c r="M65" s="569">
        <f>RICON_Edelstahl!F131</f>
        <v>29.765034936899362</v>
      </c>
      <c r="N65" s="569">
        <f t="shared" si="4"/>
        <v>13.4</v>
      </c>
      <c r="O65" s="569">
        <f t="shared" si="7"/>
        <v>13.4</v>
      </c>
      <c r="P65" s="569">
        <f t="shared" si="7"/>
        <v>13.4</v>
      </c>
      <c r="Q65" s="569">
        <f t="shared" si="7"/>
        <v>13.4</v>
      </c>
      <c r="R65" s="569">
        <f t="shared" si="7"/>
        <v>13.4</v>
      </c>
    </row>
    <row r="66" spans="1:18" s="562" customFormat="1" ht="39" thickBot="1">
      <c r="A66" s="570" t="s">
        <v>715</v>
      </c>
      <c r="B66" s="571" t="s">
        <v>486</v>
      </c>
      <c r="C66" s="572">
        <f>RICON_Edelstahl!C132</f>
        <v>13.4</v>
      </c>
      <c r="D66" s="572">
        <f>RICON_Edelstahl!F132</f>
        <v>35.454533368255817</v>
      </c>
      <c r="E66" s="573">
        <f t="shared" si="2"/>
        <v>13.4</v>
      </c>
      <c r="F66" s="573">
        <f t="shared" si="6"/>
        <v>13.4</v>
      </c>
      <c r="G66" s="573">
        <f t="shared" si="6"/>
        <v>13.4</v>
      </c>
      <c r="H66" s="573">
        <f t="shared" si="6"/>
        <v>13.4</v>
      </c>
      <c r="I66" s="573">
        <f t="shared" si="6"/>
        <v>13.4</v>
      </c>
      <c r="K66" s="570" t="s">
        <v>406</v>
      </c>
      <c r="L66" s="573">
        <f>RICON_Edelstahl!C132</f>
        <v>13.4</v>
      </c>
      <c r="M66" s="573">
        <f>RICON_Edelstahl!F132</f>
        <v>35.454533368255817</v>
      </c>
      <c r="N66" s="573">
        <f t="shared" si="4"/>
        <v>13.4</v>
      </c>
      <c r="O66" s="573">
        <f t="shared" si="7"/>
        <v>13.4</v>
      </c>
      <c r="P66" s="573">
        <f t="shared" si="7"/>
        <v>13.4</v>
      </c>
      <c r="Q66" s="573">
        <f t="shared" si="7"/>
        <v>13.4</v>
      </c>
      <c r="R66" s="573">
        <f t="shared" si="7"/>
        <v>13.4</v>
      </c>
    </row>
    <row r="67" spans="1:18" s="562" customFormat="1" ht="39" thickTop="1">
      <c r="A67" s="574" t="s">
        <v>467</v>
      </c>
      <c r="B67" s="577" t="s">
        <v>616</v>
      </c>
      <c r="C67" s="575">
        <f>RICON_Edelstahl!C133</f>
        <v>3.7</v>
      </c>
      <c r="D67" s="575">
        <f>RICON_Edelstahl!F133</f>
        <v>5.0646478158177981</v>
      </c>
      <c r="E67" s="576">
        <f t="shared" si="2"/>
        <v>2.3375297611466759</v>
      </c>
      <c r="F67" s="576">
        <f t="shared" si="6"/>
        <v>2.7271180546711218</v>
      </c>
      <c r="G67" s="576">
        <f t="shared" si="6"/>
        <v>3.1167063481955686</v>
      </c>
      <c r="H67" s="576">
        <f t="shared" si="6"/>
        <v>3.5062946417200136</v>
      </c>
      <c r="I67" s="576">
        <f t="shared" si="6"/>
        <v>3.7</v>
      </c>
      <c r="K67" s="574" t="s">
        <v>407</v>
      </c>
      <c r="L67" s="576">
        <f>RICON_Edelstahl!C133</f>
        <v>3.7</v>
      </c>
      <c r="M67" s="576">
        <f>RICON_Edelstahl!F133</f>
        <v>5.0646478158177981</v>
      </c>
      <c r="N67" s="576">
        <f t="shared" si="4"/>
        <v>2.3375297611466759</v>
      </c>
      <c r="O67" s="576">
        <f t="shared" si="7"/>
        <v>2.7271180546711218</v>
      </c>
      <c r="P67" s="576">
        <f t="shared" si="7"/>
        <v>3.1167063481955686</v>
      </c>
      <c r="Q67" s="576">
        <f t="shared" si="7"/>
        <v>3.5062946417200136</v>
      </c>
      <c r="R67" s="576">
        <f t="shared" si="7"/>
        <v>3.7</v>
      </c>
    </row>
    <row r="68" spans="1:18" s="562" customFormat="1" ht="38.25">
      <c r="A68" s="566" t="s">
        <v>468</v>
      </c>
      <c r="B68" s="567" t="s">
        <v>615</v>
      </c>
      <c r="C68" s="568">
        <f>RICON_Edelstahl!C134</f>
        <v>3.7</v>
      </c>
      <c r="D68" s="568">
        <f>RICON_Edelstahl!F134</f>
        <v>5.0646478158177981</v>
      </c>
      <c r="E68" s="569">
        <f t="shared" si="2"/>
        <v>2.3375297611466759</v>
      </c>
      <c r="F68" s="569">
        <f t="shared" si="6"/>
        <v>2.7271180546711218</v>
      </c>
      <c r="G68" s="569">
        <f t="shared" si="6"/>
        <v>3.1167063481955686</v>
      </c>
      <c r="H68" s="569">
        <f t="shared" si="6"/>
        <v>3.5062946417200136</v>
      </c>
      <c r="I68" s="569">
        <f t="shared" si="6"/>
        <v>3.7</v>
      </c>
      <c r="K68" s="574" t="s">
        <v>408</v>
      </c>
      <c r="L68" s="569">
        <f>RICON_Edelstahl!C134</f>
        <v>3.7</v>
      </c>
      <c r="M68" s="569">
        <f>RICON_Edelstahl!F134</f>
        <v>5.0646478158177981</v>
      </c>
      <c r="N68" s="569">
        <f t="shared" si="4"/>
        <v>2.3375297611466759</v>
      </c>
      <c r="O68" s="569">
        <f t="shared" si="7"/>
        <v>2.7271180546711218</v>
      </c>
      <c r="P68" s="569">
        <f t="shared" si="7"/>
        <v>3.1167063481955686</v>
      </c>
      <c r="Q68" s="569">
        <f t="shared" si="7"/>
        <v>3.5062946417200136</v>
      </c>
      <c r="R68" s="569">
        <f t="shared" si="7"/>
        <v>3.7</v>
      </c>
    </row>
    <row r="69" spans="1:18" ht="33.75">
      <c r="A69" s="578" t="s">
        <v>478</v>
      </c>
      <c r="B69" s="786" t="s">
        <v>437</v>
      </c>
      <c r="C69" s="786"/>
      <c r="D69" s="786"/>
      <c r="E69" s="786"/>
      <c r="F69" s="786"/>
      <c r="G69" s="786"/>
      <c r="H69" s="786"/>
      <c r="I69" s="786"/>
      <c r="J69" s="786"/>
      <c r="K69" s="767" t="s">
        <v>473</v>
      </c>
      <c r="L69" s="767"/>
      <c r="M69" s="767"/>
      <c r="N69" s="767"/>
      <c r="O69" s="767"/>
      <c r="P69" s="767"/>
      <c r="Q69" s="767"/>
      <c r="R69" s="767"/>
    </row>
    <row r="70" spans="1:18" ht="21">
      <c r="A70" s="558" t="s">
        <v>667</v>
      </c>
      <c r="B70" s="543"/>
      <c r="C70" s="543"/>
      <c r="D70" s="543" t="s">
        <v>650</v>
      </c>
      <c r="E70" s="601" t="s">
        <v>25</v>
      </c>
      <c r="G70" s="582" t="str">
        <f>VLOOKUP(E70,'RICON_RICON-S-EK_GIGANT_WALCO '!P620:R627,3,FALSE)</f>
        <v>Brettschichtholz homogen</v>
      </c>
      <c r="H70" s="543"/>
      <c r="K70" s="767" t="s">
        <v>474</v>
      </c>
      <c r="L70" s="767"/>
      <c r="M70" s="767"/>
      <c r="N70" s="767"/>
      <c r="O70" s="767"/>
      <c r="P70" s="767"/>
      <c r="Q70" s="767"/>
      <c r="R70" s="767"/>
    </row>
    <row r="71" spans="1:18" ht="21">
      <c r="A71" s="558" t="s">
        <v>681</v>
      </c>
      <c r="D71" s="580" t="s">
        <v>657</v>
      </c>
      <c r="E71" s="601">
        <v>1</v>
      </c>
      <c r="G71" s="581" t="str">
        <f>'RICON_RICON-S-EK_GIGANT_WALCO '!W21</f>
        <v>Innenbereich</v>
      </c>
      <c r="K71" s="511" t="s">
        <v>452</v>
      </c>
    </row>
    <row r="72" spans="1:18" ht="18.75">
      <c r="A72" s="511"/>
      <c r="B72" s="511"/>
      <c r="K72" s="511"/>
    </row>
    <row r="73" spans="1:18" ht="18.75">
      <c r="A73" s="511"/>
      <c r="B73" s="511"/>
      <c r="K73" s="511"/>
    </row>
    <row r="74" spans="1:18" ht="18.75">
      <c r="A74" s="511"/>
      <c r="B74" s="511"/>
      <c r="K74" s="511"/>
    </row>
    <row r="75" spans="1:18" ht="18.75">
      <c r="A75" s="511"/>
      <c r="B75" s="511"/>
      <c r="K75" s="511"/>
    </row>
    <row r="76" spans="1:18" ht="18.75">
      <c r="A76" s="511"/>
      <c r="B76" s="511"/>
      <c r="K76" s="511"/>
    </row>
    <row r="77" spans="1:18" ht="18.75">
      <c r="A77" s="511"/>
      <c r="B77" s="511"/>
      <c r="K77" s="511"/>
    </row>
    <row r="78" spans="1:18" ht="18.75">
      <c r="A78" s="511"/>
      <c r="B78" s="511"/>
      <c r="K78" s="511"/>
    </row>
    <row r="79" spans="1:18" ht="18.75">
      <c r="A79" s="511"/>
      <c r="B79" s="511"/>
      <c r="K79" s="511"/>
    </row>
    <row r="80" spans="1:18" ht="18.75">
      <c r="A80" s="511"/>
      <c r="B80" s="511"/>
      <c r="K80" s="511"/>
    </row>
    <row r="81" spans="1:20" ht="18.75">
      <c r="A81" s="511"/>
      <c r="B81" s="511"/>
      <c r="K81" s="511"/>
    </row>
    <row r="82" spans="1:20" ht="18.75">
      <c r="A82" s="511"/>
      <c r="B82" s="511"/>
      <c r="K82" s="511"/>
    </row>
    <row r="83" spans="1:20" ht="18.75">
      <c r="A83" s="511"/>
      <c r="B83" s="511"/>
      <c r="K83" s="511"/>
    </row>
    <row r="84" spans="1:20" ht="21">
      <c r="A84" s="508"/>
      <c r="B84" s="508"/>
      <c r="K84" s="508" t="s">
        <v>410</v>
      </c>
    </row>
    <row r="85" spans="1:20" ht="18">
      <c r="A85" s="596" t="s">
        <v>413</v>
      </c>
      <c r="B85" s="771" t="s">
        <v>487</v>
      </c>
      <c r="C85" s="783" t="s">
        <v>414</v>
      </c>
      <c r="D85" s="780"/>
      <c r="E85" s="705" t="str">
        <f>"Belastungswerte F2,Rd für "&amp;E70&amp;" [kN]"</f>
        <v>Belastungswerte F2,Rd für GL24h [kN]</v>
      </c>
      <c r="F85" s="706"/>
      <c r="G85" s="706"/>
      <c r="H85" s="606" t="s">
        <v>691</v>
      </c>
      <c r="I85" s="779" t="s">
        <v>443</v>
      </c>
      <c r="J85" s="780"/>
      <c r="K85" s="521" t="s">
        <v>413</v>
      </c>
      <c r="L85" s="789" t="s">
        <v>450</v>
      </c>
      <c r="M85" s="790"/>
      <c r="N85" s="682" t="s">
        <v>448</v>
      </c>
      <c r="O85" s="683"/>
      <c r="P85" s="683"/>
      <c r="Q85" s="201"/>
      <c r="R85" s="697" t="s">
        <v>453</v>
      </c>
      <c r="S85" s="698"/>
      <c r="T85" s="3"/>
    </row>
    <row r="86" spans="1:20" ht="15" customHeight="1">
      <c r="A86" s="81"/>
      <c r="B86" s="772"/>
      <c r="C86" s="597" t="s">
        <v>439</v>
      </c>
      <c r="D86" s="597" t="s">
        <v>440</v>
      </c>
      <c r="E86" s="705" t="s">
        <v>439</v>
      </c>
      <c r="F86" s="707"/>
      <c r="G86" s="705" t="s">
        <v>440</v>
      </c>
      <c r="H86" s="706"/>
      <c r="I86" s="781" t="s">
        <v>441</v>
      </c>
      <c r="J86" s="774" t="s">
        <v>442</v>
      </c>
      <c r="K86" s="360"/>
      <c r="L86" s="518" t="s">
        <v>456</v>
      </c>
      <c r="M86" s="518" t="s">
        <v>457</v>
      </c>
      <c r="N86" s="682" t="s">
        <v>456</v>
      </c>
      <c r="O86" s="684"/>
      <c r="P86" s="682" t="s">
        <v>457</v>
      </c>
      <c r="Q86" s="684"/>
      <c r="R86" s="769" t="s">
        <v>454</v>
      </c>
      <c r="S86" s="784" t="s">
        <v>455</v>
      </c>
      <c r="T86" s="3"/>
    </row>
    <row r="87" spans="1:20">
      <c r="A87" s="82"/>
      <c r="B87" s="773"/>
      <c r="C87" s="597" t="s">
        <v>438</v>
      </c>
      <c r="D87" s="597" t="s">
        <v>438</v>
      </c>
      <c r="E87" s="590">
        <v>0.6</v>
      </c>
      <c r="F87" s="590">
        <v>0.9</v>
      </c>
      <c r="G87" s="590">
        <v>0.6</v>
      </c>
      <c r="H87" s="607">
        <v>0.9</v>
      </c>
      <c r="I87" s="782"/>
      <c r="J87" s="775"/>
      <c r="K87" s="522"/>
      <c r="L87" s="44" t="s">
        <v>458</v>
      </c>
      <c r="M87" s="44" t="s">
        <v>458</v>
      </c>
      <c r="N87" s="95">
        <v>0.6</v>
      </c>
      <c r="O87" s="95">
        <v>0.9</v>
      </c>
      <c r="P87" s="95">
        <v>0.6</v>
      </c>
      <c r="Q87" s="95">
        <v>0.9</v>
      </c>
      <c r="R87" s="770"/>
      <c r="S87" s="785"/>
      <c r="T87" s="3"/>
    </row>
    <row r="88" spans="1:20" ht="45">
      <c r="A88" s="396" t="s">
        <v>694</v>
      </c>
      <c r="B88" s="525" t="s">
        <v>492</v>
      </c>
      <c r="C88" s="551">
        <f>'RICON_RICON-S-EK_GIGANT_WALCO '!H705</f>
        <v>0.68556196386955359</v>
      </c>
      <c r="D88" s="551">
        <f>'RICON_RICON-S-EK_GIGANT_WALCO '!I705</f>
        <v>4.6855619638695538</v>
      </c>
      <c r="E88" s="500">
        <f>$C88*E$87/1.3</f>
        <v>0.31641321409364009</v>
      </c>
      <c r="F88" s="500">
        <f>$C88*F$87/1.3</f>
        <v>0.4746198211404602</v>
      </c>
      <c r="G88" s="500">
        <f>$D88*G$87/1.3</f>
        <v>2.1625670602474862</v>
      </c>
      <c r="H88" s="608">
        <f>$D88*H$87/1.3</f>
        <v>3.2438505903712298</v>
      </c>
      <c r="I88" s="609">
        <f>E88*200/1.35</f>
        <v>46.876031717576311</v>
      </c>
      <c r="J88" s="610">
        <f t="shared" ref="J88:J100" si="8">G88*200/1.35</f>
        <v>320.38030522184977</v>
      </c>
      <c r="K88" s="523" t="s">
        <v>424</v>
      </c>
      <c r="L88" s="500">
        <f>'RICON_RICON-S-EK_GIGANT_WALCO '!H705</f>
        <v>0.68556196386955359</v>
      </c>
      <c r="M88" s="500">
        <f>'RICON_RICON-S-EK_GIGANT_WALCO '!I705</f>
        <v>4.6855619638695538</v>
      </c>
      <c r="N88" s="500">
        <f>$C88*N$87/1.3</f>
        <v>0.31641321409364009</v>
      </c>
      <c r="O88" s="500">
        <f>$C88*O$87/1.3</f>
        <v>0.4746198211404602</v>
      </c>
      <c r="P88" s="500">
        <f>$D88*P$87/1.3</f>
        <v>2.1625670602474862</v>
      </c>
      <c r="Q88" s="500">
        <f>$D88*Q$87/1.3</f>
        <v>3.2438505903712298</v>
      </c>
      <c r="R88" s="514">
        <f>N88*200/1.35</f>
        <v>46.876031717576311</v>
      </c>
      <c r="S88" s="520">
        <f>P88*200/1.35</f>
        <v>320.38030522184977</v>
      </c>
      <c r="T88" s="3"/>
    </row>
    <row r="89" spans="1:20" ht="45">
      <c r="A89" s="396" t="s">
        <v>693</v>
      </c>
      <c r="B89" s="525" t="s">
        <v>493</v>
      </c>
      <c r="C89" s="551">
        <f>'RICON_RICON-S-EK_GIGANT_WALCO '!H706</f>
        <v>0.93004458531057144</v>
      </c>
      <c r="D89" s="551">
        <f>'RICON_RICON-S-EK_GIGANT_WALCO '!I706</f>
        <v>4.9300445853105712</v>
      </c>
      <c r="E89" s="500">
        <f t="shared" ref="E89:F100" si="9">$C89*E$87/1.3</f>
        <v>0.42925134706641754</v>
      </c>
      <c r="F89" s="500">
        <f t="shared" si="9"/>
        <v>0.64387702059962637</v>
      </c>
      <c r="G89" s="500">
        <f t="shared" ref="G89:H100" si="10">$D89*G$87/1.3</f>
        <v>2.2754051932202635</v>
      </c>
      <c r="H89" s="608">
        <f t="shared" si="10"/>
        <v>3.4131077898303959</v>
      </c>
      <c r="I89" s="609">
        <f t="shared" ref="I89:I100" si="11">E89*200/1.35</f>
        <v>63.59279215798778</v>
      </c>
      <c r="J89" s="610">
        <f t="shared" si="8"/>
        <v>337.09706566226123</v>
      </c>
      <c r="K89" s="523" t="s">
        <v>425</v>
      </c>
      <c r="L89" s="500">
        <f>'RICON_RICON-S-EK_GIGANT_WALCO '!H706</f>
        <v>0.93004458531057144</v>
      </c>
      <c r="M89" s="500">
        <f>'RICON_RICON-S-EK_GIGANT_WALCO '!I706</f>
        <v>4.9300445853105712</v>
      </c>
      <c r="N89" s="500">
        <f t="shared" ref="N89:O100" si="12">$C89*N$87/1.3</f>
        <v>0.42925134706641754</v>
      </c>
      <c r="O89" s="500">
        <f t="shared" si="12"/>
        <v>0.64387702059962637</v>
      </c>
      <c r="P89" s="500">
        <f t="shared" ref="P89:Q100" si="13">$D89*P$87/1.3</f>
        <v>2.2754051932202635</v>
      </c>
      <c r="Q89" s="500">
        <f t="shared" si="13"/>
        <v>3.4131077898303959</v>
      </c>
      <c r="R89" s="514">
        <f t="shared" ref="R89:R100" si="14">N89*200/1.35</f>
        <v>63.59279215798778</v>
      </c>
      <c r="S89" s="520">
        <f t="shared" ref="S89:S100" si="15">P89*200/1.35</f>
        <v>337.09706566226123</v>
      </c>
      <c r="T89" s="3"/>
    </row>
    <row r="90" spans="1:20" ht="45">
      <c r="A90" s="396" t="s">
        <v>696</v>
      </c>
      <c r="B90" s="525" t="s">
        <v>503</v>
      </c>
      <c r="C90" s="551">
        <f>'RICON_RICON-S-EK_GIGANT_WALCO '!H707</f>
        <v>1.4937800644343464</v>
      </c>
      <c r="D90" s="551">
        <f>'RICON_RICON-S-EK_GIGANT_WALCO '!I707</f>
        <v>5.4937800644343469</v>
      </c>
      <c r="E90" s="500">
        <f t="shared" si="9"/>
        <v>0.68943695281585216</v>
      </c>
      <c r="F90" s="500">
        <f t="shared" si="9"/>
        <v>1.0341554292237782</v>
      </c>
      <c r="G90" s="500">
        <f t="shared" si="10"/>
        <v>2.5355907989696984</v>
      </c>
      <c r="H90" s="608">
        <f t="shared" si="10"/>
        <v>3.8033861984545481</v>
      </c>
      <c r="I90" s="609">
        <f t="shared" si="11"/>
        <v>102.13880782457069</v>
      </c>
      <c r="J90" s="610">
        <f t="shared" si="8"/>
        <v>375.64308132884418</v>
      </c>
      <c r="K90" s="523" t="s">
        <v>426</v>
      </c>
      <c r="L90" s="500">
        <f>'RICON_RICON-S-EK_GIGANT_WALCO '!H707</f>
        <v>1.4937800644343464</v>
      </c>
      <c r="M90" s="500">
        <f>'RICON_RICON-S-EK_GIGANT_WALCO '!I707</f>
        <v>5.4937800644343469</v>
      </c>
      <c r="N90" s="500">
        <f t="shared" si="12"/>
        <v>0.68943695281585216</v>
      </c>
      <c r="O90" s="500">
        <f t="shared" si="12"/>
        <v>1.0341554292237782</v>
      </c>
      <c r="P90" s="500">
        <f t="shared" si="13"/>
        <v>2.5355907989696984</v>
      </c>
      <c r="Q90" s="500">
        <f t="shared" si="13"/>
        <v>3.8033861984545481</v>
      </c>
      <c r="R90" s="514">
        <f t="shared" si="14"/>
        <v>102.13880782457069</v>
      </c>
      <c r="S90" s="520">
        <f t="shared" si="15"/>
        <v>375.64308132884418</v>
      </c>
      <c r="T90" s="3"/>
    </row>
    <row r="91" spans="1:20" ht="45">
      <c r="A91" s="396" t="s">
        <v>695</v>
      </c>
      <c r="B91" s="525" t="s">
        <v>504</v>
      </c>
      <c r="C91" s="551">
        <f>'RICON_RICON-S-EK_GIGANT_WALCO '!H708</f>
        <v>2.0699476121956257</v>
      </c>
      <c r="D91" s="551">
        <f>'RICON_RICON-S-EK_GIGANT_WALCO '!I708</f>
        <v>6.0699476121956257</v>
      </c>
      <c r="E91" s="500">
        <f t="shared" si="9"/>
        <v>0.95536043639798107</v>
      </c>
      <c r="F91" s="500">
        <f t="shared" si="9"/>
        <v>1.4330406545969716</v>
      </c>
      <c r="G91" s="500">
        <f t="shared" si="10"/>
        <v>2.8015142825518269</v>
      </c>
      <c r="H91" s="608">
        <f t="shared" si="10"/>
        <v>4.2022714238277405</v>
      </c>
      <c r="I91" s="609">
        <f t="shared" si="11"/>
        <v>141.53487946636756</v>
      </c>
      <c r="J91" s="610">
        <f t="shared" si="8"/>
        <v>415.039152970641</v>
      </c>
      <c r="K91" s="523" t="s">
        <v>427</v>
      </c>
      <c r="L91" s="500">
        <f>'RICON_RICON-S-EK_GIGANT_WALCO '!H708</f>
        <v>2.0699476121956257</v>
      </c>
      <c r="M91" s="500">
        <f>'RICON_RICON-S-EK_GIGANT_WALCO '!I708</f>
        <v>6.0699476121956257</v>
      </c>
      <c r="N91" s="500">
        <f t="shared" si="12"/>
        <v>0.95536043639798107</v>
      </c>
      <c r="O91" s="500">
        <f t="shared" si="12"/>
        <v>1.4330406545969716</v>
      </c>
      <c r="P91" s="500">
        <f t="shared" si="13"/>
        <v>2.8015142825518269</v>
      </c>
      <c r="Q91" s="500">
        <f t="shared" si="13"/>
        <v>4.2022714238277405</v>
      </c>
      <c r="R91" s="514">
        <f t="shared" si="14"/>
        <v>141.53487946636756</v>
      </c>
      <c r="S91" s="520">
        <f t="shared" si="15"/>
        <v>415.039152970641</v>
      </c>
      <c r="T91" s="3"/>
    </row>
    <row r="92" spans="1:20" ht="45">
      <c r="A92" s="396" t="s">
        <v>697</v>
      </c>
      <c r="B92" s="525" t="s">
        <v>505</v>
      </c>
      <c r="C92" s="551">
        <f>'RICON_RICON-S-EK_GIGANT_WALCO '!H709</f>
        <v>2.6785451403230303</v>
      </c>
      <c r="D92" s="551">
        <f>'RICON_RICON-S-EK_GIGANT_WALCO '!I709</f>
        <v>6.6785451403230303</v>
      </c>
      <c r="E92" s="500">
        <f t="shared" si="9"/>
        <v>1.2362516032260138</v>
      </c>
      <c r="F92" s="500">
        <f t="shared" si="9"/>
        <v>1.8543774048390211</v>
      </c>
      <c r="G92" s="500">
        <f t="shared" si="10"/>
        <v>3.0824054493798596</v>
      </c>
      <c r="H92" s="608">
        <f t="shared" si="10"/>
        <v>4.6236081740697896</v>
      </c>
      <c r="I92" s="609">
        <f t="shared" si="11"/>
        <v>183.14838566311315</v>
      </c>
      <c r="J92" s="610">
        <f t="shared" si="8"/>
        <v>456.65265916738662</v>
      </c>
      <c r="K92" s="523" t="s">
        <v>428</v>
      </c>
      <c r="L92" s="500">
        <f>'RICON_RICON-S-EK_GIGANT_WALCO '!H709</f>
        <v>2.6785451403230303</v>
      </c>
      <c r="M92" s="500">
        <f>'RICON_RICON-S-EK_GIGANT_WALCO '!I709</f>
        <v>6.6785451403230303</v>
      </c>
      <c r="N92" s="500">
        <f t="shared" si="12"/>
        <v>1.2362516032260138</v>
      </c>
      <c r="O92" s="500">
        <f t="shared" si="12"/>
        <v>1.8543774048390211</v>
      </c>
      <c r="P92" s="500">
        <f t="shared" si="13"/>
        <v>3.0824054493798596</v>
      </c>
      <c r="Q92" s="500">
        <f t="shared" si="13"/>
        <v>4.6236081740697896</v>
      </c>
      <c r="R92" s="514">
        <f t="shared" si="14"/>
        <v>183.14838566311315</v>
      </c>
      <c r="S92" s="520">
        <f t="shared" si="15"/>
        <v>456.65265916738662</v>
      </c>
      <c r="T92" s="3"/>
    </row>
    <row r="93" spans="1:20" ht="45">
      <c r="A93" s="396" t="s">
        <v>698</v>
      </c>
      <c r="B93" s="525" t="s">
        <v>506</v>
      </c>
      <c r="C93" s="551">
        <f>'RICON_RICON-S-EK_GIGANT_WALCO '!H710</f>
        <v>3.3245358298367984</v>
      </c>
      <c r="D93" s="551">
        <f>'RICON_RICON-S-EK_GIGANT_WALCO '!I710</f>
        <v>7.3245358298367984</v>
      </c>
      <c r="E93" s="500">
        <f t="shared" si="9"/>
        <v>1.5344011522323684</v>
      </c>
      <c r="F93" s="500">
        <f t="shared" si="9"/>
        <v>2.3016017283485528</v>
      </c>
      <c r="G93" s="500">
        <f t="shared" si="10"/>
        <v>3.3805549983862146</v>
      </c>
      <c r="H93" s="608">
        <f t="shared" si="10"/>
        <v>5.070832497579322</v>
      </c>
      <c r="I93" s="609">
        <f t="shared" si="11"/>
        <v>227.31868921961009</v>
      </c>
      <c r="J93" s="610">
        <f t="shared" si="8"/>
        <v>500.82296272388362</v>
      </c>
      <c r="K93" s="523" t="s">
        <v>429</v>
      </c>
      <c r="L93" s="500">
        <f>'RICON_RICON-S-EK_GIGANT_WALCO '!H710</f>
        <v>3.3245358298367984</v>
      </c>
      <c r="M93" s="500">
        <f>'RICON_RICON-S-EK_GIGANT_WALCO '!I710</f>
        <v>7.3245358298367984</v>
      </c>
      <c r="N93" s="500">
        <f t="shared" si="12"/>
        <v>1.5344011522323684</v>
      </c>
      <c r="O93" s="500">
        <f t="shared" si="12"/>
        <v>2.3016017283485528</v>
      </c>
      <c r="P93" s="500">
        <f t="shared" si="13"/>
        <v>3.3805549983862146</v>
      </c>
      <c r="Q93" s="500">
        <f t="shared" si="13"/>
        <v>5.070832497579322</v>
      </c>
      <c r="R93" s="514">
        <f t="shared" si="14"/>
        <v>227.31868921961009</v>
      </c>
      <c r="S93" s="520">
        <f t="shared" si="15"/>
        <v>500.82296272388362</v>
      </c>
      <c r="T93" s="3"/>
    </row>
    <row r="94" spans="1:20" ht="45">
      <c r="A94" s="396" t="s">
        <v>706</v>
      </c>
      <c r="B94" s="525" t="s">
        <v>505</v>
      </c>
      <c r="C94" s="551">
        <f>'RICON_RICON-S-EK_GIGANT_WALCO '!H713</f>
        <v>4.1135329443476287</v>
      </c>
      <c r="D94" s="551">
        <f>'RICON_RICON-S-EK_GIGANT_WALCO '!I713</f>
        <v>8.1135329443476287</v>
      </c>
      <c r="E94" s="500">
        <f t="shared" si="9"/>
        <v>1.8985536666219824</v>
      </c>
      <c r="F94" s="500">
        <f t="shared" si="9"/>
        <v>2.8478304999329738</v>
      </c>
      <c r="G94" s="500">
        <f t="shared" si="10"/>
        <v>3.744707512775828</v>
      </c>
      <c r="H94" s="608">
        <f t="shared" si="10"/>
        <v>5.6170612691637434</v>
      </c>
      <c r="I94" s="609">
        <f t="shared" si="11"/>
        <v>281.26720986992331</v>
      </c>
      <c r="J94" s="610">
        <f t="shared" si="8"/>
        <v>554.77148337419669</v>
      </c>
      <c r="K94" s="524" t="s">
        <v>430</v>
      </c>
      <c r="L94" s="500">
        <f>'RICON_RICON-S-EK_GIGANT_WALCO '!H713</f>
        <v>4.1135329443476287</v>
      </c>
      <c r="M94" s="500">
        <f>'RICON_RICON-S-EK_GIGANT_WALCO '!I713</f>
        <v>8.1135329443476287</v>
      </c>
      <c r="N94" s="500">
        <f t="shared" si="12"/>
        <v>1.8985536666219824</v>
      </c>
      <c r="O94" s="500">
        <f t="shared" si="12"/>
        <v>2.8478304999329738</v>
      </c>
      <c r="P94" s="500">
        <f t="shared" si="13"/>
        <v>3.744707512775828</v>
      </c>
      <c r="Q94" s="500">
        <f t="shared" si="13"/>
        <v>5.6170612691637434</v>
      </c>
      <c r="R94" s="514">
        <f t="shared" si="14"/>
        <v>281.26720986992331</v>
      </c>
      <c r="S94" s="520">
        <f t="shared" si="15"/>
        <v>554.77148337419669</v>
      </c>
      <c r="T94" s="3"/>
    </row>
    <row r="95" spans="1:20" ht="45">
      <c r="A95" s="396" t="s">
        <v>707</v>
      </c>
      <c r="B95" s="525" t="s">
        <v>506</v>
      </c>
      <c r="C95" s="551">
        <f>'RICON_RICON-S-EK_GIGANT_WALCO '!H714</f>
        <v>5.1055236549138909</v>
      </c>
      <c r="D95" s="551">
        <f>'RICON_RICON-S-EK_GIGANT_WALCO '!I714</f>
        <v>9.1055236549138918</v>
      </c>
      <c r="E95" s="500">
        <f t="shared" si="9"/>
        <v>2.3563955330371802</v>
      </c>
      <c r="F95" s="500">
        <f t="shared" si="9"/>
        <v>3.5345932995557705</v>
      </c>
      <c r="G95" s="500">
        <f t="shared" si="10"/>
        <v>4.2025493791910264</v>
      </c>
      <c r="H95" s="608">
        <f t="shared" si="10"/>
        <v>6.3038240687865406</v>
      </c>
      <c r="I95" s="609">
        <f t="shared" si="11"/>
        <v>349.09563452402671</v>
      </c>
      <c r="J95" s="610">
        <f t="shared" si="8"/>
        <v>622.59990802830021</v>
      </c>
      <c r="K95" s="524" t="s">
        <v>431</v>
      </c>
      <c r="L95" s="500">
        <f>'RICON_RICON-S-EK_GIGANT_WALCO '!H714</f>
        <v>5.1055236549138909</v>
      </c>
      <c r="M95" s="500">
        <f>'RICON_RICON-S-EK_GIGANT_WALCO '!I714</f>
        <v>9.1055236549138918</v>
      </c>
      <c r="N95" s="500">
        <f t="shared" si="12"/>
        <v>2.3563955330371802</v>
      </c>
      <c r="O95" s="500">
        <f t="shared" si="12"/>
        <v>3.5345932995557705</v>
      </c>
      <c r="P95" s="500">
        <f t="shared" si="13"/>
        <v>4.2025493791910264</v>
      </c>
      <c r="Q95" s="500">
        <f t="shared" si="13"/>
        <v>6.3038240687865406</v>
      </c>
      <c r="R95" s="514">
        <f t="shared" si="14"/>
        <v>349.09563452402671</v>
      </c>
      <c r="S95" s="520">
        <f t="shared" si="15"/>
        <v>622.59990802830021</v>
      </c>
      <c r="T95" s="3"/>
    </row>
    <row r="96" spans="1:20" ht="45">
      <c r="A96" s="396" t="s">
        <v>712</v>
      </c>
      <c r="B96" s="525" t="s">
        <v>625</v>
      </c>
      <c r="C96" s="551">
        <f>'RICON_RICON-S-EK_GIGANT_WALCO '!H715</f>
        <v>2.8454065427374902</v>
      </c>
      <c r="D96" s="551">
        <f>'RICON_RICON-S-EK_GIGANT_WALCO '!I715</f>
        <v>6.8454065427374902</v>
      </c>
      <c r="E96" s="500">
        <f t="shared" si="9"/>
        <v>1.3132645581865339</v>
      </c>
      <c r="F96" s="500">
        <f t="shared" si="9"/>
        <v>1.9698968372798009</v>
      </c>
      <c r="G96" s="500">
        <f t="shared" si="10"/>
        <v>3.1594184043403799</v>
      </c>
      <c r="H96" s="608">
        <f t="shared" si="10"/>
        <v>4.7391276065105696</v>
      </c>
      <c r="I96" s="609">
        <f t="shared" si="11"/>
        <v>194.55771232393093</v>
      </c>
      <c r="J96" s="610">
        <f t="shared" si="8"/>
        <v>468.0619858282044</v>
      </c>
      <c r="K96" s="523" t="s">
        <v>432</v>
      </c>
      <c r="L96" s="500">
        <f>'RICON_RICON-S-EK_GIGANT_WALCO '!H715</f>
        <v>2.8454065427374902</v>
      </c>
      <c r="M96" s="500">
        <f>'RICON_RICON-S-EK_GIGANT_WALCO '!I715</f>
        <v>6.8454065427374902</v>
      </c>
      <c r="N96" s="500">
        <f t="shared" si="12"/>
        <v>1.3132645581865339</v>
      </c>
      <c r="O96" s="500">
        <f t="shared" si="12"/>
        <v>1.9698968372798009</v>
      </c>
      <c r="P96" s="500">
        <f t="shared" si="13"/>
        <v>3.1594184043403799</v>
      </c>
      <c r="Q96" s="500">
        <f t="shared" si="13"/>
        <v>4.7391276065105696</v>
      </c>
      <c r="R96" s="514">
        <f t="shared" si="14"/>
        <v>194.55771232393093</v>
      </c>
      <c r="S96" s="520">
        <f t="shared" si="15"/>
        <v>468.0619858282044</v>
      </c>
      <c r="T96" s="3"/>
    </row>
    <row r="97" spans="1:20" ht="45">
      <c r="A97" s="396" t="s">
        <v>711</v>
      </c>
      <c r="B97" s="525" t="s">
        <v>626</v>
      </c>
      <c r="C97" s="551">
        <f>'RICON_RICON-S-EK_GIGANT_WALCO '!H716</f>
        <v>4.2725432285353833</v>
      </c>
      <c r="D97" s="551">
        <f>'RICON_RICON-S-EK_GIGANT_WALCO '!I716</f>
        <v>8.2725432285353833</v>
      </c>
      <c r="E97" s="500">
        <f t="shared" si="9"/>
        <v>1.9719430285547921</v>
      </c>
      <c r="F97" s="500">
        <f t="shared" si="9"/>
        <v>2.9579145428321882</v>
      </c>
      <c r="G97" s="500">
        <f t="shared" si="10"/>
        <v>3.8180968747086386</v>
      </c>
      <c r="H97" s="608">
        <f t="shared" si="10"/>
        <v>5.727145312062957</v>
      </c>
      <c r="I97" s="609">
        <f t="shared" si="11"/>
        <v>292.13970793404326</v>
      </c>
      <c r="J97" s="610">
        <f t="shared" si="8"/>
        <v>565.64398143831681</v>
      </c>
      <c r="K97" s="523" t="s">
        <v>433</v>
      </c>
      <c r="L97" s="500">
        <f>'RICON_RICON-S-EK_GIGANT_WALCO '!H716</f>
        <v>4.2725432285353833</v>
      </c>
      <c r="M97" s="500">
        <f>'RICON_RICON-S-EK_GIGANT_WALCO '!I716</f>
        <v>8.2725432285353833</v>
      </c>
      <c r="N97" s="500">
        <f t="shared" si="12"/>
        <v>1.9719430285547921</v>
      </c>
      <c r="O97" s="500">
        <f t="shared" si="12"/>
        <v>2.9579145428321882</v>
      </c>
      <c r="P97" s="500">
        <f t="shared" si="13"/>
        <v>3.8180968747086386</v>
      </c>
      <c r="Q97" s="500">
        <f t="shared" si="13"/>
        <v>5.727145312062957</v>
      </c>
      <c r="R97" s="514">
        <f t="shared" si="14"/>
        <v>292.13970793404326</v>
      </c>
      <c r="S97" s="520">
        <f t="shared" si="15"/>
        <v>565.64398143831681</v>
      </c>
      <c r="T97" s="3"/>
    </row>
    <row r="98" spans="1:20" ht="45">
      <c r="A98" s="396" t="s">
        <v>710</v>
      </c>
      <c r="B98" s="525" t="s">
        <v>627</v>
      </c>
      <c r="C98" s="551">
        <f>'RICON_RICON-S-EK_GIGANT_WALCO '!H717</f>
        <v>5.6346405643713657</v>
      </c>
      <c r="D98" s="551">
        <f>'RICON_RICON-S-EK_GIGANT_WALCO '!I717</f>
        <v>9.6346405643713666</v>
      </c>
      <c r="E98" s="500">
        <f t="shared" si="9"/>
        <v>2.6006033374021684</v>
      </c>
      <c r="F98" s="500">
        <f t="shared" si="9"/>
        <v>3.9009050061032533</v>
      </c>
      <c r="G98" s="500">
        <f t="shared" si="10"/>
        <v>4.4467571835560156</v>
      </c>
      <c r="H98" s="608">
        <f t="shared" si="10"/>
        <v>6.6701357753340238</v>
      </c>
      <c r="I98" s="609">
        <f t="shared" si="11"/>
        <v>385.2745685040249</v>
      </c>
      <c r="J98" s="610">
        <f t="shared" si="8"/>
        <v>658.77884200829851</v>
      </c>
      <c r="K98" s="523" t="s">
        <v>434</v>
      </c>
      <c r="L98" s="500">
        <f>'RICON_RICON-S-EK_GIGANT_WALCO '!H717</f>
        <v>5.6346405643713657</v>
      </c>
      <c r="M98" s="500">
        <f>'RICON_RICON-S-EK_GIGANT_WALCO '!I717</f>
        <v>9.6346405643713666</v>
      </c>
      <c r="N98" s="500">
        <f t="shared" si="12"/>
        <v>2.6006033374021684</v>
      </c>
      <c r="O98" s="500">
        <f t="shared" si="12"/>
        <v>3.9009050061032533</v>
      </c>
      <c r="P98" s="500">
        <f t="shared" si="13"/>
        <v>4.4467571835560156</v>
      </c>
      <c r="Q98" s="500">
        <f t="shared" si="13"/>
        <v>6.6701357753340238</v>
      </c>
      <c r="R98" s="514">
        <f t="shared" si="14"/>
        <v>385.2745685040249</v>
      </c>
      <c r="S98" s="520">
        <f t="shared" si="15"/>
        <v>658.77884200829851</v>
      </c>
      <c r="T98" s="3"/>
    </row>
    <row r="99" spans="1:20" ht="45">
      <c r="A99" s="396" t="s">
        <v>709</v>
      </c>
      <c r="B99" s="525" t="s">
        <v>628</v>
      </c>
      <c r="C99" s="551">
        <f>'RICON_RICON-S-EK_GIGANT_WALCO '!H718</f>
        <v>5.1169638723882258</v>
      </c>
      <c r="D99" s="551">
        <f>'RICON_RICON-S-EK_GIGANT_WALCO '!I718</f>
        <v>9.1169638723882258</v>
      </c>
      <c r="E99" s="500">
        <f t="shared" si="9"/>
        <v>2.3616756334099502</v>
      </c>
      <c r="F99" s="500">
        <f t="shared" si="9"/>
        <v>3.5425134501149258</v>
      </c>
      <c r="G99" s="500">
        <f t="shared" si="10"/>
        <v>4.207829479563796</v>
      </c>
      <c r="H99" s="608">
        <f t="shared" si="10"/>
        <v>6.3117442193456954</v>
      </c>
      <c r="I99" s="609">
        <f t="shared" si="11"/>
        <v>349.87787161628893</v>
      </c>
      <c r="J99" s="610">
        <f t="shared" si="8"/>
        <v>623.38214512056231</v>
      </c>
      <c r="K99" s="523" t="s">
        <v>435</v>
      </c>
      <c r="L99" s="500">
        <f>'RICON_RICON-S-EK_GIGANT_WALCO '!H718</f>
        <v>5.1169638723882258</v>
      </c>
      <c r="M99" s="500">
        <f>'RICON_RICON-S-EK_GIGANT_WALCO '!I718</f>
        <v>9.1169638723882258</v>
      </c>
      <c r="N99" s="500">
        <f t="shared" si="12"/>
        <v>2.3616756334099502</v>
      </c>
      <c r="O99" s="500">
        <f t="shared" si="12"/>
        <v>3.5425134501149258</v>
      </c>
      <c r="P99" s="500">
        <f t="shared" si="13"/>
        <v>4.207829479563796</v>
      </c>
      <c r="Q99" s="500">
        <f t="shared" si="13"/>
        <v>6.3117442193456954</v>
      </c>
      <c r="R99" s="514">
        <f t="shared" si="14"/>
        <v>349.87787161628893</v>
      </c>
      <c r="S99" s="520">
        <f t="shared" si="15"/>
        <v>623.38214512056231</v>
      </c>
      <c r="T99" s="3"/>
    </row>
    <row r="100" spans="1:20" ht="45">
      <c r="A100" s="396" t="s">
        <v>708</v>
      </c>
      <c r="B100" s="525" t="s">
        <v>629</v>
      </c>
      <c r="C100" s="551">
        <f>'RICON_RICON-S-EK_GIGANT_WALCO '!H719</f>
        <v>4.6863960027681477</v>
      </c>
      <c r="D100" s="551">
        <f>'RICON_RICON-S-EK_GIGANT_WALCO '!I719</f>
        <v>8.6863960027681486</v>
      </c>
      <c r="E100" s="500">
        <f t="shared" si="9"/>
        <v>2.1629520012776062</v>
      </c>
      <c r="F100" s="500">
        <f t="shared" si="9"/>
        <v>3.2444280019164102</v>
      </c>
      <c r="G100" s="500">
        <f t="shared" si="10"/>
        <v>4.0091058474314529</v>
      </c>
      <c r="H100" s="608">
        <f t="shared" si="10"/>
        <v>6.0136587711471794</v>
      </c>
      <c r="I100" s="609">
        <f t="shared" si="11"/>
        <v>320.4373335226083</v>
      </c>
      <c r="J100" s="610">
        <f t="shared" si="8"/>
        <v>593.94160702688191</v>
      </c>
      <c r="K100" s="523" t="s">
        <v>436</v>
      </c>
      <c r="L100" s="500">
        <f>'RICON_RICON-S-EK_GIGANT_WALCO '!H719</f>
        <v>4.6863960027681477</v>
      </c>
      <c r="M100" s="500">
        <f>'RICON_RICON-S-EK_GIGANT_WALCO '!I719</f>
        <v>8.6863960027681486</v>
      </c>
      <c r="N100" s="500">
        <f t="shared" si="12"/>
        <v>2.1629520012776062</v>
      </c>
      <c r="O100" s="500">
        <f t="shared" si="12"/>
        <v>3.2444280019164102</v>
      </c>
      <c r="P100" s="500">
        <f t="shared" si="13"/>
        <v>4.0091058474314529</v>
      </c>
      <c r="Q100" s="500">
        <f t="shared" si="13"/>
        <v>6.0136587711471794</v>
      </c>
      <c r="R100" s="514">
        <f t="shared" si="14"/>
        <v>320.4373335226083</v>
      </c>
      <c r="S100" s="520">
        <f t="shared" si="15"/>
        <v>593.94160702688191</v>
      </c>
      <c r="T100" s="3"/>
    </row>
  </sheetData>
  <sheetProtection password="D94A" sheet="1" objects="1" scenarios="1" selectLockedCells="1"/>
  <customSheetViews>
    <customSheetView guid="{88029C9E-0AAA-4AEA-8FBA-3530118F01BF}" showGridLines="0" showRowCol="0" hiddenColumns="1">
      <selection activeCell="B5" sqref="B5"/>
      <rowBreaks count="1" manualBreakCount="1">
        <brk id="37" max="16383" man="1"/>
      </rowBreaks>
      <pageMargins left="0.23622047244094491" right="0.23622047244094491" top="0.74803149606299213" bottom="0.74803149606299213" header="0.31496062992125984" footer="0.31496062992125984"/>
      <pageSetup paperSize="9" scale="62" orientation="portrait" r:id="rId1"/>
      <headerFooter>
        <oddFooter>&amp;CVERBINDUNGSSYSTEME FÜR DEN HOLZBAU UND MÖBELBAU
KNAPP GMBH, A-3324 Euratsfeld, Wassergasse 31,  AUSTRIA/EUROPE 
 Tel. +43(0)7474/79910,  Fax +43(0)7474/79910-99
eMail: austriainfo@knapp-verbinder.com,  www.knapp-verbinder.com&amp;R&amp;P</oddFooter>
      </headerFooter>
    </customSheetView>
  </customSheetViews>
  <mergeCells count="33">
    <mergeCell ref="K69:R69"/>
    <mergeCell ref="B69:J69"/>
    <mergeCell ref="A1:J2"/>
    <mergeCell ref="K70:R70"/>
    <mergeCell ref="L85:M85"/>
    <mergeCell ref="N85:P85"/>
    <mergeCell ref="L43:M43"/>
    <mergeCell ref="N43:R43"/>
    <mergeCell ref="K1:R2"/>
    <mergeCell ref="K5:R5"/>
    <mergeCell ref="L17:M17"/>
    <mergeCell ref="N17:R17"/>
    <mergeCell ref="K39:R39"/>
    <mergeCell ref="A39:B39"/>
    <mergeCell ref="C17:D17"/>
    <mergeCell ref="E43:H43"/>
    <mergeCell ref="N86:O86"/>
    <mergeCell ref="P86:Q86"/>
    <mergeCell ref="R86:R87"/>
    <mergeCell ref="R85:S85"/>
    <mergeCell ref="S86:S87"/>
    <mergeCell ref="J86:J87"/>
    <mergeCell ref="B17:B18"/>
    <mergeCell ref="C43:D43"/>
    <mergeCell ref="B43:B44"/>
    <mergeCell ref="B85:B87"/>
    <mergeCell ref="E86:F86"/>
    <mergeCell ref="G86:H86"/>
    <mergeCell ref="I85:J85"/>
    <mergeCell ref="I86:I87"/>
    <mergeCell ref="C85:D85"/>
    <mergeCell ref="E17:H17"/>
    <mergeCell ref="E85:G85"/>
  </mergeCells>
  <pageMargins left="0.23622047244094491" right="0.23622047244094491" top="0.98812500000000003" bottom="0.74803149606299213" header="0.31496062992125984" footer="0.31496062992125984"/>
  <pageSetup paperSize="9" scale="62" orientation="portrait" r:id="rId2"/>
  <headerFooter>
    <oddHeader>&amp;L&amp;G&amp;R
Datum: 01.11.2018
Ersteller: M. Eng. Dipl.-Ing. (FH) Torsten Langejürgen
Seite 1 von 5 Seiten</oddHeader>
    <oddFooter>&amp;C&amp;10VERBINDUNGSSYSTEME FÜR DEN HOLZBAU UND MÖBELBAU
KNAPP GMBH, A-3324 Euratsfeld, Wassergasse 31,  AUSTRIA/EUROPE 
 Tel. +43(0)7474/79910,  Fax +43(0)7474/79910-99
eMail: austriainfo@knapp-verbinder.com,  www.knapp-verbinder.com&amp;R&amp;P</oddFooter>
  </headerFooter>
  <rowBreaks count="2" manualBreakCount="2">
    <brk id="38" max="16383" man="1"/>
    <brk id="68" max="16383" man="1"/>
  </rowBreaks>
  <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400-000000000000}">
          <x14:formula1>
            <xm:f>'RICON_RICON-S-EK_GIGANT_WALCO '!$V$7:$V$16</xm:f>
          </x14:formula1>
          <xm:sqref>E5 E40</xm:sqref>
        </x14:dataValidation>
        <x14:dataValidation type="list" allowBlank="1" showInputMessage="1" showErrorMessage="1" xr:uid="{00000000-0002-0000-0400-000001000000}">
          <x14:formula1>
            <xm:f>'RICON_RICON-S-EK_GIGANT_WALCO '!$P$620:$P$627</xm:f>
          </x14:formula1>
          <xm:sqref>E70</xm:sqref>
        </x14:dataValidation>
        <x14:dataValidation type="list" allowBlank="1" showInputMessage="1" showErrorMessage="1" xr:uid="{00000000-0002-0000-0400-000002000000}">
          <x14:formula1>
            <xm:f>'RICON_RICON-S-EK_GIGANT_WALCO '!$V$21:$V$22</xm:f>
          </x14:formula1>
          <xm:sqref>E6</xm:sqref>
        </x14:dataValidation>
        <x14:dataValidation type="list" allowBlank="1" showInputMessage="1" showErrorMessage="1" xr:uid="{00000000-0002-0000-0400-000003000000}">
          <x14:formula1>
            <xm:f>'RICON_RICON-S-EK_GIGANT_WALCO '!$V$21:$V$23</xm:f>
          </x14:formula1>
          <xm:sqref>E41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7"/>
  <sheetViews>
    <sheetView showGridLines="0" showRowColHeaders="0" view="pageLayout" zoomScaleNormal="100" workbookViewId="0">
      <selection activeCell="E5" sqref="E5"/>
    </sheetView>
  </sheetViews>
  <sheetFormatPr baseColWidth="10" defaultRowHeight="15"/>
  <cols>
    <col min="1" max="1" width="27.42578125" customWidth="1"/>
    <col min="2" max="2" width="24.85546875" bestFit="1" customWidth="1"/>
    <col min="3" max="3" width="14.5703125" customWidth="1"/>
    <col min="4" max="4" width="25" customWidth="1"/>
    <col min="5" max="5" width="11.5703125" customWidth="1"/>
    <col min="10" max="10" width="10.140625" customWidth="1"/>
    <col min="12" max="12" width="27.42578125" hidden="1" customWidth="1"/>
    <col min="13" max="13" width="0" hidden="1" customWidth="1"/>
    <col min="14" max="14" width="13.7109375" hidden="1" customWidth="1"/>
    <col min="15" max="20" width="0" hidden="1" customWidth="1"/>
  </cols>
  <sheetData>
    <row r="1" spans="1:19" ht="21" customHeight="1">
      <c r="A1" s="787" t="s">
        <v>679</v>
      </c>
      <c r="B1" s="787"/>
      <c r="C1" s="787"/>
      <c r="D1" s="787"/>
      <c r="E1" s="787"/>
      <c r="F1" s="787"/>
      <c r="G1" s="787"/>
      <c r="H1" s="787"/>
      <c r="I1" s="787"/>
      <c r="J1" s="787"/>
      <c r="L1" s="765" t="s">
        <v>444</v>
      </c>
      <c r="M1" s="765"/>
      <c r="N1" s="765"/>
      <c r="O1" s="765"/>
      <c r="P1" s="765"/>
      <c r="Q1" s="765"/>
      <c r="R1" s="765"/>
      <c r="S1" s="765"/>
    </row>
    <row r="2" spans="1:19" ht="21.6" customHeight="1" thickBot="1">
      <c r="A2" s="788"/>
      <c r="B2" s="788"/>
      <c r="C2" s="788"/>
      <c r="D2" s="788"/>
      <c r="E2" s="788"/>
      <c r="F2" s="788"/>
      <c r="G2" s="788"/>
      <c r="H2" s="788"/>
      <c r="I2" s="788"/>
      <c r="J2" s="788"/>
      <c r="L2" s="765"/>
      <c r="M2" s="765"/>
      <c r="N2" s="765"/>
      <c r="O2" s="765"/>
      <c r="P2" s="765"/>
      <c r="Q2" s="765"/>
      <c r="R2" s="765"/>
      <c r="S2" s="765"/>
    </row>
    <row r="3" spans="1:19" ht="21.6" customHeight="1">
      <c r="A3" s="540"/>
      <c r="B3" s="540"/>
      <c r="C3" s="540"/>
      <c r="D3" s="540"/>
      <c r="E3" s="540"/>
      <c r="F3" s="540"/>
      <c r="G3" s="540"/>
      <c r="H3" s="540"/>
      <c r="I3" s="540"/>
      <c r="L3" s="540"/>
      <c r="M3" s="540"/>
      <c r="N3" s="540"/>
      <c r="O3" s="540"/>
      <c r="P3" s="540"/>
      <c r="Q3" s="540"/>
      <c r="R3" s="540"/>
      <c r="S3" s="540"/>
    </row>
    <row r="4" spans="1:19" ht="33.75">
      <c r="A4" s="556" t="s">
        <v>415</v>
      </c>
      <c r="B4" s="557"/>
      <c r="C4" s="557"/>
      <c r="D4" s="557"/>
      <c r="E4" s="557"/>
      <c r="F4" s="557"/>
      <c r="G4" s="557"/>
      <c r="H4" s="557"/>
      <c r="I4" s="557"/>
      <c r="J4" s="555"/>
      <c r="L4" s="554"/>
      <c r="M4" s="554"/>
      <c r="N4" s="554"/>
      <c r="O4" s="554"/>
      <c r="P4" s="554"/>
      <c r="Q4" s="554"/>
      <c r="R4" s="554"/>
      <c r="S4" s="554"/>
    </row>
    <row r="5" spans="1:19" ht="21">
      <c r="A5" s="558" t="s">
        <v>678</v>
      </c>
      <c r="B5" s="543"/>
      <c r="C5" s="543"/>
      <c r="D5" s="543" t="s">
        <v>650</v>
      </c>
      <c r="E5" s="601" t="s">
        <v>25</v>
      </c>
      <c r="G5" s="582" t="str">
        <f>VLOOKUP(E5,'RICON_RICON-S-EK_GIGANT_WALCO '!V7:X16,3,FALSE)</f>
        <v>Brettschichtholz homogen</v>
      </c>
      <c r="H5" s="582"/>
      <c r="L5" s="767" t="s">
        <v>473</v>
      </c>
      <c r="M5" s="767"/>
      <c r="N5" s="767"/>
      <c r="O5" s="767"/>
      <c r="P5" s="767"/>
      <c r="Q5" s="767"/>
      <c r="R5" s="767"/>
      <c r="S5" s="767"/>
    </row>
    <row r="6" spans="1:19" ht="18.75">
      <c r="D6" s="580" t="s">
        <v>657</v>
      </c>
      <c r="E6" s="601">
        <v>1</v>
      </c>
      <c r="G6" s="581" t="str">
        <f>VLOOKUP(E6,'RICON_RICON-S-EK_GIGANT_WALCO '!V21:W22,2,FALSE)</f>
        <v>Innenbereich</v>
      </c>
      <c r="H6" s="583"/>
      <c r="L6" s="511" t="s">
        <v>445</v>
      </c>
    </row>
    <row r="7" spans="1:19" ht="21.6" customHeight="1">
      <c r="A7" s="540"/>
      <c r="B7" s="540"/>
      <c r="C7" s="540"/>
      <c r="I7" s="540"/>
      <c r="L7" s="540"/>
      <c r="M7" s="540"/>
      <c r="N7" s="540"/>
      <c r="O7" s="540"/>
      <c r="P7" s="540"/>
      <c r="Q7" s="540"/>
      <c r="R7" s="540"/>
      <c r="S7" s="540"/>
    </row>
    <row r="8" spans="1:19" ht="18.75">
      <c r="A8" s="511"/>
      <c r="B8" s="511"/>
      <c r="L8" s="511"/>
    </row>
    <row r="9" spans="1:19" ht="18.75">
      <c r="A9" s="511"/>
      <c r="B9" s="511"/>
      <c r="L9" s="511"/>
    </row>
    <row r="10" spans="1:19" ht="18.75">
      <c r="A10" s="511"/>
      <c r="B10" s="511"/>
      <c r="L10" s="511"/>
    </row>
    <row r="11" spans="1:19" ht="18.75">
      <c r="A11" s="511"/>
      <c r="B11" s="511"/>
      <c r="L11" s="511"/>
    </row>
    <row r="12" spans="1:19" ht="18.75">
      <c r="A12" s="511"/>
      <c r="B12" s="511"/>
      <c r="L12" s="511"/>
    </row>
    <row r="13" spans="1:19" ht="18.75">
      <c r="A13" s="511"/>
      <c r="B13" s="511"/>
      <c r="L13" s="511"/>
    </row>
    <row r="14" spans="1:19" ht="18.75">
      <c r="A14" s="511"/>
      <c r="B14" s="511"/>
      <c r="L14" s="511"/>
    </row>
    <row r="15" spans="1:19" ht="21">
      <c r="A15" s="507"/>
      <c r="B15" s="507"/>
      <c r="L15" s="507" t="s">
        <v>471</v>
      </c>
    </row>
    <row r="16" spans="1:19" ht="18">
      <c r="A16" s="596" t="s">
        <v>413</v>
      </c>
      <c r="B16" s="771" t="s">
        <v>487</v>
      </c>
      <c r="C16" s="793" t="s">
        <v>414</v>
      </c>
      <c r="D16" s="793"/>
      <c r="E16" s="705" t="str">
        <f>"Belastungswerte F2,Rd für "&amp;E5&amp;" [kN]"</f>
        <v>Belastungswerte F2,Rd für GL24h [kN]</v>
      </c>
      <c r="F16" s="706"/>
      <c r="G16" s="706"/>
      <c r="H16" s="706"/>
      <c r="I16" s="604" t="s">
        <v>691</v>
      </c>
      <c r="L16" s="4" t="s">
        <v>413</v>
      </c>
      <c r="M16" s="766" t="s">
        <v>450</v>
      </c>
      <c r="N16" s="766"/>
      <c r="O16" s="682" t="s">
        <v>448</v>
      </c>
      <c r="P16" s="683"/>
      <c r="Q16" s="683"/>
      <c r="R16" s="683"/>
      <c r="S16" s="684"/>
    </row>
    <row r="17" spans="1:19" ht="33.75" customHeight="1">
      <c r="A17" s="82"/>
      <c r="B17" s="773"/>
      <c r="C17" s="597" t="s">
        <v>411</v>
      </c>
      <c r="D17" s="597" t="s">
        <v>412</v>
      </c>
      <c r="E17" s="590">
        <v>0.6</v>
      </c>
      <c r="F17" s="590">
        <v>0.7</v>
      </c>
      <c r="G17" s="590">
        <v>0.8</v>
      </c>
      <c r="H17" s="590">
        <v>0.9</v>
      </c>
      <c r="I17" s="590">
        <v>1</v>
      </c>
      <c r="L17" s="8"/>
      <c r="M17" s="44" t="s">
        <v>411</v>
      </c>
      <c r="N17" s="44" t="s">
        <v>412</v>
      </c>
      <c r="O17" s="95">
        <v>0.6</v>
      </c>
      <c r="P17" s="95">
        <v>0.7</v>
      </c>
      <c r="Q17" s="95">
        <v>0.8</v>
      </c>
      <c r="R17" s="95">
        <v>0.9</v>
      </c>
      <c r="S17" s="95">
        <v>1</v>
      </c>
    </row>
    <row r="18" spans="1:19" ht="45">
      <c r="A18" s="68" t="s">
        <v>469</v>
      </c>
      <c r="B18" s="527" t="s">
        <v>617</v>
      </c>
      <c r="C18" s="551">
        <f>'RICON_RICON-S-EK_GIGANT_WALCO '!C101</f>
        <v>17</v>
      </c>
      <c r="D18" s="551">
        <f>'RICON_RICON-S-EK_GIGANT_WALCO '!F101</f>
        <v>12.49450681193213</v>
      </c>
      <c r="E18" s="500">
        <f>MIN($C18/1,$D18*E$17/1.3)</f>
        <v>5.7666954516609827</v>
      </c>
      <c r="F18" s="500">
        <f t="shared" ref="F18:I22" si="0">MIN($C18/1,$D18*F$17/1.3)</f>
        <v>6.7278113602711462</v>
      </c>
      <c r="G18" s="500">
        <f t="shared" si="0"/>
        <v>7.6889272688813115</v>
      </c>
      <c r="H18" s="500">
        <f t="shared" si="0"/>
        <v>8.6500431774914741</v>
      </c>
      <c r="I18" s="500">
        <f t="shared" si="0"/>
        <v>9.6111590861016385</v>
      </c>
      <c r="L18" s="68" t="s">
        <v>372</v>
      </c>
      <c r="M18" s="500">
        <f>'RICON_RICON-S-EK_GIGANT_WALCO '!C101</f>
        <v>17</v>
      </c>
      <c r="N18" s="500">
        <f>'RICON_RICON-S-EK_GIGANT_WALCO '!F101</f>
        <v>12.49450681193213</v>
      </c>
      <c r="O18" s="500">
        <f>MIN($C18/1,$D18*O$17/1.3)</f>
        <v>5.7666954516609827</v>
      </c>
      <c r="P18" s="500">
        <f t="shared" ref="P18:S22" si="1">MIN($C18/1,$D18*P$17/1.3)</f>
        <v>6.7278113602711462</v>
      </c>
      <c r="Q18" s="500">
        <f t="shared" si="1"/>
        <v>7.6889272688813115</v>
      </c>
      <c r="R18" s="500">
        <f t="shared" si="1"/>
        <v>8.6500431774914741</v>
      </c>
      <c r="S18" s="500">
        <f t="shared" si="1"/>
        <v>9.6111590861016385</v>
      </c>
    </row>
    <row r="19" spans="1:19" ht="60">
      <c r="A19" s="67" t="s">
        <v>618</v>
      </c>
      <c r="B19" s="527" t="s">
        <v>630</v>
      </c>
      <c r="C19" s="551">
        <f>'RICON_RICON-S-EK_GIGANT_WALCO '!C103</f>
        <v>24</v>
      </c>
      <c r="D19" s="551">
        <f>'RICON_RICON-S-EK_GIGANT_WALCO '!F103</f>
        <v>16.659342415909506</v>
      </c>
      <c r="E19" s="500">
        <f>MIN($C19/1,$D19*E$17/1.3)</f>
        <v>7.6889272688813097</v>
      </c>
      <c r="F19" s="500">
        <f t="shared" si="0"/>
        <v>8.970415147028195</v>
      </c>
      <c r="G19" s="500">
        <f t="shared" si="0"/>
        <v>10.251903025175082</v>
      </c>
      <c r="H19" s="500">
        <f t="shared" si="0"/>
        <v>11.533390903321965</v>
      </c>
      <c r="I19" s="500">
        <f t="shared" si="0"/>
        <v>12.814878781468851</v>
      </c>
      <c r="L19" s="67" t="s">
        <v>476</v>
      </c>
      <c r="M19" s="500">
        <f>'RICON_RICON-S-EK_GIGANT_WALCO '!C103</f>
        <v>24</v>
      </c>
      <c r="N19" s="500">
        <f>'RICON_RICON-S-EK_GIGANT_WALCO '!F103</f>
        <v>16.659342415909506</v>
      </c>
      <c r="O19" s="500">
        <f>MIN($C19/1,$D19*O$17/1.3)</f>
        <v>7.6889272688813097</v>
      </c>
      <c r="P19" s="500">
        <f t="shared" si="1"/>
        <v>8.970415147028195</v>
      </c>
      <c r="Q19" s="500">
        <f t="shared" si="1"/>
        <v>10.251903025175082</v>
      </c>
      <c r="R19" s="500">
        <f t="shared" si="1"/>
        <v>11.533390903321965</v>
      </c>
      <c r="S19" s="500">
        <f t="shared" si="1"/>
        <v>12.814878781468851</v>
      </c>
    </row>
    <row r="20" spans="1:19" ht="60">
      <c r="A20" s="67" t="s">
        <v>470</v>
      </c>
      <c r="B20" s="527" t="s">
        <v>631</v>
      </c>
      <c r="C20" s="551">
        <f>'RICON_RICON-S-EK_GIGANT_WALCO '!C105</f>
        <v>24</v>
      </c>
      <c r="D20" s="551">
        <f>'RICON_RICON-S-EK_GIGANT_WALCO '!F105</f>
        <v>16.659342415909506</v>
      </c>
      <c r="E20" s="500">
        <f>MIN($C20/1,$D20*E$17/1.3)</f>
        <v>7.6889272688813097</v>
      </c>
      <c r="F20" s="500">
        <f t="shared" si="0"/>
        <v>8.970415147028195</v>
      </c>
      <c r="G20" s="500">
        <f t="shared" si="0"/>
        <v>10.251903025175082</v>
      </c>
      <c r="H20" s="500">
        <f t="shared" si="0"/>
        <v>11.533390903321965</v>
      </c>
      <c r="I20" s="500">
        <f t="shared" si="0"/>
        <v>12.814878781468851</v>
      </c>
      <c r="L20" s="67" t="s">
        <v>374</v>
      </c>
      <c r="M20" s="500">
        <f>'RICON_RICON-S-EK_GIGANT_WALCO '!C105</f>
        <v>24</v>
      </c>
      <c r="N20" s="500">
        <f>'RICON_RICON-S-EK_GIGANT_WALCO '!F105</f>
        <v>16.659342415909506</v>
      </c>
      <c r="O20" s="500">
        <f>MIN($C20/1,$D20*O$17/1.3)</f>
        <v>7.6889272688813097</v>
      </c>
      <c r="P20" s="500">
        <f t="shared" si="1"/>
        <v>8.970415147028195</v>
      </c>
      <c r="Q20" s="500">
        <f t="shared" si="1"/>
        <v>10.251903025175082</v>
      </c>
      <c r="R20" s="500">
        <f t="shared" si="1"/>
        <v>11.533390903321965</v>
      </c>
      <c r="S20" s="500">
        <f t="shared" si="1"/>
        <v>12.814878781468851</v>
      </c>
    </row>
    <row r="21" spans="1:19" ht="60">
      <c r="A21" s="67" t="s">
        <v>619</v>
      </c>
      <c r="B21" s="527" t="s">
        <v>632</v>
      </c>
      <c r="C21" s="551">
        <f>'RICON_RICON-S-EK_GIGANT_WALCO '!C106</f>
        <v>33</v>
      </c>
      <c r="D21" s="551">
        <f>'RICON_RICON-S-EK_GIGANT_WALCO '!F106</f>
        <v>24.98901362386426</v>
      </c>
      <c r="E21" s="500">
        <f>MIN($C21/1,$D21*E$17/1.3)</f>
        <v>11.533390903321965</v>
      </c>
      <c r="F21" s="500">
        <f t="shared" si="0"/>
        <v>13.455622720542292</v>
      </c>
      <c r="G21" s="500">
        <f t="shared" si="0"/>
        <v>15.377854537762623</v>
      </c>
      <c r="H21" s="500">
        <f t="shared" si="0"/>
        <v>17.300086354982948</v>
      </c>
      <c r="I21" s="500">
        <f t="shared" si="0"/>
        <v>19.222318172203277</v>
      </c>
      <c r="L21" s="67" t="s">
        <v>477</v>
      </c>
      <c r="M21" s="500">
        <f>'RICON_RICON-S-EK_GIGANT_WALCO '!C106</f>
        <v>33</v>
      </c>
      <c r="N21" s="500">
        <f>'RICON_RICON-S-EK_GIGANT_WALCO '!F106</f>
        <v>24.98901362386426</v>
      </c>
      <c r="O21" s="500">
        <f>MIN($C21/1,$D21*O$17/1.3)</f>
        <v>11.533390903321965</v>
      </c>
      <c r="P21" s="500">
        <f t="shared" si="1"/>
        <v>13.455622720542292</v>
      </c>
      <c r="Q21" s="500">
        <f t="shared" si="1"/>
        <v>15.377854537762623</v>
      </c>
      <c r="R21" s="500">
        <f t="shared" si="1"/>
        <v>17.300086354982948</v>
      </c>
      <c r="S21" s="500">
        <f t="shared" si="1"/>
        <v>19.222318172203277</v>
      </c>
    </row>
    <row r="22" spans="1:19" ht="60">
      <c r="A22" s="67" t="s">
        <v>620</v>
      </c>
      <c r="B22" s="527" t="s">
        <v>633</v>
      </c>
      <c r="C22" s="551">
        <f>'RICON_RICON-S-EK_GIGANT_WALCO '!C108</f>
        <v>33</v>
      </c>
      <c r="D22" s="551">
        <f>'RICON_RICON-S-EK_GIGANT_WALCO '!F108</f>
        <v>20.824178019886883</v>
      </c>
      <c r="E22" s="500">
        <f>MIN($C22/1,$D22*E$17/1.3)</f>
        <v>9.6111590861016385</v>
      </c>
      <c r="F22" s="500">
        <f t="shared" si="0"/>
        <v>11.213018933785243</v>
      </c>
      <c r="G22" s="500">
        <f t="shared" si="0"/>
        <v>12.814878781468851</v>
      </c>
      <c r="H22" s="500">
        <f t="shared" si="0"/>
        <v>14.416738629152459</v>
      </c>
      <c r="I22" s="500">
        <f t="shared" si="0"/>
        <v>16.018598476836065</v>
      </c>
      <c r="L22" s="67" t="s">
        <v>376</v>
      </c>
      <c r="M22" s="500">
        <f>'RICON_RICON-S-EK_GIGANT_WALCO '!C108</f>
        <v>33</v>
      </c>
      <c r="N22" s="500">
        <f>'RICON_RICON-S-EK_GIGANT_WALCO '!F108</f>
        <v>20.824178019886883</v>
      </c>
      <c r="O22" s="500">
        <f>MIN($C22/1,$D22*O$17/1.3)</f>
        <v>9.6111590861016385</v>
      </c>
      <c r="P22" s="500">
        <f t="shared" si="1"/>
        <v>11.213018933785243</v>
      </c>
      <c r="Q22" s="500">
        <f t="shared" si="1"/>
        <v>12.814878781468851</v>
      </c>
      <c r="R22" s="500">
        <f t="shared" si="1"/>
        <v>14.416738629152459</v>
      </c>
      <c r="S22" s="500">
        <f t="shared" si="1"/>
        <v>16.018598476836065</v>
      </c>
    </row>
    <row r="23" spans="1:19">
      <c r="A23" s="503"/>
      <c r="B23" s="528"/>
      <c r="C23" s="510"/>
      <c r="D23" s="510"/>
      <c r="E23" s="510"/>
      <c r="F23" s="510"/>
      <c r="G23" s="510"/>
      <c r="H23" s="510"/>
      <c r="I23" s="510"/>
      <c r="L23" s="503"/>
      <c r="M23" s="510"/>
      <c r="N23" s="510"/>
      <c r="O23" s="510"/>
      <c r="P23" s="510"/>
      <c r="Q23" s="510"/>
      <c r="R23" s="510"/>
      <c r="S23" s="510"/>
    </row>
    <row r="24" spans="1:19">
      <c r="A24" s="503"/>
      <c r="B24" s="528"/>
      <c r="C24" s="510"/>
      <c r="D24" s="510"/>
      <c r="E24" s="510"/>
      <c r="F24" s="510"/>
      <c r="G24" s="510"/>
      <c r="H24" s="510"/>
      <c r="I24" s="510"/>
      <c r="L24" s="503"/>
      <c r="M24" s="510"/>
      <c r="N24" s="510"/>
      <c r="O24" s="510"/>
      <c r="P24" s="510"/>
      <c r="Q24" s="510"/>
      <c r="R24" s="510"/>
      <c r="S24" s="510"/>
    </row>
    <row r="25" spans="1:19">
      <c r="A25" s="503"/>
      <c r="B25" s="528"/>
      <c r="C25" s="510"/>
      <c r="D25" s="510"/>
      <c r="E25" s="510"/>
      <c r="F25" s="510"/>
      <c r="G25" s="510"/>
      <c r="H25" s="510"/>
      <c r="I25" s="510"/>
      <c r="L25" s="503"/>
      <c r="M25" s="510"/>
      <c r="N25" s="510"/>
      <c r="O25" s="510"/>
      <c r="P25" s="510"/>
      <c r="Q25" s="510"/>
      <c r="R25" s="510"/>
      <c r="S25" s="510"/>
    </row>
    <row r="26" spans="1:19">
      <c r="A26" s="503"/>
      <c r="B26" s="528"/>
      <c r="C26" s="510"/>
      <c r="D26" s="510"/>
      <c r="E26" s="510"/>
      <c r="F26" s="510"/>
      <c r="G26" s="510"/>
      <c r="H26" s="510"/>
      <c r="I26" s="510"/>
      <c r="L26" s="503"/>
      <c r="M26" s="510"/>
      <c r="N26" s="510"/>
      <c r="O26" s="510"/>
      <c r="P26" s="510"/>
      <c r="Q26" s="510"/>
      <c r="R26" s="510"/>
      <c r="S26" s="510"/>
    </row>
    <row r="27" spans="1:19">
      <c r="A27" s="503"/>
      <c r="B27" s="503"/>
      <c r="C27" s="510"/>
      <c r="D27" s="510"/>
      <c r="E27" s="510"/>
      <c r="F27" s="510"/>
      <c r="G27" s="510"/>
      <c r="H27" s="510"/>
      <c r="I27" s="510"/>
      <c r="L27" s="503"/>
      <c r="M27" s="510"/>
      <c r="N27" s="510"/>
      <c r="O27" s="510"/>
      <c r="P27" s="510"/>
      <c r="Q27" s="510"/>
      <c r="R27" s="510"/>
      <c r="S27" s="510"/>
    </row>
  </sheetData>
  <sheetProtection password="D94A" sheet="1" objects="1" scenarios="1" selectLockedCells="1"/>
  <customSheetViews>
    <customSheetView guid="{88029C9E-0AAA-4AEA-8FBA-3530118F01BF}" showGridLines="0" showRowCol="0" hiddenColumns="1">
      <selection activeCell="F20" sqref="F20"/>
      <pageMargins left="0.7" right="0.7" top="0.78740157499999996" bottom="0.78740157499999996" header="0.3" footer="0.3"/>
    </customSheetView>
  </customSheetViews>
  <mergeCells count="8">
    <mergeCell ref="L1:S2"/>
    <mergeCell ref="L5:S5"/>
    <mergeCell ref="B16:B17"/>
    <mergeCell ref="C16:D16"/>
    <mergeCell ref="M16:N16"/>
    <mergeCell ref="O16:S16"/>
    <mergeCell ref="A1:J2"/>
    <mergeCell ref="E16:H16"/>
  </mergeCells>
  <pageMargins left="0.23622047244094491" right="0.23622047244094491" top="0.98425196850393704" bottom="0.74803149606299213" header="0.31496062992125984" footer="0.31496062992125984"/>
  <pageSetup paperSize="9" scale="62" orientation="portrait" r:id="rId1"/>
  <headerFooter>
    <oddHeader>&amp;L&amp;G&amp;R
Datum: 01.11.2018
Ersteller: M. Eng. Dipl.-Ing. (FH) Torsten Langejürgen
Seite 1 von 5 Seiten</oddHeader>
    <oddFooter>&amp;CVERBINDUNGSSYSTEME FÜR DEN HOLZBAU UND MÖBELBAU
KNAPP GMBH, A-3324 Euratsfeld, Wassergasse 31,  AUSTRIA/EUROPE 
 Tel. +43(0)7474/79910,  Fax +43(0)7474/79910-99
eMail: austriainfo@knapp-verbinder.com,  www.knapp-verbinder.com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0000000}">
          <x14:formula1>
            <xm:f>'RICON_RICON-S-EK_GIGANT_WALCO '!$V$7:$V$16</xm:f>
          </x14:formula1>
          <xm:sqref>E5</xm:sqref>
        </x14:dataValidation>
        <x14:dataValidation type="list" allowBlank="1" showInputMessage="1" showErrorMessage="1" xr:uid="{00000000-0002-0000-0500-000001000000}">
          <x14:formula1>
            <xm:f>'RICON_RICON-S-EK_GIGANT_WALCO '!$V$21:$V$22</xm:f>
          </x14:formula1>
          <xm:sqref>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69"/>
  <sheetViews>
    <sheetView showGridLines="0" showRowColHeaders="0" view="pageLayout" zoomScaleNormal="100" workbookViewId="0">
      <selection activeCell="E5" sqref="E5"/>
    </sheetView>
  </sheetViews>
  <sheetFormatPr baseColWidth="10" defaultRowHeight="15"/>
  <cols>
    <col min="1" max="1" width="27.42578125" customWidth="1"/>
    <col min="2" max="2" width="24.85546875" bestFit="1" customWidth="1"/>
    <col min="4" max="4" width="25" customWidth="1"/>
    <col min="10" max="10" width="13.42578125" customWidth="1"/>
    <col min="11" max="11" width="27.42578125" hidden="1" customWidth="1"/>
    <col min="12" max="12" width="0" hidden="1" customWidth="1"/>
    <col min="13" max="13" width="13.7109375" hidden="1" customWidth="1"/>
    <col min="14" max="19" width="0" hidden="1" customWidth="1"/>
  </cols>
  <sheetData>
    <row r="1" spans="1:18" ht="21" customHeight="1">
      <c r="A1" s="787" t="s">
        <v>680</v>
      </c>
      <c r="B1" s="787"/>
      <c r="C1" s="787"/>
      <c r="D1" s="787"/>
      <c r="E1" s="787"/>
      <c r="F1" s="787"/>
      <c r="G1" s="787"/>
      <c r="H1" s="787"/>
      <c r="I1" s="787"/>
      <c r="J1" s="787"/>
      <c r="K1" s="765" t="s">
        <v>444</v>
      </c>
      <c r="L1" s="765"/>
      <c r="M1" s="765"/>
      <c r="N1" s="765"/>
      <c r="O1" s="765"/>
      <c r="P1" s="765"/>
      <c r="Q1" s="765"/>
      <c r="R1" s="765"/>
    </row>
    <row r="2" spans="1:18" ht="21.6" customHeight="1" thickBot="1">
      <c r="A2" s="788"/>
      <c r="B2" s="788"/>
      <c r="C2" s="788"/>
      <c r="D2" s="788"/>
      <c r="E2" s="788"/>
      <c r="F2" s="788"/>
      <c r="G2" s="788"/>
      <c r="H2" s="788"/>
      <c r="I2" s="788"/>
      <c r="J2" s="788"/>
      <c r="K2" s="765"/>
      <c r="L2" s="765"/>
      <c r="M2" s="765"/>
      <c r="N2" s="765"/>
      <c r="O2" s="765"/>
      <c r="P2" s="765"/>
      <c r="Q2" s="765"/>
      <c r="R2" s="765"/>
    </row>
    <row r="3" spans="1:18" ht="21.6" customHeight="1">
      <c r="A3" s="540"/>
      <c r="B3" s="540"/>
      <c r="C3" s="540"/>
      <c r="D3" s="540"/>
      <c r="E3" s="540"/>
      <c r="F3" s="540"/>
      <c r="G3" s="540"/>
      <c r="H3" s="540"/>
      <c r="I3" s="540"/>
      <c r="K3" s="540"/>
      <c r="L3" s="540"/>
      <c r="M3" s="540"/>
      <c r="N3" s="540"/>
      <c r="O3" s="540"/>
      <c r="P3" s="540"/>
      <c r="Q3" s="540"/>
      <c r="R3" s="540"/>
    </row>
    <row r="4" spans="1:18" ht="33.75">
      <c r="A4" s="556" t="s">
        <v>480</v>
      </c>
      <c r="B4" s="557"/>
      <c r="C4" s="557"/>
      <c r="D4" s="557"/>
      <c r="E4" s="557"/>
      <c r="F4" s="557"/>
      <c r="G4" s="557"/>
      <c r="H4" s="557"/>
      <c r="I4" s="557"/>
      <c r="J4" s="555"/>
      <c r="K4" s="554"/>
      <c r="L4" s="554"/>
      <c r="M4" s="554"/>
      <c r="N4" s="554"/>
      <c r="O4" s="554"/>
      <c r="P4" s="554"/>
      <c r="Q4" s="554"/>
      <c r="R4" s="554"/>
    </row>
    <row r="5" spans="1:18" ht="21">
      <c r="A5" s="558" t="s">
        <v>678</v>
      </c>
      <c r="B5" s="543"/>
      <c r="C5" s="543"/>
      <c r="D5" s="543" t="s">
        <v>650</v>
      </c>
      <c r="E5" s="601" t="s">
        <v>25</v>
      </c>
      <c r="G5" s="582" t="str">
        <f>VLOOKUP(E5,'RICON_RICON-S-EK_GIGANT_WALCO '!V7:X16,3,FALSE)</f>
        <v>Brettschichtholz homogen</v>
      </c>
      <c r="H5" s="582"/>
      <c r="K5" s="767" t="s">
        <v>473</v>
      </c>
      <c r="L5" s="767"/>
      <c r="M5" s="767"/>
      <c r="N5" s="767"/>
      <c r="O5" s="767"/>
      <c r="P5" s="767"/>
      <c r="Q5" s="767"/>
      <c r="R5" s="767"/>
    </row>
    <row r="6" spans="1:18" ht="18.75">
      <c r="D6" s="580" t="s">
        <v>657</v>
      </c>
      <c r="E6" s="601">
        <v>1</v>
      </c>
      <c r="G6" s="581" t="str">
        <f>VLOOKUP(E6,'RICON_RICON-S-EK_GIGANT_WALCO '!V21:W22,2,FALSE)</f>
        <v>Innenbereich</v>
      </c>
      <c r="H6" s="583"/>
      <c r="K6" s="511" t="s">
        <v>445</v>
      </c>
    </row>
    <row r="7" spans="1:18" ht="21.6" customHeight="1">
      <c r="A7" s="540"/>
      <c r="B7" s="540"/>
      <c r="C7" s="540"/>
      <c r="D7" s="540"/>
      <c r="E7" s="540"/>
      <c r="F7" s="540"/>
      <c r="G7" s="540"/>
      <c r="H7" s="540"/>
      <c r="I7" s="540"/>
      <c r="K7" s="540"/>
      <c r="L7" s="540"/>
      <c r="M7" s="540"/>
      <c r="N7" s="540"/>
      <c r="O7" s="540"/>
      <c r="P7" s="540"/>
      <c r="Q7" s="540"/>
      <c r="R7" s="540"/>
    </row>
    <row r="9" spans="1:18" ht="18.75">
      <c r="A9" s="511"/>
      <c r="B9" s="511"/>
      <c r="K9" s="511"/>
    </row>
    <row r="10" spans="1:18" ht="18.75">
      <c r="A10" s="511"/>
      <c r="B10" s="511"/>
      <c r="K10" s="511"/>
    </row>
    <row r="11" spans="1:18" ht="18.75">
      <c r="A11" s="511"/>
      <c r="B11" s="511"/>
      <c r="K11" s="511"/>
    </row>
    <row r="12" spans="1:18" ht="18.75">
      <c r="A12" s="511"/>
      <c r="B12" s="511"/>
      <c r="K12" s="511"/>
    </row>
    <row r="13" spans="1:18" ht="18.75">
      <c r="A13" s="511"/>
      <c r="B13" s="511"/>
      <c r="K13" s="511"/>
    </row>
    <row r="14" spans="1:18" ht="18.75">
      <c r="A14" s="511"/>
      <c r="B14" s="511"/>
      <c r="K14" s="511"/>
    </row>
    <row r="15" spans="1:18" ht="18.75">
      <c r="A15" s="511"/>
      <c r="B15" s="511"/>
      <c r="K15" s="511"/>
    </row>
    <row r="16" spans="1:18" ht="18.75">
      <c r="A16" s="511"/>
      <c r="B16" s="511"/>
      <c r="K16" s="511"/>
    </row>
    <row r="17" spans="1:18" ht="18.75">
      <c r="A17" s="511"/>
      <c r="B17" s="511"/>
      <c r="K17" s="511"/>
    </row>
    <row r="18" spans="1:18" ht="21">
      <c r="A18" s="506"/>
      <c r="B18" s="506"/>
      <c r="K18" s="506" t="s">
        <v>419</v>
      </c>
    </row>
    <row r="19" spans="1:18" ht="18">
      <c r="A19" s="596" t="s">
        <v>413</v>
      </c>
      <c r="B19" s="771" t="s">
        <v>487</v>
      </c>
      <c r="C19" s="793" t="s">
        <v>414</v>
      </c>
      <c r="D19" s="793"/>
      <c r="E19" s="705" t="str">
        <f>"Belastungswerte F2,Rd für "&amp;E5&amp;" [kN]"</f>
        <v>Belastungswerte F2,Rd für GL24h [kN]</v>
      </c>
      <c r="F19" s="706"/>
      <c r="G19" s="706"/>
      <c r="H19" s="706"/>
      <c r="I19" s="604" t="s">
        <v>691</v>
      </c>
      <c r="K19" s="4" t="s">
        <v>413</v>
      </c>
      <c r="L19" s="766" t="s">
        <v>450</v>
      </c>
      <c r="M19" s="766"/>
      <c r="N19" s="682" t="s">
        <v>448</v>
      </c>
      <c r="O19" s="683"/>
      <c r="P19" s="683"/>
      <c r="Q19" s="683"/>
      <c r="R19" s="684"/>
    </row>
    <row r="20" spans="1:18" ht="33.75" customHeight="1">
      <c r="A20" s="82"/>
      <c r="B20" s="773"/>
      <c r="C20" s="597" t="s">
        <v>411</v>
      </c>
      <c r="D20" s="597" t="s">
        <v>412</v>
      </c>
      <c r="E20" s="590">
        <v>0.6</v>
      </c>
      <c r="F20" s="590">
        <v>0.7</v>
      </c>
      <c r="G20" s="590">
        <v>0.8</v>
      </c>
      <c r="H20" s="590">
        <v>0.9</v>
      </c>
      <c r="I20" s="590">
        <v>1</v>
      </c>
      <c r="K20" s="8"/>
      <c r="L20" s="44" t="s">
        <v>411</v>
      </c>
      <c r="M20" s="44" t="s">
        <v>412</v>
      </c>
      <c r="N20" s="95">
        <v>0.6</v>
      </c>
      <c r="O20" s="95">
        <v>0.7</v>
      </c>
      <c r="P20" s="95">
        <v>0.8</v>
      </c>
      <c r="Q20" s="95">
        <v>0.9</v>
      </c>
      <c r="R20" s="95">
        <v>1</v>
      </c>
    </row>
    <row r="21" spans="1:18" ht="45">
      <c r="A21" s="424" t="s">
        <v>732</v>
      </c>
      <c r="B21" s="532" t="s">
        <v>488</v>
      </c>
      <c r="C21" s="551">
        <f>'RICON_RICON-S-EK_GIGANT_WALCO '!C240</f>
        <v>34</v>
      </c>
      <c r="D21" s="551">
        <f>'RICON_RICON-S-EK_GIGANT_WALCO '!F240</f>
        <v>37.149991394525706</v>
      </c>
      <c r="E21" s="500">
        <f t="shared" ref="E21:E26" si="0">MIN($C21/1,$D21*E$20/1.3)</f>
        <v>17.146149874396478</v>
      </c>
      <c r="F21" s="500">
        <f t="shared" ref="F21:I26" si="1">MIN($C21/1,$D21*F$20/1.3)</f>
        <v>20.003841520129225</v>
      </c>
      <c r="G21" s="500">
        <f>MIN($C21/1,$D21*G$20/1.3)</f>
        <v>22.861533165861974</v>
      </c>
      <c r="H21" s="500">
        <f t="shared" si="1"/>
        <v>25.719224811594717</v>
      </c>
      <c r="I21" s="500">
        <f t="shared" si="1"/>
        <v>28.576916457327464</v>
      </c>
      <c r="K21" s="424" t="s">
        <v>377</v>
      </c>
      <c r="L21" s="500">
        <f>'RICON_RICON-S-EK_GIGANT_WALCO '!C240</f>
        <v>34</v>
      </c>
      <c r="M21" s="500">
        <f>'RICON_RICON-S-EK_GIGANT_WALCO '!F240</f>
        <v>37.149991394525706</v>
      </c>
      <c r="N21" s="500">
        <f t="shared" ref="N21:N26" si="2">MIN($C21/1,$D21*N$20/1.3)</f>
        <v>17.146149874396478</v>
      </c>
      <c r="O21" s="500">
        <f t="shared" ref="O21:R26" si="3">MIN($C21/1,$D21*O$20/1.3)</f>
        <v>20.003841520129225</v>
      </c>
      <c r="P21" s="500">
        <f t="shared" si="3"/>
        <v>22.861533165861974</v>
      </c>
      <c r="Q21" s="500">
        <f t="shared" si="3"/>
        <v>25.719224811594717</v>
      </c>
      <c r="R21" s="500">
        <f t="shared" si="3"/>
        <v>28.576916457327464</v>
      </c>
    </row>
    <row r="22" spans="1:18" ht="45">
      <c r="A22" s="342" t="s">
        <v>733</v>
      </c>
      <c r="B22" s="530" t="s">
        <v>621</v>
      </c>
      <c r="C22" s="551">
        <f>'RICON_RICON-S-EK_GIGANT_WALCO '!C241</f>
        <v>34</v>
      </c>
      <c r="D22" s="551">
        <f>'RICON_RICON-S-EK_GIGANT_WALCO '!F241</f>
        <v>40.18125965399701</v>
      </c>
      <c r="E22" s="500">
        <f t="shared" si="0"/>
        <v>18.545196763383235</v>
      </c>
      <c r="F22" s="500">
        <f t="shared" si="1"/>
        <v>21.636062890613772</v>
      </c>
      <c r="G22" s="500">
        <f t="shared" si="1"/>
        <v>24.726929017844313</v>
      </c>
      <c r="H22" s="500">
        <f t="shared" si="1"/>
        <v>27.817795145074854</v>
      </c>
      <c r="I22" s="500">
        <f t="shared" si="1"/>
        <v>30.908661272305391</v>
      </c>
      <c r="K22" s="342" t="s">
        <v>379</v>
      </c>
      <c r="L22" s="500">
        <f>'RICON_RICON-S-EK_GIGANT_WALCO '!C241</f>
        <v>34</v>
      </c>
      <c r="M22" s="500">
        <f>'RICON_RICON-S-EK_GIGANT_WALCO '!F241</f>
        <v>40.18125965399701</v>
      </c>
      <c r="N22" s="500">
        <f t="shared" si="2"/>
        <v>18.545196763383235</v>
      </c>
      <c r="O22" s="500">
        <f t="shared" si="3"/>
        <v>21.636062890613772</v>
      </c>
      <c r="P22" s="500">
        <f t="shared" si="3"/>
        <v>24.726929017844313</v>
      </c>
      <c r="Q22" s="500">
        <f t="shared" si="3"/>
        <v>27.817795145074854</v>
      </c>
      <c r="R22" s="500">
        <f t="shared" si="3"/>
        <v>30.908661272305391</v>
      </c>
    </row>
    <row r="23" spans="1:18" ht="45">
      <c r="A23" s="342" t="s">
        <v>734</v>
      </c>
      <c r="B23" s="530" t="s">
        <v>489</v>
      </c>
      <c r="C23" s="551">
        <f>'RICON_RICON-S-EK_GIGANT_WALCO '!C242</f>
        <v>34</v>
      </c>
      <c r="D23" s="551">
        <f>'RICON_RICON-S-EK_GIGANT_WALCO '!F242</f>
        <v>56.710921194381697</v>
      </c>
      <c r="E23" s="500">
        <f t="shared" si="0"/>
        <v>26.174271320483861</v>
      </c>
      <c r="F23" s="500">
        <f t="shared" si="1"/>
        <v>30.536649873897833</v>
      </c>
      <c r="G23" s="500">
        <f t="shared" si="1"/>
        <v>34</v>
      </c>
      <c r="H23" s="500">
        <f t="shared" si="1"/>
        <v>34</v>
      </c>
      <c r="I23" s="500">
        <f t="shared" si="1"/>
        <v>34</v>
      </c>
      <c r="K23" s="342" t="s">
        <v>380</v>
      </c>
      <c r="L23" s="500">
        <f>'RICON_RICON-S-EK_GIGANT_WALCO '!C242</f>
        <v>34</v>
      </c>
      <c r="M23" s="500">
        <f>'RICON_RICON-S-EK_GIGANT_WALCO '!F242</f>
        <v>56.710921194381697</v>
      </c>
      <c r="N23" s="500">
        <f t="shared" si="2"/>
        <v>26.174271320483861</v>
      </c>
      <c r="O23" s="500">
        <f t="shared" si="3"/>
        <v>30.536649873897833</v>
      </c>
      <c r="P23" s="500">
        <f t="shared" si="3"/>
        <v>34</v>
      </c>
      <c r="Q23" s="500">
        <f t="shared" si="3"/>
        <v>34</v>
      </c>
      <c r="R23" s="500">
        <f t="shared" si="3"/>
        <v>34</v>
      </c>
    </row>
    <row r="24" spans="1:18" ht="45">
      <c r="A24" s="342" t="s">
        <v>735</v>
      </c>
      <c r="B24" s="530" t="s">
        <v>622</v>
      </c>
      <c r="C24" s="551">
        <f>'RICON_RICON-S-EK_GIGANT_WALCO '!C243</f>
        <v>34</v>
      </c>
      <c r="D24" s="551">
        <f>'RICON_RICON-S-EK_GIGANT_WALCO '!F243</f>
        <v>66.480609906200655</v>
      </c>
      <c r="E24" s="500">
        <f t="shared" si="0"/>
        <v>30.683358418246456</v>
      </c>
      <c r="F24" s="500">
        <f t="shared" si="1"/>
        <v>34</v>
      </c>
      <c r="G24" s="500">
        <f t="shared" si="1"/>
        <v>34</v>
      </c>
      <c r="H24" s="500">
        <f t="shared" si="1"/>
        <v>34</v>
      </c>
      <c r="I24" s="500">
        <f t="shared" si="1"/>
        <v>34</v>
      </c>
      <c r="K24" s="342" t="s">
        <v>381</v>
      </c>
      <c r="L24" s="500">
        <f>'RICON_RICON-S-EK_GIGANT_WALCO '!C243</f>
        <v>34</v>
      </c>
      <c r="M24" s="500">
        <f>'RICON_RICON-S-EK_GIGANT_WALCO '!F243</f>
        <v>66.480609906200655</v>
      </c>
      <c r="N24" s="500">
        <f t="shared" si="2"/>
        <v>30.683358418246456</v>
      </c>
      <c r="O24" s="500">
        <f t="shared" si="3"/>
        <v>34</v>
      </c>
      <c r="P24" s="500">
        <f t="shared" si="3"/>
        <v>34</v>
      </c>
      <c r="Q24" s="500">
        <f t="shared" si="3"/>
        <v>34</v>
      </c>
      <c r="R24" s="500">
        <f t="shared" si="3"/>
        <v>34</v>
      </c>
    </row>
    <row r="25" spans="1:18" ht="45">
      <c r="A25" s="342" t="s">
        <v>736</v>
      </c>
      <c r="B25" s="530" t="s">
        <v>498</v>
      </c>
      <c r="C25" s="551">
        <f>'RICON_RICON-S-EK_GIGANT_WALCO '!C244</f>
        <v>50</v>
      </c>
      <c r="D25" s="551">
        <f>'RICON_RICON-S-EK_GIGANT_WALCO '!F244</f>
        <v>79.124951595789881</v>
      </c>
      <c r="E25" s="500">
        <f t="shared" si="0"/>
        <v>36.519208428826097</v>
      </c>
      <c r="F25" s="500">
        <f t="shared" si="1"/>
        <v>42.605743166963784</v>
      </c>
      <c r="G25" s="500">
        <f t="shared" si="1"/>
        <v>48.692277905101463</v>
      </c>
      <c r="H25" s="500">
        <f t="shared" si="1"/>
        <v>50</v>
      </c>
      <c r="I25" s="500">
        <f t="shared" si="1"/>
        <v>50</v>
      </c>
      <c r="K25" s="342" t="s">
        <v>383</v>
      </c>
      <c r="L25" s="500">
        <f>'RICON_RICON-S-EK_GIGANT_WALCO '!C244</f>
        <v>50</v>
      </c>
      <c r="M25" s="500">
        <f>'RICON_RICON-S-EK_GIGANT_WALCO '!F244</f>
        <v>79.124951595789881</v>
      </c>
      <c r="N25" s="500">
        <f t="shared" si="2"/>
        <v>36.519208428826097</v>
      </c>
      <c r="O25" s="500">
        <f t="shared" si="3"/>
        <v>42.605743166963784</v>
      </c>
      <c r="P25" s="500">
        <f t="shared" si="3"/>
        <v>48.692277905101463</v>
      </c>
      <c r="Q25" s="500">
        <f t="shared" si="3"/>
        <v>50</v>
      </c>
      <c r="R25" s="500">
        <f t="shared" si="3"/>
        <v>50</v>
      </c>
    </row>
    <row r="26" spans="1:18" ht="45">
      <c r="A26" s="342" t="s">
        <v>737</v>
      </c>
      <c r="B26" s="530" t="s">
        <v>499</v>
      </c>
      <c r="C26" s="551">
        <f>'RICON_RICON-S-EK_GIGANT_WALCO '!C245</f>
        <v>50</v>
      </c>
      <c r="D26" s="551">
        <f>'RICON_RICON-S-EK_GIGANT_WALCO '!F245</f>
        <v>96.723603718619998</v>
      </c>
      <c r="E26" s="500">
        <f t="shared" si="0"/>
        <v>44.641663254747691</v>
      </c>
      <c r="F26" s="500">
        <f t="shared" si="1"/>
        <v>50</v>
      </c>
      <c r="G26" s="500">
        <f t="shared" si="1"/>
        <v>50</v>
      </c>
      <c r="H26" s="500">
        <f t="shared" si="1"/>
        <v>50</v>
      </c>
      <c r="I26" s="500">
        <f t="shared" si="1"/>
        <v>50</v>
      </c>
      <c r="K26" s="342" t="s">
        <v>422</v>
      </c>
      <c r="L26" s="500">
        <f>'RICON_RICON-S-EK_GIGANT_WALCO '!C245</f>
        <v>50</v>
      </c>
      <c r="M26" s="500">
        <f>'RICON_RICON-S-EK_GIGANT_WALCO '!F245</f>
        <v>96.723603718619998</v>
      </c>
      <c r="N26" s="500">
        <f t="shared" si="2"/>
        <v>44.641663254747691</v>
      </c>
      <c r="O26" s="500">
        <f t="shared" si="3"/>
        <v>50</v>
      </c>
      <c r="P26" s="500">
        <f t="shared" si="3"/>
        <v>50</v>
      </c>
      <c r="Q26" s="500">
        <f t="shared" si="3"/>
        <v>50</v>
      </c>
      <c r="R26" s="500">
        <f t="shared" si="3"/>
        <v>50</v>
      </c>
    </row>
    <row r="27" spans="1:18">
      <c r="A27" s="504"/>
      <c r="B27" s="533"/>
      <c r="C27" s="510"/>
      <c r="D27" s="510"/>
      <c r="E27" s="510"/>
      <c r="F27" s="510"/>
      <c r="G27" s="510"/>
      <c r="H27" s="510"/>
      <c r="I27" s="510"/>
      <c r="K27" s="504"/>
      <c r="L27" s="510"/>
      <c r="M27" s="510"/>
      <c r="N27" s="510"/>
      <c r="O27" s="510"/>
      <c r="P27" s="510"/>
      <c r="Q27" s="510"/>
      <c r="R27" s="510"/>
    </row>
    <row r="28" spans="1:18">
      <c r="A28" s="504"/>
      <c r="B28" s="533"/>
      <c r="C28" s="510"/>
      <c r="D28" s="510"/>
      <c r="E28" s="510"/>
      <c r="F28" s="510"/>
      <c r="G28" s="510"/>
      <c r="H28" s="510"/>
      <c r="I28" s="510"/>
      <c r="K28" s="504"/>
      <c r="L28" s="510"/>
      <c r="M28" s="510"/>
      <c r="N28" s="510"/>
      <c r="O28" s="510"/>
      <c r="P28" s="510"/>
      <c r="Q28" s="510"/>
      <c r="R28" s="510"/>
    </row>
    <row r="29" spans="1:18">
      <c r="A29" s="504"/>
      <c r="B29" s="533"/>
      <c r="C29" s="510"/>
      <c r="D29" s="510"/>
      <c r="E29" s="510"/>
      <c r="F29" s="510"/>
      <c r="G29" s="510"/>
      <c r="H29" s="510"/>
      <c r="I29" s="510"/>
      <c r="K29" s="504"/>
      <c r="L29" s="510"/>
      <c r="M29" s="510"/>
      <c r="N29" s="510"/>
      <c r="O29" s="510"/>
      <c r="P29" s="510"/>
      <c r="Q29" s="510"/>
      <c r="R29" s="510"/>
    </row>
    <row r="30" spans="1:18">
      <c r="A30" s="504"/>
      <c r="B30" s="533"/>
      <c r="C30" s="510"/>
      <c r="D30" s="510"/>
      <c r="E30" s="510"/>
      <c r="F30" s="510"/>
      <c r="G30" s="510"/>
      <c r="H30" s="510"/>
      <c r="I30" s="510"/>
      <c r="K30" s="504"/>
      <c r="L30" s="510"/>
      <c r="M30" s="510"/>
      <c r="N30" s="510"/>
      <c r="O30" s="510"/>
      <c r="P30" s="510"/>
      <c r="Q30" s="510"/>
      <c r="R30" s="510"/>
    </row>
    <row r="31" spans="1:18">
      <c r="A31" s="504"/>
      <c r="B31" s="533"/>
      <c r="C31" s="510"/>
      <c r="D31" s="510"/>
      <c r="E31" s="510"/>
      <c r="F31" s="510"/>
      <c r="G31" s="510"/>
      <c r="H31" s="510"/>
      <c r="I31" s="510"/>
      <c r="K31" s="504"/>
      <c r="L31" s="510"/>
      <c r="M31" s="510"/>
      <c r="N31" s="510"/>
      <c r="O31" s="510"/>
      <c r="P31" s="510"/>
      <c r="Q31" s="510"/>
      <c r="R31" s="510"/>
    </row>
    <row r="32" spans="1:18" ht="33.75">
      <c r="A32" s="556" t="s">
        <v>481</v>
      </c>
      <c r="B32" s="557"/>
      <c r="C32" s="557"/>
      <c r="D32" s="557"/>
      <c r="E32" s="557"/>
      <c r="F32" s="557"/>
      <c r="G32" s="557"/>
      <c r="H32" s="557"/>
      <c r="I32" s="557"/>
      <c r="J32" s="555"/>
      <c r="K32" s="504"/>
      <c r="L32" s="510"/>
      <c r="M32" s="510"/>
      <c r="N32" s="510"/>
      <c r="O32" s="510"/>
      <c r="P32" s="510"/>
      <c r="Q32" s="510"/>
      <c r="R32" s="510"/>
    </row>
    <row r="33" spans="1:18" ht="21">
      <c r="A33" s="558" t="s">
        <v>678</v>
      </c>
      <c r="B33" s="543"/>
      <c r="C33" s="543"/>
      <c r="D33" s="543" t="s">
        <v>650</v>
      </c>
      <c r="E33" s="601" t="s">
        <v>25</v>
      </c>
      <c r="G33" s="582" t="str">
        <f>VLOOKUP(E33,'RICON_RICON-S-EK_GIGANT_WALCO '!V7:X16,3,FALSE)</f>
        <v>Brettschichtholz homogen</v>
      </c>
      <c r="H33" s="582"/>
      <c r="K33" s="767" t="s">
        <v>473</v>
      </c>
      <c r="L33" s="767"/>
      <c r="M33" s="767"/>
      <c r="N33" s="767"/>
      <c r="O33" s="767"/>
      <c r="P33" s="767"/>
      <c r="Q33" s="767"/>
      <c r="R33" s="767"/>
    </row>
    <row r="34" spans="1:18" ht="18.75">
      <c r="D34" s="580" t="s">
        <v>657</v>
      </c>
      <c r="E34" s="601">
        <v>1</v>
      </c>
      <c r="G34" s="581" t="str">
        <f>VLOOKUP(E34,'RICON_RICON-S-EK_GIGANT_WALCO '!V21:W22,2,FALSE)</f>
        <v>Innenbereich</v>
      </c>
      <c r="H34" s="583"/>
      <c r="K34" s="511" t="s">
        <v>445</v>
      </c>
    </row>
    <row r="35" spans="1:18" ht="18.75">
      <c r="A35" s="511"/>
      <c r="B35" s="511"/>
      <c r="K35" s="511"/>
    </row>
    <row r="36" spans="1:18" ht="18.75">
      <c r="A36" s="511"/>
      <c r="B36" s="511"/>
      <c r="K36" s="511"/>
    </row>
    <row r="37" spans="1:18" ht="18.75">
      <c r="A37" s="511"/>
      <c r="B37" s="511"/>
      <c r="K37" s="511"/>
    </row>
    <row r="38" spans="1:18" ht="18.75">
      <c r="A38" s="511"/>
      <c r="B38" s="511"/>
      <c r="K38" s="511"/>
    </row>
    <row r="39" spans="1:18" ht="18.75">
      <c r="A39" s="511"/>
      <c r="B39" s="511"/>
      <c r="K39" s="511"/>
    </row>
    <row r="40" spans="1:18" ht="18.75">
      <c r="A40" s="511"/>
      <c r="B40" s="511"/>
      <c r="K40" s="511"/>
    </row>
    <row r="41" spans="1:18" ht="18.75">
      <c r="A41" s="511"/>
      <c r="B41" s="511"/>
      <c r="K41" s="511"/>
    </row>
    <row r="42" spans="1:18" ht="18.75">
      <c r="A42" s="511"/>
      <c r="B42" s="511"/>
      <c r="K42" s="511"/>
    </row>
    <row r="43" spans="1:18" ht="18.75">
      <c r="A43" s="511"/>
      <c r="B43" s="511"/>
      <c r="K43" s="511"/>
    </row>
    <row r="44" spans="1:18" ht="18.75">
      <c r="A44" s="511"/>
      <c r="B44" s="511"/>
      <c r="K44" s="511"/>
    </row>
    <row r="45" spans="1:18" ht="18.75">
      <c r="A45" s="511"/>
      <c r="B45" s="511"/>
      <c r="K45" s="511"/>
    </row>
    <row r="46" spans="1:18" ht="18.75">
      <c r="A46" s="511"/>
      <c r="B46" s="511"/>
      <c r="K46" s="511"/>
    </row>
    <row r="47" spans="1:18" ht="21">
      <c r="A47" s="505"/>
      <c r="B47" s="505"/>
      <c r="K47" s="505" t="s">
        <v>420</v>
      </c>
    </row>
    <row r="48" spans="1:18" ht="18">
      <c r="A48" s="4" t="s">
        <v>413</v>
      </c>
      <c r="B48" s="771" t="s">
        <v>487</v>
      </c>
      <c r="C48" s="796" t="s">
        <v>414</v>
      </c>
      <c r="D48" s="796"/>
      <c r="E48" s="705" t="str">
        <f>"Belastungswerte F2,Rd für "&amp;E33&amp;" [kN]"</f>
        <v>Belastungswerte F2,Rd für GL24h [kN]</v>
      </c>
      <c r="F48" s="706"/>
      <c r="G48" s="706"/>
      <c r="H48" s="706"/>
      <c r="I48" s="604" t="s">
        <v>691</v>
      </c>
      <c r="K48" s="4" t="s">
        <v>413</v>
      </c>
      <c r="L48" s="766" t="s">
        <v>450</v>
      </c>
      <c r="M48" s="766"/>
      <c r="N48" s="682" t="s">
        <v>448</v>
      </c>
      <c r="O48" s="683"/>
      <c r="P48" s="683"/>
      <c r="Q48" s="683"/>
      <c r="R48" s="684"/>
    </row>
    <row r="49" spans="1:18" ht="31.5" customHeight="1">
      <c r="A49" s="8"/>
      <c r="B49" s="773"/>
      <c r="C49" s="602" t="s">
        <v>411</v>
      </c>
      <c r="D49" s="602" t="s">
        <v>412</v>
      </c>
      <c r="E49" s="590">
        <v>0.6</v>
      </c>
      <c r="F49" s="590">
        <v>0.7</v>
      </c>
      <c r="G49" s="590">
        <v>0.8</v>
      </c>
      <c r="H49" s="590">
        <v>0.9</v>
      </c>
      <c r="I49" s="590">
        <v>1</v>
      </c>
      <c r="K49" s="8"/>
      <c r="L49" s="44" t="s">
        <v>411</v>
      </c>
      <c r="M49" s="44" t="s">
        <v>412</v>
      </c>
      <c r="N49" s="95">
        <v>0.6</v>
      </c>
      <c r="O49" s="95">
        <v>0.7</v>
      </c>
      <c r="P49" s="95">
        <v>0.8</v>
      </c>
      <c r="Q49" s="95">
        <v>0.9</v>
      </c>
      <c r="R49" s="95">
        <v>1</v>
      </c>
    </row>
    <row r="50" spans="1:18" ht="45">
      <c r="A50" s="342" t="s">
        <v>738</v>
      </c>
      <c r="B50" s="530" t="s">
        <v>488</v>
      </c>
      <c r="C50" s="551">
        <f>'RICON-S-VS'!C77</f>
        <v>60</v>
      </c>
      <c r="D50" s="551">
        <f>'RICON-S-VS'!F77</f>
        <v>37.149991394525706</v>
      </c>
      <c r="E50" s="500">
        <f>MIN($C50/1,$D50*E$49/1.3)</f>
        <v>17.146149874396478</v>
      </c>
      <c r="F50" s="500">
        <f t="shared" ref="F50:I59" si="4">MIN($C50/1,$D50*F$49/1.3)</f>
        <v>20.003841520129225</v>
      </c>
      <c r="G50" s="500">
        <f t="shared" si="4"/>
        <v>22.861533165861974</v>
      </c>
      <c r="H50" s="500">
        <f t="shared" si="4"/>
        <v>25.719224811594717</v>
      </c>
      <c r="I50" s="500">
        <f t="shared" si="4"/>
        <v>28.576916457327464</v>
      </c>
      <c r="K50" s="342" t="s">
        <v>294</v>
      </c>
      <c r="L50" s="500">
        <f>'RICON-S-VS'!C77</f>
        <v>60</v>
      </c>
      <c r="M50" s="500">
        <f>'RICON-S-VS'!F77</f>
        <v>37.149991394525706</v>
      </c>
      <c r="N50" s="500">
        <f>MIN($C50/1,$D50*N$49/1.3)</f>
        <v>17.146149874396478</v>
      </c>
      <c r="O50" s="500">
        <f t="shared" ref="O50:R59" si="5">MIN($C50/1,$D50*O$49/1.3)</f>
        <v>20.003841520129225</v>
      </c>
      <c r="P50" s="500">
        <f t="shared" si="5"/>
        <v>22.861533165861974</v>
      </c>
      <c r="Q50" s="500">
        <f t="shared" si="5"/>
        <v>25.719224811594717</v>
      </c>
      <c r="R50" s="500">
        <f t="shared" si="5"/>
        <v>28.576916457327464</v>
      </c>
    </row>
    <row r="51" spans="1:18" ht="45">
      <c r="A51" s="342" t="s">
        <v>739</v>
      </c>
      <c r="B51" s="530" t="s">
        <v>490</v>
      </c>
      <c r="C51" s="551">
        <f>'RICON-S-VS'!C78</f>
        <v>60</v>
      </c>
      <c r="D51" s="551">
        <f>'RICON-S-VS'!F78</f>
        <v>40.18125965399701</v>
      </c>
      <c r="E51" s="500">
        <f t="shared" ref="E51:E59" si="6">MIN($C51/1,$D51*E$49/1.3)</f>
        <v>18.545196763383235</v>
      </c>
      <c r="F51" s="500">
        <f t="shared" si="4"/>
        <v>21.636062890613772</v>
      </c>
      <c r="G51" s="500">
        <f t="shared" si="4"/>
        <v>24.726929017844313</v>
      </c>
      <c r="H51" s="500">
        <f t="shared" si="4"/>
        <v>27.817795145074854</v>
      </c>
      <c r="I51" s="500">
        <f t="shared" si="4"/>
        <v>30.908661272305391</v>
      </c>
      <c r="K51" s="342" t="s">
        <v>295</v>
      </c>
      <c r="L51" s="500">
        <f>'RICON-S-VS'!C78</f>
        <v>60</v>
      </c>
      <c r="M51" s="500">
        <f>'RICON-S-VS'!F78</f>
        <v>40.18125965399701</v>
      </c>
      <c r="N51" s="500">
        <f t="shared" ref="N51:N59" si="7">MIN($C51/1,$D51*N$49/1.3)</f>
        <v>18.545196763383235</v>
      </c>
      <c r="O51" s="500">
        <f t="shared" si="5"/>
        <v>21.636062890613772</v>
      </c>
      <c r="P51" s="500">
        <f t="shared" si="5"/>
        <v>24.726929017844313</v>
      </c>
      <c r="Q51" s="500">
        <f t="shared" si="5"/>
        <v>27.817795145074854</v>
      </c>
      <c r="R51" s="500">
        <f t="shared" si="5"/>
        <v>30.908661272305391</v>
      </c>
    </row>
    <row r="52" spans="1:18" ht="45">
      <c r="A52" s="342" t="s">
        <v>740</v>
      </c>
      <c r="B52" s="530" t="s">
        <v>489</v>
      </c>
      <c r="C52" s="551">
        <f>'RICON-S-VS'!C80</f>
        <v>60</v>
      </c>
      <c r="D52" s="551">
        <f>'RICON-S-VS'!F80</f>
        <v>56.710921194381697</v>
      </c>
      <c r="E52" s="500">
        <f t="shared" si="6"/>
        <v>26.174271320483861</v>
      </c>
      <c r="F52" s="500">
        <f t="shared" si="4"/>
        <v>30.536649873897833</v>
      </c>
      <c r="G52" s="500">
        <f t="shared" si="4"/>
        <v>34.899028427311819</v>
      </c>
      <c r="H52" s="500">
        <f t="shared" si="4"/>
        <v>39.261406980725788</v>
      </c>
      <c r="I52" s="500">
        <f t="shared" si="4"/>
        <v>43.623785534139763</v>
      </c>
      <c r="K52" s="342" t="s">
        <v>296</v>
      </c>
      <c r="L52" s="500">
        <f>'RICON-S-VS'!C80</f>
        <v>60</v>
      </c>
      <c r="M52" s="500">
        <f>'RICON-S-VS'!F80</f>
        <v>56.710921194381697</v>
      </c>
      <c r="N52" s="500">
        <f t="shared" si="7"/>
        <v>26.174271320483861</v>
      </c>
      <c r="O52" s="500">
        <f t="shared" si="5"/>
        <v>30.536649873897833</v>
      </c>
      <c r="P52" s="500">
        <f t="shared" si="5"/>
        <v>34.899028427311819</v>
      </c>
      <c r="Q52" s="500">
        <f t="shared" si="5"/>
        <v>39.261406980725788</v>
      </c>
      <c r="R52" s="500">
        <f t="shared" si="5"/>
        <v>43.623785534139763</v>
      </c>
    </row>
    <row r="53" spans="1:18" ht="45">
      <c r="A53" s="342" t="s">
        <v>741</v>
      </c>
      <c r="B53" s="530" t="s">
        <v>500</v>
      </c>
      <c r="C53" s="551">
        <f>'RICON-S-VS'!C81</f>
        <v>60</v>
      </c>
      <c r="D53" s="551">
        <f>'RICON-S-VS'!F81</f>
        <v>66.480609906200655</v>
      </c>
      <c r="E53" s="500">
        <f t="shared" si="6"/>
        <v>30.683358418246456</v>
      </c>
      <c r="F53" s="500">
        <f t="shared" si="4"/>
        <v>35.797251487954192</v>
      </c>
      <c r="G53" s="500">
        <f t="shared" si="4"/>
        <v>40.911144557661942</v>
      </c>
      <c r="H53" s="500">
        <f t="shared" si="4"/>
        <v>46.025037627369684</v>
      </c>
      <c r="I53" s="500">
        <f t="shared" si="4"/>
        <v>51.138930697077427</v>
      </c>
      <c r="K53" s="342" t="s">
        <v>297</v>
      </c>
      <c r="L53" s="500">
        <f>'RICON-S-VS'!C81</f>
        <v>60</v>
      </c>
      <c r="M53" s="500">
        <f>'RICON-S-VS'!F81</f>
        <v>66.480609906200655</v>
      </c>
      <c r="N53" s="500">
        <f t="shared" si="7"/>
        <v>30.683358418246456</v>
      </c>
      <c r="O53" s="500">
        <f t="shared" si="5"/>
        <v>35.797251487954192</v>
      </c>
      <c r="P53" s="500">
        <f t="shared" si="5"/>
        <v>40.911144557661942</v>
      </c>
      <c r="Q53" s="500">
        <f t="shared" si="5"/>
        <v>46.025037627369684</v>
      </c>
      <c r="R53" s="500">
        <f t="shared" si="5"/>
        <v>51.138930697077427</v>
      </c>
    </row>
    <row r="54" spans="1:18" ht="45">
      <c r="A54" s="342" t="s">
        <v>742</v>
      </c>
      <c r="B54" s="530" t="s">
        <v>498</v>
      </c>
      <c r="C54" s="551">
        <f>'RICON-S-VS'!C83</f>
        <v>99</v>
      </c>
      <c r="D54" s="551">
        <f>'RICON-S-VS'!F83</f>
        <v>79.124951595789881</v>
      </c>
      <c r="E54" s="500">
        <f t="shared" si="6"/>
        <v>36.519208428826097</v>
      </c>
      <c r="F54" s="500">
        <f t="shared" si="4"/>
        <v>42.605743166963784</v>
      </c>
      <c r="G54" s="500">
        <f t="shared" si="4"/>
        <v>48.692277905101463</v>
      </c>
      <c r="H54" s="500">
        <f t="shared" si="4"/>
        <v>54.778812643239149</v>
      </c>
      <c r="I54" s="500">
        <f t="shared" si="4"/>
        <v>60.865347381376829</v>
      </c>
      <c r="K54" s="342" t="s">
        <v>299</v>
      </c>
      <c r="L54" s="500">
        <f>'RICON-S-VS'!C83</f>
        <v>99</v>
      </c>
      <c r="M54" s="500">
        <f>'RICON-S-VS'!F83</f>
        <v>79.124951595789881</v>
      </c>
      <c r="N54" s="500">
        <f t="shared" si="7"/>
        <v>36.519208428826097</v>
      </c>
      <c r="O54" s="500">
        <f t="shared" si="5"/>
        <v>42.605743166963784</v>
      </c>
      <c r="P54" s="500">
        <f t="shared" si="5"/>
        <v>48.692277905101463</v>
      </c>
      <c r="Q54" s="500">
        <f t="shared" si="5"/>
        <v>54.778812643239149</v>
      </c>
      <c r="R54" s="500">
        <f t="shared" si="5"/>
        <v>60.865347381376829</v>
      </c>
    </row>
    <row r="55" spans="1:18" ht="45">
      <c r="A55" s="342" t="s">
        <v>743</v>
      </c>
      <c r="B55" s="530" t="s">
        <v>501</v>
      </c>
      <c r="C55" s="551">
        <f>'RICON-S-VS'!C84</f>
        <v>99</v>
      </c>
      <c r="D55" s="551">
        <f>'RICON-S-VS'!F84</f>
        <v>92.415567140008505</v>
      </c>
      <c r="E55" s="500">
        <f t="shared" si="6"/>
        <v>42.653338680003927</v>
      </c>
      <c r="F55" s="500">
        <f t="shared" si="4"/>
        <v>49.762228460004579</v>
      </c>
      <c r="G55" s="500">
        <f t="shared" si="4"/>
        <v>56.871118240005231</v>
      </c>
      <c r="H55" s="500">
        <f t="shared" si="4"/>
        <v>63.980008020005883</v>
      </c>
      <c r="I55" s="500">
        <f t="shared" si="4"/>
        <v>71.088897800006535</v>
      </c>
      <c r="K55" s="342" t="s">
        <v>301</v>
      </c>
      <c r="L55" s="500">
        <f>'RICON-S-VS'!C84</f>
        <v>99</v>
      </c>
      <c r="M55" s="500">
        <f>'RICON-S-VS'!F84</f>
        <v>92.415567140008505</v>
      </c>
      <c r="N55" s="500">
        <f t="shared" si="7"/>
        <v>42.653338680003927</v>
      </c>
      <c r="O55" s="500">
        <f t="shared" si="5"/>
        <v>49.762228460004579</v>
      </c>
      <c r="P55" s="500">
        <f t="shared" si="5"/>
        <v>56.871118240005231</v>
      </c>
      <c r="Q55" s="500">
        <f t="shared" si="5"/>
        <v>63.980008020005883</v>
      </c>
      <c r="R55" s="500">
        <f t="shared" si="5"/>
        <v>71.088897800006535</v>
      </c>
    </row>
    <row r="56" spans="1:18" ht="45">
      <c r="A56" s="342" t="s">
        <v>744</v>
      </c>
      <c r="B56" s="530" t="s">
        <v>499</v>
      </c>
      <c r="C56" s="551">
        <f>'RICON-S-VS'!C86</f>
        <v>99</v>
      </c>
      <c r="D56" s="551">
        <f>'RICON-S-VS'!F86</f>
        <v>118.23647695999895</v>
      </c>
      <c r="E56" s="500">
        <f t="shared" si="6"/>
        <v>54.570681673845669</v>
      </c>
      <c r="F56" s="500">
        <f t="shared" si="4"/>
        <v>63.665795286153283</v>
      </c>
      <c r="G56" s="500">
        <f t="shared" si="4"/>
        <v>72.760908898460897</v>
      </c>
      <c r="H56" s="500">
        <f t="shared" si="4"/>
        <v>81.856022510768497</v>
      </c>
      <c r="I56" s="500">
        <f t="shared" si="4"/>
        <v>90.951136123076111</v>
      </c>
      <c r="K56" s="342" t="s">
        <v>303</v>
      </c>
      <c r="L56" s="500">
        <f>'RICON-S-VS'!C86</f>
        <v>99</v>
      </c>
      <c r="M56" s="500">
        <f>'RICON-S-VS'!F86</f>
        <v>118.23647695999895</v>
      </c>
      <c r="N56" s="500">
        <f t="shared" si="7"/>
        <v>54.570681673845669</v>
      </c>
      <c r="O56" s="500">
        <f t="shared" si="5"/>
        <v>63.665795286153283</v>
      </c>
      <c r="P56" s="500">
        <f t="shared" si="5"/>
        <v>72.760908898460897</v>
      </c>
      <c r="Q56" s="500">
        <f t="shared" si="5"/>
        <v>81.856022510768497</v>
      </c>
      <c r="R56" s="500">
        <f t="shared" si="5"/>
        <v>90.951136123076111</v>
      </c>
    </row>
    <row r="57" spans="1:18" ht="45">
      <c r="A57" s="342" t="s">
        <v>713</v>
      </c>
      <c r="B57" s="530" t="s">
        <v>502</v>
      </c>
      <c r="C57" s="551">
        <f>'RICON-S-VS'!C87</f>
        <v>99</v>
      </c>
      <c r="D57" s="551">
        <f>'RICON-S-VS'!F87</f>
        <v>142.69127424794846</v>
      </c>
      <c r="E57" s="500">
        <f t="shared" si="6"/>
        <v>65.857511191360828</v>
      </c>
      <c r="F57" s="500">
        <f t="shared" si="4"/>
        <v>76.833763056587628</v>
      </c>
      <c r="G57" s="500">
        <f t="shared" si="4"/>
        <v>87.810014921814428</v>
      </c>
      <c r="H57" s="500">
        <f t="shared" si="4"/>
        <v>98.786266787041242</v>
      </c>
      <c r="I57" s="500">
        <f t="shared" si="4"/>
        <v>99</v>
      </c>
      <c r="K57" s="342" t="s">
        <v>304</v>
      </c>
      <c r="L57" s="500">
        <f>'RICON-S-VS'!C87</f>
        <v>99</v>
      </c>
      <c r="M57" s="500">
        <f>'RICON-S-VS'!F87</f>
        <v>142.69127424794846</v>
      </c>
      <c r="N57" s="500">
        <f t="shared" si="7"/>
        <v>65.857511191360828</v>
      </c>
      <c r="O57" s="500">
        <f t="shared" si="5"/>
        <v>76.833763056587628</v>
      </c>
      <c r="P57" s="500">
        <f t="shared" si="5"/>
        <v>87.810014921814428</v>
      </c>
      <c r="Q57" s="500">
        <f t="shared" si="5"/>
        <v>98.786266787041242</v>
      </c>
      <c r="R57" s="500">
        <f t="shared" si="5"/>
        <v>99</v>
      </c>
    </row>
    <row r="58" spans="1:18" ht="56.25" customHeight="1">
      <c r="A58" s="342" t="s">
        <v>745</v>
      </c>
      <c r="B58" s="530" t="s">
        <v>624</v>
      </c>
      <c r="C58" s="551">
        <f>'RICON-S-VS'!C89</f>
        <v>180</v>
      </c>
      <c r="D58" s="551">
        <f>'RICON-S-VS'!F89</f>
        <v>170.93257261945729</v>
      </c>
      <c r="E58" s="500">
        <f t="shared" si="6"/>
        <v>78.891956593595665</v>
      </c>
      <c r="F58" s="500">
        <f t="shared" si="4"/>
        <v>92.04061602586161</v>
      </c>
      <c r="G58" s="500">
        <f t="shared" si="4"/>
        <v>105.18927545812757</v>
      </c>
      <c r="H58" s="500">
        <f t="shared" si="4"/>
        <v>118.33793489039351</v>
      </c>
      <c r="I58" s="500">
        <f t="shared" si="4"/>
        <v>131.48659432265944</v>
      </c>
      <c r="K58" s="342" t="s">
        <v>315</v>
      </c>
      <c r="L58" s="500">
        <f>'RICON-S-VS'!C89</f>
        <v>180</v>
      </c>
      <c r="M58" s="500">
        <f>'RICON-S-VS'!F89</f>
        <v>170.93257261945729</v>
      </c>
      <c r="N58" s="500">
        <f t="shared" si="7"/>
        <v>78.891956593595665</v>
      </c>
      <c r="O58" s="500">
        <f t="shared" si="5"/>
        <v>92.04061602586161</v>
      </c>
      <c r="P58" s="500">
        <f t="shared" si="5"/>
        <v>105.18927545812757</v>
      </c>
      <c r="Q58" s="500">
        <f t="shared" si="5"/>
        <v>118.33793489039351</v>
      </c>
      <c r="R58" s="500">
        <f t="shared" si="5"/>
        <v>131.48659432265944</v>
      </c>
    </row>
    <row r="59" spans="1:18" ht="57.75" customHeight="1">
      <c r="A59" s="342" t="s">
        <v>746</v>
      </c>
      <c r="B59" s="530" t="s">
        <v>623</v>
      </c>
      <c r="C59" s="551">
        <f>'RICON-S-VS'!C90</f>
        <v>180</v>
      </c>
      <c r="D59" s="551">
        <f>'RICON-S-VS'!F90</f>
        <v>195.85472248368981</v>
      </c>
      <c r="E59" s="500">
        <f t="shared" si="6"/>
        <v>90.394487300164513</v>
      </c>
      <c r="F59" s="500">
        <f t="shared" si="4"/>
        <v>105.46023518352528</v>
      </c>
      <c r="G59" s="500">
        <f t="shared" si="4"/>
        <v>120.52598306688604</v>
      </c>
      <c r="H59" s="500">
        <f t="shared" si="4"/>
        <v>135.59173095024678</v>
      </c>
      <c r="I59" s="500">
        <f t="shared" si="4"/>
        <v>150.65747883360754</v>
      </c>
      <c r="K59" s="342" t="s">
        <v>306</v>
      </c>
      <c r="L59" s="500">
        <f>'RICON-S-VS'!C90</f>
        <v>180</v>
      </c>
      <c r="M59" s="500">
        <f>'RICON-S-VS'!F90</f>
        <v>195.85472248368981</v>
      </c>
      <c r="N59" s="500">
        <f t="shared" si="7"/>
        <v>90.394487300164513</v>
      </c>
      <c r="O59" s="500">
        <f t="shared" si="5"/>
        <v>105.46023518352528</v>
      </c>
      <c r="P59" s="500">
        <f t="shared" si="5"/>
        <v>120.52598306688604</v>
      </c>
      <c r="Q59" s="500">
        <f t="shared" si="5"/>
        <v>135.59173095024678</v>
      </c>
      <c r="R59" s="500">
        <f t="shared" si="5"/>
        <v>150.65747883360754</v>
      </c>
    </row>
    <row r="60" spans="1:18">
      <c r="A60" s="504"/>
      <c r="B60" s="533"/>
      <c r="C60" s="510"/>
      <c r="D60" s="510"/>
      <c r="E60" s="510"/>
      <c r="F60" s="510"/>
      <c r="G60" s="510"/>
      <c r="H60" s="510"/>
      <c r="I60" s="510"/>
      <c r="K60" s="504"/>
      <c r="L60" s="510"/>
      <c r="M60" s="510"/>
      <c r="N60" s="510"/>
      <c r="O60" s="510"/>
      <c r="P60" s="510"/>
      <c r="Q60" s="510"/>
      <c r="R60" s="510"/>
    </row>
    <row r="61" spans="1:18">
      <c r="A61" s="504"/>
      <c r="B61" s="533"/>
      <c r="C61" s="510"/>
      <c r="D61" s="510"/>
      <c r="E61" s="510"/>
      <c r="F61" s="510"/>
      <c r="G61" s="510"/>
      <c r="H61" s="510"/>
      <c r="I61" s="510"/>
      <c r="K61" s="504"/>
      <c r="L61" s="510"/>
      <c r="M61" s="510"/>
      <c r="N61" s="510"/>
      <c r="O61" s="510"/>
      <c r="P61" s="510"/>
      <c r="Q61" s="510"/>
      <c r="R61" s="510"/>
    </row>
    <row r="62" spans="1:18">
      <c r="A62" s="504"/>
      <c r="B62" s="533"/>
      <c r="C62" s="510"/>
      <c r="D62" s="510"/>
      <c r="E62" s="510"/>
      <c r="F62" s="510"/>
      <c r="G62" s="510"/>
      <c r="H62" s="510"/>
      <c r="I62" s="510"/>
      <c r="K62" s="504"/>
      <c r="L62" s="510"/>
      <c r="M62" s="510"/>
      <c r="N62" s="510"/>
      <c r="O62" s="510"/>
      <c r="P62" s="510"/>
      <c r="Q62" s="510"/>
      <c r="R62" s="510"/>
    </row>
    <row r="63" spans="1:18">
      <c r="A63" s="504"/>
      <c r="B63" s="533"/>
      <c r="C63" s="510"/>
      <c r="D63" s="510"/>
      <c r="E63" s="510"/>
      <c r="F63" s="510"/>
      <c r="G63" s="510"/>
      <c r="H63" s="510"/>
      <c r="I63" s="510"/>
      <c r="K63" s="504"/>
      <c r="L63" s="510"/>
      <c r="M63" s="510"/>
      <c r="N63" s="510"/>
      <c r="O63" s="510"/>
      <c r="P63" s="510"/>
      <c r="Q63" s="510"/>
      <c r="R63" s="510"/>
    </row>
    <row r="64" spans="1:18">
      <c r="A64" s="504"/>
      <c r="B64" s="533"/>
      <c r="C64" s="510"/>
      <c r="D64" s="510"/>
      <c r="E64" s="510"/>
      <c r="F64" s="510"/>
      <c r="G64" s="510"/>
      <c r="H64" s="510"/>
      <c r="I64" s="510"/>
      <c r="K64" s="504"/>
      <c r="L64" s="510"/>
      <c r="M64" s="510"/>
      <c r="N64" s="510"/>
      <c r="O64" s="510"/>
      <c r="P64" s="510"/>
      <c r="Q64" s="510"/>
      <c r="R64" s="510"/>
    </row>
    <row r="65" spans="1:18">
      <c r="A65" s="504"/>
      <c r="B65" s="533"/>
      <c r="C65" s="510"/>
      <c r="D65" s="510"/>
      <c r="E65" s="510"/>
      <c r="F65" s="510"/>
      <c r="G65" s="510"/>
      <c r="H65" s="510"/>
      <c r="I65" s="510"/>
      <c r="K65" s="504"/>
      <c r="L65" s="510"/>
      <c r="M65" s="510"/>
      <c r="N65" s="510"/>
      <c r="O65" s="510"/>
      <c r="P65" s="510"/>
      <c r="Q65" s="510"/>
      <c r="R65" s="510"/>
    </row>
    <row r="66" spans="1:18">
      <c r="A66" s="504"/>
      <c r="B66" s="533"/>
      <c r="C66" s="510"/>
      <c r="D66" s="510"/>
      <c r="E66" s="510"/>
      <c r="F66" s="510"/>
      <c r="G66" s="510"/>
      <c r="H66" s="510"/>
      <c r="I66" s="510"/>
      <c r="K66" s="504"/>
      <c r="L66" s="510"/>
      <c r="M66" s="510"/>
      <c r="N66" s="510"/>
      <c r="O66" s="510"/>
      <c r="P66" s="510"/>
      <c r="Q66" s="510"/>
      <c r="R66" s="510"/>
    </row>
    <row r="67" spans="1:18">
      <c r="A67" s="504"/>
      <c r="B67" s="533"/>
      <c r="C67" s="510"/>
      <c r="D67" s="510"/>
      <c r="E67" s="510"/>
      <c r="F67" s="510"/>
      <c r="G67" s="510"/>
      <c r="H67" s="510"/>
      <c r="I67" s="510"/>
      <c r="K67" s="504"/>
      <c r="L67" s="510"/>
      <c r="M67" s="510"/>
      <c r="N67" s="510"/>
      <c r="O67" s="510"/>
      <c r="P67" s="510"/>
      <c r="Q67" s="510"/>
      <c r="R67" s="510"/>
    </row>
    <row r="68" spans="1:18">
      <c r="A68" s="504"/>
      <c r="B68" s="533"/>
      <c r="C68" s="510"/>
      <c r="D68" s="510"/>
      <c r="E68" s="510"/>
      <c r="F68" s="510"/>
      <c r="G68" s="510"/>
      <c r="H68" s="510"/>
      <c r="I68" s="510"/>
      <c r="K68" s="504"/>
      <c r="L68" s="510"/>
      <c r="M68" s="510"/>
      <c r="N68" s="510"/>
      <c r="O68" s="510"/>
      <c r="P68" s="510"/>
      <c r="Q68" s="510"/>
      <c r="R68" s="510"/>
    </row>
    <row r="69" spans="1:18">
      <c r="A69" s="504"/>
      <c r="B69" s="533"/>
      <c r="C69" s="510"/>
      <c r="D69" s="510"/>
      <c r="E69" s="510"/>
      <c r="F69" s="510"/>
      <c r="G69" s="510"/>
      <c r="H69" s="510"/>
      <c r="I69" s="510"/>
      <c r="K69" s="504"/>
      <c r="L69" s="510"/>
      <c r="M69" s="510"/>
      <c r="N69" s="510"/>
      <c r="O69" s="510"/>
      <c r="P69" s="510"/>
      <c r="Q69" s="510"/>
      <c r="R69" s="510"/>
    </row>
  </sheetData>
  <sheetProtection password="D94A" sheet="1" objects="1" scenarios="1" selectLockedCells="1"/>
  <customSheetViews>
    <customSheetView guid="{88029C9E-0AAA-4AEA-8FBA-3530118F01BF}" showGridLines="0" showRowCol="0" hiddenColumns="1">
      <selection activeCell="H13" sqref="H13"/>
      <pageMargins left="0.7" right="0.7" top="0.78740157499999996" bottom="0.78740157499999996" header="0.3" footer="0.3"/>
    </customSheetView>
  </customSheetViews>
  <mergeCells count="14">
    <mergeCell ref="K33:R33"/>
    <mergeCell ref="B48:B49"/>
    <mergeCell ref="C48:D48"/>
    <mergeCell ref="L48:M48"/>
    <mergeCell ref="N48:R48"/>
    <mergeCell ref="E48:H48"/>
    <mergeCell ref="K1:R2"/>
    <mergeCell ref="K5:R5"/>
    <mergeCell ref="B19:B20"/>
    <mergeCell ref="C19:D19"/>
    <mergeCell ref="L19:M19"/>
    <mergeCell ref="N19:R19"/>
    <mergeCell ref="A1:J2"/>
    <mergeCell ref="E19:H19"/>
  </mergeCells>
  <pageMargins left="0.23622047244094491" right="0.27124999999999999" top="0.98425196850393704" bottom="0.74803149606299213" header="0.31496062992125984" footer="0.31496062992125984"/>
  <pageSetup paperSize="9" scale="62" orientation="portrait" r:id="rId1"/>
  <headerFooter>
    <oddHeader>&amp;L&amp;G&amp;R
Datum: 01.11.2018
Ersteller: M. Eng. Dipl.-Ing. (FH) Torsten Langejürgen
Seite 1 von 5 Seiten</oddHeader>
    <oddFooter>&amp;CVERBINDUNGSSYSTEME FÜR DEN HOLZBAU UND MÖBELBAU
KNAPP GMBH, A-3324 Euratsfeld, Wassergasse 31,  AUSTRIA/EUROPE 
 Tel. +43(0)7474/79910,  Fax +43(0)7474/79910-99
eMail: austriainfo@knapp-verbinder.com,  www.knapp-verbinder.com</oddFooter>
  </headerFooter>
  <rowBreaks count="1" manualBreakCount="1">
    <brk id="31" max="16383" man="1"/>
  </rowBreak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0000000}">
          <x14:formula1>
            <xm:f>'RICON_RICON-S-EK_GIGANT_WALCO '!$V$7:$V$16</xm:f>
          </x14:formula1>
          <xm:sqref>E5 E33</xm:sqref>
        </x14:dataValidation>
        <x14:dataValidation type="list" allowBlank="1" showInputMessage="1" showErrorMessage="1" xr:uid="{00000000-0002-0000-0600-000001000000}">
          <x14:formula1>
            <xm:f>'RICON_RICON-S-EK_GIGANT_WALCO '!$V$21:$V$22</xm:f>
          </x14:formula1>
          <xm:sqref>E6 E34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26"/>
  <sheetViews>
    <sheetView showGridLines="0" showRowColHeaders="0" tabSelected="1" showRuler="0" zoomScaleNormal="100" workbookViewId="0">
      <selection activeCell="F43" sqref="F43"/>
    </sheetView>
  </sheetViews>
  <sheetFormatPr baseColWidth="10" defaultRowHeight="15"/>
  <cols>
    <col min="1" max="1" width="27.42578125" customWidth="1"/>
    <col min="2" max="2" width="22.140625" customWidth="1"/>
    <col min="3" max="3" width="14.28515625" bestFit="1" customWidth="1"/>
    <col min="4" max="4" width="19.85546875" customWidth="1"/>
    <col min="5" max="5" width="12.42578125" customWidth="1"/>
    <col min="7" max="7" width="12.42578125" customWidth="1"/>
    <col min="9" max="10" width="14" customWidth="1"/>
    <col min="11" max="12" width="11.85546875" customWidth="1"/>
    <col min="13" max="13" width="27.42578125" customWidth="1"/>
    <col min="14" max="14" width="11.42578125" customWidth="1"/>
    <col min="15" max="15" width="13.7109375" customWidth="1"/>
    <col min="16" max="21" width="11.42578125" customWidth="1"/>
  </cols>
  <sheetData>
    <row r="1" spans="1:22" ht="21" customHeight="1">
      <c r="A1" s="787" t="s">
        <v>853</v>
      </c>
      <c r="B1" s="787"/>
      <c r="C1" s="787"/>
      <c r="D1" s="787"/>
      <c r="E1" s="787"/>
      <c r="F1" s="787"/>
      <c r="G1" s="787"/>
      <c r="H1" s="787"/>
      <c r="I1" s="787"/>
      <c r="J1" s="787"/>
      <c r="K1" s="787"/>
      <c r="L1" s="628"/>
      <c r="M1" s="805"/>
      <c r="N1" s="805"/>
      <c r="O1" s="805"/>
      <c r="P1" s="805"/>
      <c r="Q1" s="805"/>
      <c r="R1" s="805"/>
      <c r="S1" s="805"/>
      <c r="T1" s="805"/>
      <c r="U1" s="3"/>
      <c r="V1" s="3"/>
    </row>
    <row r="2" spans="1:22" ht="21.6" customHeight="1" thickBot="1">
      <c r="A2" s="788"/>
      <c r="B2" s="788"/>
      <c r="C2" s="788"/>
      <c r="D2" s="788"/>
      <c r="E2" s="788"/>
      <c r="F2" s="788"/>
      <c r="G2" s="788"/>
      <c r="H2" s="788"/>
      <c r="I2" s="788"/>
      <c r="J2" s="788"/>
      <c r="K2" s="788"/>
      <c r="L2" s="628"/>
      <c r="M2" s="805"/>
      <c r="N2" s="805"/>
      <c r="O2" s="805"/>
      <c r="P2" s="805"/>
      <c r="Q2" s="805"/>
      <c r="R2" s="805"/>
      <c r="S2" s="805"/>
      <c r="T2" s="805"/>
      <c r="U2" s="3"/>
      <c r="V2" s="3"/>
    </row>
    <row r="3" spans="1:22" ht="21">
      <c r="A3" s="587"/>
      <c r="B3" s="587"/>
      <c r="C3" s="587"/>
      <c r="D3" s="587"/>
      <c r="E3" s="627"/>
      <c r="F3" s="587"/>
      <c r="G3" s="587"/>
      <c r="H3" s="806" t="s">
        <v>855</v>
      </c>
      <c r="I3" s="806"/>
      <c r="J3" s="807">
        <v>43789</v>
      </c>
      <c r="K3" s="807"/>
      <c r="L3" s="659"/>
      <c r="M3" s="666"/>
      <c r="N3" s="666"/>
      <c r="O3" s="666"/>
      <c r="P3" s="666"/>
      <c r="Q3" s="666"/>
      <c r="R3" s="666"/>
      <c r="S3" s="666"/>
      <c r="T3" s="666"/>
      <c r="U3" s="3"/>
      <c r="V3" s="3"/>
    </row>
    <row r="4" spans="1:22" ht="33.75">
      <c r="A4" s="556" t="s">
        <v>748</v>
      </c>
      <c r="B4" s="557"/>
      <c r="C4" s="557"/>
      <c r="D4" s="557"/>
      <c r="E4" s="557"/>
      <c r="F4" s="557"/>
      <c r="G4" s="557"/>
      <c r="H4" s="557"/>
      <c r="I4" s="557"/>
      <c r="J4" s="557"/>
      <c r="K4" s="555"/>
      <c r="L4" s="660"/>
      <c r="M4" s="666"/>
      <c r="N4" s="666"/>
      <c r="O4" s="666"/>
      <c r="P4" s="666"/>
      <c r="Q4" s="666"/>
      <c r="R4" s="666"/>
      <c r="S4" s="666"/>
      <c r="T4" s="666"/>
      <c r="U4" s="3"/>
      <c r="V4" s="3"/>
    </row>
    <row r="5" spans="1:22" ht="21">
      <c r="A5" s="558" t="s">
        <v>671</v>
      </c>
      <c r="B5" s="543"/>
      <c r="C5" s="543"/>
      <c r="D5" s="543" t="s">
        <v>673</v>
      </c>
      <c r="E5" s="543"/>
      <c r="F5" s="601" t="s">
        <v>25</v>
      </c>
      <c r="H5" s="582" t="str">
        <f>VLOOKUP(F5,'RICON_RICON-S-EK_GIGANT_WALCO '!V7:Y18,4,FALSE)</f>
        <v>Glued laminated timber - homogeneous</v>
      </c>
      <c r="I5" s="543"/>
      <c r="L5" s="24"/>
      <c r="M5" s="799"/>
      <c r="N5" s="799"/>
      <c r="O5" s="799"/>
      <c r="P5" s="799"/>
      <c r="Q5" s="799"/>
      <c r="R5" s="799"/>
      <c r="S5" s="799"/>
      <c r="T5" s="799"/>
      <c r="U5" s="3"/>
      <c r="V5" s="3"/>
    </row>
    <row r="6" spans="1:22" ht="18.75">
      <c r="D6" s="580" t="s">
        <v>672</v>
      </c>
      <c r="E6" s="580"/>
      <c r="F6" s="601">
        <v>1</v>
      </c>
      <c r="H6" s="581" t="str">
        <f>VLOOKUP('Load bearing values_RICON_EN'!F6,'RICON_RICON-S-EK_GIGANT_WALCO '!V21:X22,3,FALSE)</f>
        <v>Indoor</v>
      </c>
      <c r="L6" s="24"/>
      <c r="M6" s="657"/>
      <c r="N6" s="3"/>
      <c r="O6" s="3"/>
      <c r="P6" s="3"/>
      <c r="Q6" s="3"/>
      <c r="R6" s="3"/>
      <c r="S6" s="3"/>
      <c r="T6" s="3"/>
      <c r="U6" s="3"/>
      <c r="V6" s="3"/>
    </row>
    <row r="7" spans="1:22" ht="21.6" customHeight="1">
      <c r="A7" s="587"/>
      <c r="B7" s="587"/>
      <c r="C7" s="587"/>
      <c r="D7" s="587"/>
      <c r="E7" s="627"/>
      <c r="F7" s="587"/>
      <c r="G7" s="587"/>
      <c r="H7" s="587"/>
      <c r="I7" s="587"/>
      <c r="J7" s="587"/>
      <c r="M7" s="666"/>
      <c r="N7" s="666"/>
      <c r="O7" s="666"/>
      <c r="P7" s="666"/>
      <c r="Q7" s="666"/>
      <c r="R7" s="666"/>
      <c r="S7" s="666"/>
      <c r="T7" s="666"/>
      <c r="U7" s="3"/>
      <c r="V7" s="3"/>
    </row>
    <row r="8" spans="1:22" ht="21.6" customHeight="1">
      <c r="A8" s="587"/>
      <c r="B8" s="587"/>
      <c r="C8" s="587"/>
      <c r="D8" s="587"/>
      <c r="E8" s="627"/>
      <c r="F8" s="587"/>
      <c r="G8" s="587"/>
      <c r="H8" s="587"/>
      <c r="I8" s="587"/>
      <c r="J8" s="587"/>
      <c r="M8" s="666"/>
      <c r="N8" s="666"/>
      <c r="O8" s="666"/>
      <c r="P8" s="666"/>
      <c r="Q8" s="666"/>
      <c r="R8" s="666"/>
      <c r="S8" s="666"/>
      <c r="T8" s="666"/>
      <c r="U8" s="3"/>
      <c r="V8" s="3"/>
    </row>
    <row r="9" spans="1:22" ht="21.6" customHeight="1">
      <c r="A9" s="587"/>
      <c r="B9" s="587"/>
      <c r="C9" s="587"/>
      <c r="D9" s="587"/>
      <c r="E9" s="627"/>
      <c r="F9" s="587"/>
      <c r="G9" s="587"/>
      <c r="H9" s="587"/>
      <c r="I9" s="587"/>
      <c r="M9" s="666"/>
      <c r="N9" s="666"/>
      <c r="O9" s="666"/>
      <c r="P9" s="666"/>
      <c r="Q9" s="666"/>
      <c r="R9" s="666"/>
      <c r="S9" s="666"/>
      <c r="T9" s="666"/>
      <c r="U9" s="3"/>
      <c r="V9" s="667"/>
    </row>
    <row r="10" spans="1:22" ht="21.6" customHeight="1">
      <c r="A10" s="587"/>
      <c r="B10" s="587"/>
      <c r="C10" s="587"/>
      <c r="D10" s="587"/>
      <c r="E10" s="627"/>
      <c r="F10" s="587"/>
      <c r="G10" s="587"/>
      <c r="H10" s="587"/>
      <c r="I10" s="587"/>
      <c r="J10" s="587"/>
      <c r="M10" s="666"/>
      <c r="N10" s="666"/>
      <c r="O10" s="666"/>
      <c r="P10" s="666"/>
      <c r="Q10" s="666"/>
      <c r="R10" s="666"/>
      <c r="S10" s="666"/>
      <c r="T10" s="666"/>
      <c r="U10" s="3"/>
      <c r="V10" s="3"/>
    </row>
    <row r="11" spans="1:22" ht="21.6" customHeight="1">
      <c r="A11" s="587"/>
      <c r="B11" s="587"/>
      <c r="C11" s="587"/>
      <c r="D11" s="587"/>
      <c r="E11" s="627"/>
      <c r="F11" s="587"/>
      <c r="G11" s="587"/>
      <c r="H11" s="587"/>
      <c r="I11" s="587"/>
      <c r="J11" s="587"/>
      <c r="M11" s="666"/>
      <c r="N11" s="666"/>
      <c r="O11" s="666"/>
      <c r="P11" s="666"/>
      <c r="Q11" s="666"/>
      <c r="R11" s="666"/>
      <c r="S11" s="666"/>
      <c r="T11" s="666"/>
      <c r="U11" s="3"/>
      <c r="V11" s="3"/>
    </row>
    <row r="12" spans="1:22" ht="21.6" customHeight="1">
      <c r="A12" s="587"/>
      <c r="B12" s="587"/>
      <c r="C12" s="587"/>
      <c r="D12" s="587"/>
      <c r="E12" s="627"/>
      <c r="F12" s="587"/>
      <c r="G12" s="587"/>
      <c r="H12" s="587"/>
      <c r="I12" s="587"/>
      <c r="J12" s="587"/>
      <c r="M12" s="666"/>
      <c r="N12" s="666"/>
      <c r="O12" s="666"/>
      <c r="P12" s="666"/>
      <c r="Q12" s="666"/>
      <c r="R12" s="666"/>
      <c r="S12" s="666"/>
      <c r="T12" s="666"/>
      <c r="U12" s="3"/>
      <c r="V12" s="3"/>
    </row>
    <row r="13" spans="1:22" ht="21.6" customHeight="1">
      <c r="A13" s="587"/>
      <c r="B13" s="587"/>
      <c r="C13" s="587"/>
      <c r="D13" s="587"/>
      <c r="E13" s="627"/>
      <c r="F13" s="587"/>
      <c r="G13" s="587"/>
      <c r="H13" s="587"/>
      <c r="I13" s="587"/>
      <c r="J13" s="587"/>
      <c r="M13" s="666"/>
      <c r="N13" s="666"/>
      <c r="O13" s="666"/>
      <c r="P13" s="666"/>
      <c r="Q13" s="666"/>
      <c r="R13" s="666"/>
      <c r="S13" s="666"/>
      <c r="T13" s="666"/>
      <c r="U13" s="3"/>
      <c r="V13" s="3"/>
    </row>
    <row r="14" spans="1:22"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21">
      <c r="B16" s="508"/>
      <c r="L16" s="3"/>
      <c r="M16" s="668"/>
      <c r="N16" s="3"/>
      <c r="O16" s="3"/>
      <c r="P16" s="3"/>
      <c r="Q16" s="3"/>
      <c r="R16" s="3"/>
      <c r="S16" s="3"/>
      <c r="T16" s="3"/>
      <c r="U16" s="3"/>
      <c r="V16" s="3"/>
    </row>
    <row r="17" spans="1:22" ht="15" customHeight="1">
      <c r="A17" s="596" t="s">
        <v>446</v>
      </c>
      <c r="B17" s="585" t="s">
        <v>613</v>
      </c>
      <c r="C17" s="800" t="s">
        <v>450</v>
      </c>
      <c r="D17" s="800"/>
      <c r="E17" s="808" t="s">
        <v>849</v>
      </c>
      <c r="F17" s="706" t="str">
        <f>"Design values F2,Rd for "&amp;F5&amp;" [kN]"</f>
        <v>Design values F2,Rd for GL24h [kN]</v>
      </c>
      <c r="G17" s="706"/>
      <c r="H17" s="706"/>
      <c r="I17" s="706"/>
      <c r="J17" s="706"/>
      <c r="K17" s="604" t="s">
        <v>691</v>
      </c>
      <c r="L17" s="641"/>
      <c r="M17" s="3"/>
      <c r="N17" s="798"/>
      <c r="O17" s="798"/>
      <c r="P17" s="693"/>
      <c r="Q17" s="693"/>
      <c r="R17" s="693"/>
      <c r="S17" s="693"/>
      <c r="T17" s="693"/>
      <c r="U17" s="3"/>
      <c r="V17" s="3"/>
    </row>
    <row r="18" spans="1:22" ht="18">
      <c r="A18" s="598" t="s">
        <v>730</v>
      </c>
      <c r="B18" s="586" t="s">
        <v>612</v>
      </c>
      <c r="C18" s="589" t="s">
        <v>794</v>
      </c>
      <c r="D18" s="589" t="s">
        <v>795</v>
      </c>
      <c r="E18" s="809"/>
      <c r="F18" s="635">
        <v>0.6</v>
      </c>
      <c r="G18" s="590">
        <v>0.7</v>
      </c>
      <c r="H18" s="590">
        <v>0.8</v>
      </c>
      <c r="I18" s="590">
        <v>0.9</v>
      </c>
      <c r="J18" s="590">
        <v>1</v>
      </c>
      <c r="K18" s="590">
        <v>1.1000000000000001</v>
      </c>
      <c r="L18" s="653"/>
      <c r="M18" s="3"/>
      <c r="N18" s="3"/>
      <c r="O18" s="3"/>
      <c r="P18" s="669"/>
      <c r="Q18" s="669"/>
      <c r="R18" s="669"/>
      <c r="S18" s="669"/>
      <c r="T18" s="669"/>
      <c r="U18" s="3"/>
      <c r="V18" s="3"/>
    </row>
    <row r="19" spans="1:22" ht="45">
      <c r="A19" s="396" t="s">
        <v>749</v>
      </c>
      <c r="B19" s="525" t="s">
        <v>491</v>
      </c>
      <c r="C19" s="551">
        <f>'RICON_RICON-S-EK_GIGANT_WALCO '!C165</f>
        <v>6</v>
      </c>
      <c r="D19" s="551">
        <f>'RICON_RICON-S-EK_GIGANT_WALCO '!F165</f>
        <v>5.0131385975895597</v>
      </c>
      <c r="E19" s="630">
        <f>C19/1</f>
        <v>6</v>
      </c>
      <c r="F19" s="500">
        <f t="shared" ref="F19:K33" si="0">MIN($C19/1,$D19*F$18/1.3)</f>
        <v>2.3137562758105656</v>
      </c>
      <c r="G19" s="500">
        <f t="shared" si="0"/>
        <v>2.6993823217789936</v>
      </c>
      <c r="H19" s="500">
        <f t="shared" si="0"/>
        <v>3.0850083677474216</v>
      </c>
      <c r="I19" s="500">
        <f t="shared" si="0"/>
        <v>3.4706344137158487</v>
      </c>
      <c r="J19" s="500">
        <f t="shared" si="0"/>
        <v>3.8562604596842767</v>
      </c>
      <c r="K19" s="500">
        <f t="shared" si="0"/>
        <v>4.2418865056527046</v>
      </c>
      <c r="L19" s="654"/>
      <c r="M19" s="418"/>
      <c r="N19" s="510"/>
      <c r="O19" s="510"/>
      <c r="P19" s="510"/>
      <c r="Q19" s="510"/>
      <c r="R19" s="510"/>
      <c r="S19" s="510"/>
      <c r="T19" s="510"/>
      <c r="U19" s="3"/>
      <c r="V19" s="3"/>
    </row>
    <row r="20" spans="1:22" ht="45">
      <c r="A20" s="396" t="s">
        <v>750</v>
      </c>
      <c r="B20" s="525" t="s">
        <v>648</v>
      </c>
      <c r="C20" s="551">
        <f>'RICON_RICON-S-EK_GIGANT_WALCO '!C166</f>
        <v>11</v>
      </c>
      <c r="D20" s="551">
        <f>'RICON_RICON-S-EK_GIGANT_WALCO '!F166</f>
        <v>7.2988007866232749</v>
      </c>
      <c r="E20" s="630">
        <f t="shared" ref="E20:E33" si="1">C20/1</f>
        <v>11</v>
      </c>
      <c r="F20" s="500">
        <f t="shared" si="0"/>
        <v>3.3686772861338188</v>
      </c>
      <c r="G20" s="500">
        <f t="shared" si="0"/>
        <v>3.9301235004894552</v>
      </c>
      <c r="H20" s="500">
        <f t="shared" si="0"/>
        <v>4.4915697148450926</v>
      </c>
      <c r="I20" s="500">
        <f t="shared" si="0"/>
        <v>5.0530159292007291</v>
      </c>
      <c r="J20" s="500">
        <f t="shared" si="0"/>
        <v>5.6144621435563655</v>
      </c>
      <c r="K20" s="500">
        <f t="shared" si="0"/>
        <v>6.175908357912002</v>
      </c>
      <c r="L20" s="654"/>
      <c r="M20" s="418"/>
      <c r="N20" s="510"/>
      <c r="O20" s="510"/>
      <c r="P20" s="510"/>
      <c r="Q20" s="510"/>
      <c r="R20" s="510"/>
      <c r="S20" s="510"/>
      <c r="T20" s="510"/>
      <c r="U20" s="3"/>
      <c r="V20" s="3"/>
    </row>
    <row r="21" spans="1:22" ht="45">
      <c r="A21" s="396" t="s">
        <v>751</v>
      </c>
      <c r="B21" s="525" t="s">
        <v>495</v>
      </c>
      <c r="C21" s="551">
        <f>'RICON_RICON-S-EK_GIGANT_WALCO '!C167</f>
        <v>14</v>
      </c>
      <c r="D21" s="551">
        <f>'RICON_RICON-S-EK_GIGANT_WALCO '!F167</f>
        <v>10.026277195179119</v>
      </c>
      <c r="E21" s="630">
        <f t="shared" si="1"/>
        <v>14</v>
      </c>
      <c r="F21" s="500">
        <f t="shared" si="0"/>
        <v>4.6275125516211313</v>
      </c>
      <c r="G21" s="500">
        <f t="shared" si="0"/>
        <v>5.3987646435579872</v>
      </c>
      <c r="H21" s="500">
        <f t="shared" si="0"/>
        <v>6.1700167354948432</v>
      </c>
      <c r="I21" s="500">
        <f t="shared" si="0"/>
        <v>6.9412688274316974</v>
      </c>
      <c r="J21" s="500">
        <f t="shared" si="0"/>
        <v>7.7125209193685533</v>
      </c>
      <c r="K21" s="500">
        <f t="shared" si="0"/>
        <v>8.4837730113054093</v>
      </c>
      <c r="L21" s="654"/>
      <c r="M21" s="418"/>
      <c r="N21" s="510"/>
      <c r="O21" s="510"/>
      <c r="P21" s="510"/>
      <c r="Q21" s="510"/>
      <c r="R21" s="510"/>
      <c r="S21" s="510"/>
      <c r="T21" s="510"/>
      <c r="U21" s="3"/>
      <c r="V21" s="3"/>
    </row>
    <row r="22" spans="1:22" ht="45">
      <c r="A22" s="396" t="s">
        <v>752</v>
      </c>
      <c r="B22" s="525" t="s">
        <v>496</v>
      </c>
      <c r="C22" s="551">
        <f>'RICON_RICON-S-EK_GIGANT_WALCO '!C168</f>
        <v>18</v>
      </c>
      <c r="D22" s="551">
        <f>'RICON_RICON-S-EK_GIGANT_WALCO '!F168</f>
        <v>12.753753603734964</v>
      </c>
      <c r="E22" s="630">
        <f t="shared" si="1"/>
        <v>18</v>
      </c>
      <c r="F22" s="500">
        <f t="shared" si="0"/>
        <v>5.8863478171084447</v>
      </c>
      <c r="G22" s="500">
        <f t="shared" si="0"/>
        <v>6.8674057866265183</v>
      </c>
      <c r="H22" s="500">
        <f t="shared" si="0"/>
        <v>7.8484637561445938</v>
      </c>
      <c r="I22" s="500">
        <f t="shared" si="0"/>
        <v>8.8295217256626675</v>
      </c>
      <c r="J22" s="500">
        <f t="shared" si="0"/>
        <v>9.810579695180742</v>
      </c>
      <c r="K22" s="500">
        <f t="shared" si="0"/>
        <v>10.791637664698815</v>
      </c>
      <c r="L22" s="654"/>
      <c r="M22" s="418"/>
      <c r="N22" s="510"/>
      <c r="O22" s="510"/>
      <c r="P22" s="510"/>
      <c r="Q22" s="510"/>
      <c r="R22" s="510"/>
      <c r="S22" s="510"/>
      <c r="T22" s="510"/>
      <c r="U22" s="3"/>
      <c r="V22" s="3"/>
    </row>
    <row r="23" spans="1:22" ht="45">
      <c r="A23" s="396" t="s">
        <v>753</v>
      </c>
      <c r="B23" s="525" t="s">
        <v>497</v>
      </c>
      <c r="C23" s="551">
        <f>'RICON_RICON-S-EK_GIGANT_WALCO '!C169</f>
        <v>18</v>
      </c>
      <c r="D23" s="551">
        <f>'RICON_RICON-S-EK_GIGANT_WALCO '!F169</f>
        <v>15.481230012290808</v>
      </c>
      <c r="E23" s="630">
        <f t="shared" si="1"/>
        <v>18</v>
      </c>
      <c r="F23" s="500">
        <f t="shared" si="0"/>
        <v>7.1451830825957581</v>
      </c>
      <c r="G23" s="500">
        <f t="shared" si="0"/>
        <v>8.3360469296950495</v>
      </c>
      <c r="H23" s="500">
        <f t="shared" si="0"/>
        <v>9.5269107767943435</v>
      </c>
      <c r="I23" s="500">
        <f t="shared" si="0"/>
        <v>10.717774623893636</v>
      </c>
      <c r="J23" s="500">
        <f t="shared" si="0"/>
        <v>11.90863847099293</v>
      </c>
      <c r="K23" s="500">
        <f t="shared" si="0"/>
        <v>13.099502318092224</v>
      </c>
      <c r="L23" s="654"/>
      <c r="M23" s="418"/>
      <c r="N23" s="510"/>
      <c r="O23" s="510"/>
      <c r="P23" s="510"/>
      <c r="Q23" s="510"/>
      <c r="R23" s="510"/>
      <c r="S23" s="510"/>
      <c r="T23" s="510"/>
      <c r="U23" s="3"/>
      <c r="V23" s="3"/>
    </row>
    <row r="24" spans="1:22" ht="45.75" thickBot="1">
      <c r="A24" s="438" t="s">
        <v>754</v>
      </c>
      <c r="B24" s="537" t="s">
        <v>482</v>
      </c>
      <c r="C24" s="614">
        <f>'RICON_RICON-S-EK_GIGANT_WALCO '!C170</f>
        <v>18</v>
      </c>
      <c r="D24" s="614">
        <f>'RICON_RICON-S-EK_GIGANT_WALCO '!F170</f>
        <v>18.208706420846653</v>
      </c>
      <c r="E24" s="631">
        <f t="shared" si="1"/>
        <v>18</v>
      </c>
      <c r="F24" s="502">
        <f t="shared" si="0"/>
        <v>8.4040183480830706</v>
      </c>
      <c r="G24" s="502">
        <f t="shared" si="0"/>
        <v>9.8046880727635806</v>
      </c>
      <c r="H24" s="502">
        <f t="shared" si="0"/>
        <v>11.205357797444094</v>
      </c>
      <c r="I24" s="502">
        <f t="shared" si="0"/>
        <v>12.606027522124606</v>
      </c>
      <c r="J24" s="502">
        <f t="shared" si="0"/>
        <v>14.006697246805118</v>
      </c>
      <c r="K24" s="502">
        <f t="shared" si="0"/>
        <v>15.407366971485631</v>
      </c>
      <c r="L24" s="654"/>
      <c r="M24" s="418"/>
      <c r="N24" s="510"/>
      <c r="O24" s="510"/>
      <c r="P24" s="510"/>
      <c r="Q24" s="510"/>
      <c r="R24" s="510"/>
      <c r="S24" s="510"/>
      <c r="T24" s="510"/>
      <c r="U24" s="3"/>
      <c r="V24" s="3"/>
    </row>
    <row r="25" spans="1:22" ht="45.75" thickTop="1">
      <c r="A25" s="411" t="s">
        <v>857</v>
      </c>
      <c r="B25" s="525" t="s">
        <v>495</v>
      </c>
      <c r="C25" s="296">
        <f>'RICON_RICON-S-EK_GIGANT_WALCO '!C171</f>
        <v>14</v>
      </c>
      <c r="D25" s="633">
        <f>'RICON_RICON-S-EK_GIGANT_WALCO '!F171</f>
        <v>13.866687624227694</v>
      </c>
      <c r="E25" s="632">
        <f t="shared" ref="E25" si="2">C25/1</f>
        <v>14</v>
      </c>
      <c r="F25" s="501">
        <f t="shared" si="0"/>
        <v>6.4000096727204738</v>
      </c>
      <c r="G25" s="501">
        <f t="shared" si="0"/>
        <v>7.4666779515072186</v>
      </c>
      <c r="H25" s="501">
        <f t="shared" si="0"/>
        <v>8.5333462302939669</v>
      </c>
      <c r="I25" s="501">
        <f t="shared" si="0"/>
        <v>9.6000145090807116</v>
      </c>
      <c r="J25" s="501">
        <f t="shared" si="0"/>
        <v>10.666682787867456</v>
      </c>
      <c r="K25" s="501">
        <f t="shared" si="0"/>
        <v>11.733351066654203</v>
      </c>
      <c r="L25" s="654"/>
      <c r="M25" s="418"/>
      <c r="N25" s="510"/>
      <c r="O25" s="510"/>
      <c r="P25" s="510"/>
      <c r="Q25" s="510"/>
      <c r="R25" s="510"/>
      <c r="S25" s="510"/>
      <c r="T25" s="510"/>
      <c r="U25" s="3"/>
      <c r="V25" s="3"/>
    </row>
    <row r="26" spans="1:22" ht="45">
      <c r="A26" s="411" t="s">
        <v>856</v>
      </c>
      <c r="B26" s="536" t="s">
        <v>496</v>
      </c>
      <c r="C26" s="296">
        <f>'RICON_RICON-S-EK_GIGANT_WALCO '!C172</f>
        <v>18</v>
      </c>
      <c r="D26" s="633">
        <f>'RICON_RICON-S-EK_GIGANT_WALCO '!F172</f>
        <v>16.594164032783539</v>
      </c>
      <c r="E26" s="632">
        <f t="shared" si="1"/>
        <v>18</v>
      </c>
      <c r="F26" s="501">
        <f t="shared" si="0"/>
        <v>7.6588449382077863</v>
      </c>
      <c r="G26" s="501">
        <f t="shared" si="0"/>
        <v>8.9353190945757497</v>
      </c>
      <c r="H26" s="501">
        <f t="shared" si="0"/>
        <v>10.211793250943717</v>
      </c>
      <c r="I26" s="501">
        <f t="shared" si="0"/>
        <v>11.48826740731168</v>
      </c>
      <c r="J26" s="501">
        <f t="shared" si="0"/>
        <v>12.764741563679644</v>
      </c>
      <c r="K26" s="501">
        <f t="shared" si="0"/>
        <v>14.041215720047612</v>
      </c>
      <c r="L26" s="654"/>
      <c r="M26" s="418"/>
      <c r="N26" s="510"/>
      <c r="O26" s="510"/>
      <c r="P26" s="510"/>
      <c r="Q26" s="510"/>
      <c r="R26" s="510"/>
      <c r="S26" s="510"/>
      <c r="T26" s="510"/>
      <c r="U26" s="3"/>
      <c r="V26" s="3"/>
    </row>
    <row r="27" spans="1:22" ht="45">
      <c r="A27" s="396" t="s">
        <v>755</v>
      </c>
      <c r="B27" s="525" t="s">
        <v>497</v>
      </c>
      <c r="C27" s="551">
        <f>'RICON_RICON-S-EK_GIGANT_WALCO '!C173</f>
        <v>18</v>
      </c>
      <c r="D27" s="638">
        <f>'RICON_RICON-S-EK_GIGANT_WALCO '!F173</f>
        <v>19.321640441339383</v>
      </c>
      <c r="E27" s="630">
        <f t="shared" si="1"/>
        <v>18</v>
      </c>
      <c r="F27" s="500">
        <f t="shared" si="0"/>
        <v>8.9176802036950988</v>
      </c>
      <c r="G27" s="500">
        <f t="shared" si="0"/>
        <v>10.403960237644283</v>
      </c>
      <c r="H27" s="500">
        <f t="shared" si="0"/>
        <v>11.890240271593468</v>
      </c>
      <c r="I27" s="500">
        <f t="shared" si="0"/>
        <v>13.37652030554265</v>
      </c>
      <c r="J27" s="500">
        <f t="shared" si="0"/>
        <v>14.862800339491832</v>
      </c>
      <c r="K27" s="500">
        <f t="shared" si="0"/>
        <v>16.349080373441019</v>
      </c>
      <c r="L27" s="654"/>
      <c r="M27" s="670"/>
      <c r="N27" s="510"/>
      <c r="O27" s="510"/>
      <c r="P27" s="510"/>
      <c r="Q27" s="510"/>
      <c r="R27" s="510"/>
      <c r="S27" s="510"/>
      <c r="T27" s="510"/>
      <c r="U27" s="3"/>
      <c r="V27" s="3"/>
    </row>
    <row r="28" spans="1:22" ht="45.75" thickBot="1">
      <c r="A28" s="438" t="s">
        <v>756</v>
      </c>
      <c r="B28" s="537" t="s">
        <v>482</v>
      </c>
      <c r="C28" s="614">
        <f>'RICON_RICON-S-EK_GIGANT_WALCO '!C174</f>
        <v>18</v>
      </c>
      <c r="D28" s="639">
        <f>'RICON_RICON-S-EK_GIGANT_WALCO '!F174</f>
        <v>22.049116849895228</v>
      </c>
      <c r="E28" s="631">
        <f t="shared" si="1"/>
        <v>18</v>
      </c>
      <c r="F28" s="502">
        <f t="shared" si="0"/>
        <v>10.176515469182412</v>
      </c>
      <c r="G28" s="502">
        <f t="shared" si="0"/>
        <v>11.872601380712814</v>
      </c>
      <c r="H28" s="502">
        <f t="shared" si="0"/>
        <v>13.568687292243217</v>
      </c>
      <c r="I28" s="502">
        <f t="shared" si="0"/>
        <v>15.264773203773618</v>
      </c>
      <c r="J28" s="502">
        <f t="shared" si="0"/>
        <v>16.960859115304022</v>
      </c>
      <c r="K28" s="502">
        <f t="shared" si="0"/>
        <v>18</v>
      </c>
      <c r="L28" s="654"/>
      <c r="M28" s="670"/>
      <c r="N28" s="510"/>
      <c r="O28" s="510"/>
      <c r="P28" s="510"/>
      <c r="Q28" s="510"/>
      <c r="R28" s="510"/>
      <c r="S28" s="510"/>
      <c r="T28" s="510"/>
      <c r="U28" s="3"/>
      <c r="V28" s="3"/>
    </row>
    <row r="29" spans="1:22" ht="45.75" thickTop="1">
      <c r="A29" s="411" t="s">
        <v>757</v>
      </c>
      <c r="B29" s="536" t="s">
        <v>482</v>
      </c>
      <c r="C29" s="613">
        <f>'RICON_RICON-S-EK_GIGANT_WALCO '!C175</f>
        <v>11</v>
      </c>
      <c r="D29" s="613">
        <f>'RICON_RICON-S-EK_GIGANT_WALCO '!F175</f>
        <v>12.311939384212835</v>
      </c>
      <c r="E29" s="632">
        <f t="shared" si="1"/>
        <v>11</v>
      </c>
      <c r="F29" s="501">
        <f t="shared" si="0"/>
        <v>5.6824335619443849</v>
      </c>
      <c r="G29" s="501">
        <f t="shared" si="0"/>
        <v>6.6295058222684489</v>
      </c>
      <c r="H29" s="501">
        <f t="shared" si="0"/>
        <v>7.5765780825925138</v>
      </c>
      <c r="I29" s="501">
        <f t="shared" si="0"/>
        <v>8.5236503429165786</v>
      </c>
      <c r="J29" s="501">
        <f t="shared" si="0"/>
        <v>9.4707226032406417</v>
      </c>
      <c r="K29" s="501">
        <f t="shared" si="0"/>
        <v>10.417794863564707</v>
      </c>
      <c r="L29" s="654"/>
      <c r="M29" s="418"/>
      <c r="N29" s="510"/>
      <c r="O29" s="510"/>
      <c r="P29" s="510"/>
      <c r="Q29" s="510"/>
      <c r="R29" s="510"/>
      <c r="S29" s="510"/>
      <c r="T29" s="510"/>
      <c r="U29" s="3"/>
      <c r="V29" s="3"/>
    </row>
    <row r="30" spans="1:22" ht="45">
      <c r="A30" s="396" t="s">
        <v>758</v>
      </c>
      <c r="B30" s="525" t="s">
        <v>483</v>
      </c>
      <c r="C30" s="551">
        <f>'RICON_RICON-S-EK_GIGANT_WALCO '!C176</f>
        <v>14</v>
      </c>
      <c r="D30" s="551">
        <f>'RICON_RICON-S-EK_GIGANT_WALCO '!F176</f>
        <v>17.766892201324524</v>
      </c>
      <c r="E30" s="630">
        <f t="shared" si="1"/>
        <v>14</v>
      </c>
      <c r="F30" s="500">
        <f t="shared" si="0"/>
        <v>8.2001040929190108</v>
      </c>
      <c r="G30" s="500">
        <f t="shared" si="0"/>
        <v>9.5667881084055111</v>
      </c>
      <c r="H30" s="500">
        <f t="shared" si="0"/>
        <v>10.933472123892015</v>
      </c>
      <c r="I30" s="500">
        <f t="shared" si="0"/>
        <v>12.300156139378517</v>
      </c>
      <c r="J30" s="500">
        <f t="shared" si="0"/>
        <v>13.666840154865017</v>
      </c>
      <c r="K30" s="500">
        <f t="shared" si="0"/>
        <v>14</v>
      </c>
      <c r="L30" s="654"/>
      <c r="M30" s="418"/>
      <c r="N30" s="510"/>
      <c r="O30" s="510"/>
      <c r="P30" s="510"/>
      <c r="Q30" s="510"/>
      <c r="R30" s="510"/>
      <c r="S30" s="510"/>
      <c r="T30" s="510"/>
      <c r="U30" s="3"/>
      <c r="V30" s="3"/>
    </row>
    <row r="31" spans="1:22" ht="45">
      <c r="A31" s="396" t="s">
        <v>759</v>
      </c>
      <c r="B31" s="525" t="s">
        <v>484</v>
      </c>
      <c r="C31" s="551">
        <f>'RICON_RICON-S-EK_GIGANT_WALCO '!C177</f>
        <v>18</v>
      </c>
      <c r="D31" s="551">
        <f>'RICON_RICON-S-EK_GIGANT_WALCO '!F177</f>
        <v>23.221845018436213</v>
      </c>
      <c r="E31" s="630">
        <f t="shared" si="1"/>
        <v>18</v>
      </c>
      <c r="F31" s="500">
        <f t="shared" si="0"/>
        <v>10.717774623893636</v>
      </c>
      <c r="G31" s="500">
        <f t="shared" si="0"/>
        <v>12.504070394542575</v>
      </c>
      <c r="H31" s="500">
        <f t="shared" si="0"/>
        <v>14.290366165191516</v>
      </c>
      <c r="I31" s="500">
        <f t="shared" si="0"/>
        <v>16.076661935840455</v>
      </c>
      <c r="J31" s="500">
        <f t="shared" si="0"/>
        <v>17.862957706489393</v>
      </c>
      <c r="K31" s="500">
        <f t="shared" si="0"/>
        <v>18</v>
      </c>
      <c r="L31" s="654"/>
      <c r="M31" s="418"/>
      <c r="N31" s="510"/>
      <c r="O31" s="510"/>
      <c r="P31" s="510"/>
      <c r="Q31" s="510"/>
      <c r="R31" s="510"/>
      <c r="S31" s="510"/>
      <c r="T31" s="510"/>
      <c r="U31" s="3"/>
      <c r="V31" s="3"/>
    </row>
    <row r="32" spans="1:22" ht="45">
      <c r="A32" s="396" t="s">
        <v>760</v>
      </c>
      <c r="B32" s="525" t="s">
        <v>485</v>
      </c>
      <c r="C32" s="551">
        <f>'RICON_RICON-S-EK_GIGANT_WALCO '!C178</f>
        <v>18</v>
      </c>
      <c r="D32" s="551">
        <f>'RICON_RICON-S-EK_GIGANT_WALCO '!F178</f>
        <v>28.676797835547902</v>
      </c>
      <c r="E32" s="630">
        <f t="shared" si="1"/>
        <v>18</v>
      </c>
      <c r="F32" s="500">
        <f t="shared" si="0"/>
        <v>13.235445154868261</v>
      </c>
      <c r="G32" s="500">
        <f t="shared" si="0"/>
        <v>15.441352680679639</v>
      </c>
      <c r="H32" s="500">
        <f t="shared" si="0"/>
        <v>17.647260206491016</v>
      </c>
      <c r="I32" s="500">
        <f t="shared" si="0"/>
        <v>18</v>
      </c>
      <c r="J32" s="500">
        <f t="shared" si="0"/>
        <v>18</v>
      </c>
      <c r="K32" s="500">
        <f t="shared" si="0"/>
        <v>18</v>
      </c>
      <c r="L32" s="654"/>
      <c r="M32" s="418"/>
      <c r="N32" s="510"/>
      <c r="O32" s="510"/>
      <c r="P32" s="510"/>
      <c r="Q32" s="510"/>
      <c r="R32" s="510"/>
      <c r="S32" s="510"/>
      <c r="T32" s="510"/>
      <c r="U32" s="3"/>
      <c r="V32" s="3"/>
    </row>
    <row r="33" spans="1:22" ht="45">
      <c r="A33" s="396" t="s">
        <v>761</v>
      </c>
      <c r="B33" s="525" t="s">
        <v>486</v>
      </c>
      <c r="C33" s="551">
        <f>'RICON_RICON-S-EK_GIGANT_WALCO '!C179</f>
        <v>18</v>
      </c>
      <c r="D33" s="551">
        <f>'RICON_RICON-S-EK_GIGANT_WALCO '!F179</f>
        <v>34.131750652659591</v>
      </c>
      <c r="E33" s="630">
        <f t="shared" si="1"/>
        <v>18</v>
      </c>
      <c r="F33" s="500">
        <f t="shared" si="0"/>
        <v>15.753115685842886</v>
      </c>
      <c r="G33" s="500">
        <f t="shared" si="0"/>
        <v>18</v>
      </c>
      <c r="H33" s="500">
        <f t="shared" si="0"/>
        <v>18</v>
      </c>
      <c r="I33" s="500">
        <f t="shared" si="0"/>
        <v>18</v>
      </c>
      <c r="J33" s="500">
        <f t="shared" si="0"/>
        <v>18</v>
      </c>
      <c r="K33" s="500">
        <f t="shared" si="0"/>
        <v>18</v>
      </c>
      <c r="L33" s="654"/>
      <c r="M33" s="418"/>
      <c r="N33" s="510"/>
      <c r="O33" s="510"/>
      <c r="P33" s="510"/>
      <c r="Q33" s="510"/>
      <c r="R33" s="510"/>
      <c r="S33" s="510"/>
      <c r="T33" s="510"/>
      <c r="U33" s="3"/>
      <c r="V33" s="3"/>
    </row>
    <row r="34" spans="1:22">
      <c r="A34" s="418"/>
      <c r="B34" s="526"/>
      <c r="C34" s="510"/>
      <c r="D34" s="510"/>
      <c r="E34" s="634"/>
      <c r="F34" s="510"/>
      <c r="G34" s="510"/>
      <c r="H34" s="510"/>
      <c r="I34" s="510"/>
      <c r="J34" s="510"/>
      <c r="L34" s="3"/>
      <c r="M34" s="418"/>
      <c r="N34" s="510"/>
      <c r="O34" s="510"/>
      <c r="P34" s="510"/>
      <c r="Q34" s="510"/>
      <c r="R34" s="510"/>
      <c r="S34" s="510"/>
      <c r="T34" s="510"/>
      <c r="U34" s="3"/>
      <c r="V34" s="3"/>
    </row>
    <row r="35" spans="1:22">
      <c r="A35" s="418"/>
      <c r="B35" s="526"/>
      <c r="C35" s="510"/>
      <c r="D35" s="510"/>
      <c r="E35" s="510"/>
      <c r="F35" s="510"/>
      <c r="G35" s="510"/>
      <c r="H35" s="510"/>
      <c r="I35" s="510"/>
      <c r="J35" s="510"/>
      <c r="L35" s="3"/>
      <c r="M35" s="418"/>
      <c r="N35" s="510"/>
      <c r="O35" s="510"/>
      <c r="P35" s="510"/>
      <c r="Q35" s="510"/>
      <c r="R35" s="510"/>
      <c r="S35" s="510"/>
      <c r="T35" s="510"/>
      <c r="U35" s="3"/>
      <c r="V35" s="3"/>
    </row>
    <row r="36" spans="1:22">
      <c r="A36" s="418"/>
      <c r="B36" s="526"/>
      <c r="C36" s="510"/>
      <c r="D36" s="510"/>
      <c r="E36" s="510"/>
      <c r="F36" s="510"/>
      <c r="G36" s="510"/>
      <c r="H36" s="510"/>
      <c r="I36" s="510"/>
      <c r="J36" s="510"/>
      <c r="L36" s="3"/>
      <c r="M36" s="418"/>
      <c r="N36" s="510"/>
      <c r="O36" s="510"/>
      <c r="P36" s="510"/>
      <c r="Q36" s="510"/>
      <c r="R36" s="510"/>
      <c r="S36" s="510"/>
      <c r="T36" s="510"/>
      <c r="U36" s="3"/>
      <c r="V36" s="3"/>
    </row>
    <row r="37" spans="1:22">
      <c r="A37" s="418"/>
      <c r="B37" s="418"/>
      <c r="C37" s="510"/>
      <c r="D37" s="510"/>
      <c r="E37" s="510"/>
      <c r="F37" s="510"/>
      <c r="G37" s="510"/>
      <c r="H37" s="510"/>
      <c r="I37" s="510"/>
      <c r="J37" s="510"/>
      <c r="L37" s="3"/>
      <c r="M37" s="418"/>
      <c r="N37" s="510"/>
      <c r="O37" s="510"/>
      <c r="P37" s="510"/>
      <c r="Q37" s="510"/>
      <c r="R37" s="510"/>
      <c r="S37" s="510"/>
      <c r="T37" s="510"/>
      <c r="U37" s="3"/>
      <c r="V37" s="3"/>
    </row>
    <row r="38" spans="1:22">
      <c r="A38" s="418"/>
      <c r="B38" s="418"/>
      <c r="C38" s="510"/>
      <c r="D38" s="510"/>
      <c r="E38" s="510"/>
      <c r="F38" s="510"/>
      <c r="G38" s="510"/>
      <c r="H38" s="510"/>
      <c r="I38" s="510"/>
      <c r="J38" s="510"/>
      <c r="L38" s="3"/>
      <c r="M38" s="418"/>
      <c r="N38" s="510"/>
      <c r="O38" s="510"/>
      <c r="P38" s="510"/>
      <c r="Q38" s="510"/>
      <c r="R38" s="510"/>
      <c r="S38" s="510"/>
      <c r="T38" s="510"/>
      <c r="U38" s="3"/>
      <c r="V38" s="3"/>
    </row>
    <row r="39" spans="1:22">
      <c r="A39" s="418"/>
      <c r="B39" s="418"/>
      <c r="C39" s="510"/>
      <c r="D39" s="510"/>
      <c r="E39" s="510"/>
      <c r="F39" s="510"/>
      <c r="G39" s="510"/>
      <c r="H39" s="510"/>
      <c r="I39" s="510"/>
      <c r="J39" s="510"/>
      <c r="L39" s="3"/>
      <c r="M39" s="418"/>
      <c r="N39" s="510"/>
      <c r="O39" s="510"/>
      <c r="P39" s="510"/>
      <c r="Q39" s="510"/>
      <c r="R39" s="510"/>
      <c r="S39" s="510"/>
      <c r="T39" s="510"/>
      <c r="U39" s="3"/>
      <c r="V39" s="3"/>
    </row>
    <row r="40" spans="1:22">
      <c r="A40" s="418"/>
      <c r="B40" s="418"/>
      <c r="C40" s="510"/>
      <c r="D40" s="510"/>
      <c r="E40" s="510"/>
      <c r="F40" s="510"/>
      <c r="G40" s="510"/>
      <c r="H40" s="510"/>
      <c r="I40" s="510"/>
      <c r="J40" s="510"/>
      <c r="L40" s="3"/>
      <c r="M40" s="418"/>
      <c r="N40" s="510"/>
      <c r="O40" s="510"/>
      <c r="P40" s="510"/>
      <c r="Q40" s="510"/>
      <c r="R40" s="510"/>
      <c r="S40" s="510"/>
      <c r="T40" s="510"/>
      <c r="U40" s="3"/>
      <c r="V40" s="3"/>
    </row>
    <row r="41" spans="1:22" ht="33.75">
      <c r="A41" s="792" t="s">
        <v>762</v>
      </c>
      <c r="B41" s="792"/>
      <c r="C41" s="555"/>
      <c r="D41" s="555"/>
      <c r="E41" s="555"/>
      <c r="F41" s="555"/>
      <c r="G41" s="555"/>
      <c r="H41" s="555"/>
      <c r="I41" s="555"/>
      <c r="J41" s="555"/>
      <c r="K41" s="579"/>
      <c r="L41" s="661"/>
      <c r="M41" s="799"/>
      <c r="N41" s="799"/>
      <c r="O41" s="799"/>
      <c r="P41" s="799"/>
      <c r="Q41" s="799"/>
      <c r="R41" s="799"/>
      <c r="S41" s="799"/>
      <c r="T41" s="799"/>
      <c r="U41" s="3"/>
      <c r="V41" s="3"/>
    </row>
    <row r="42" spans="1:22" s="559" customFormat="1" ht="21">
      <c r="A42" s="558" t="s">
        <v>671</v>
      </c>
      <c r="B42" s="558"/>
      <c r="C42" s="558"/>
      <c r="D42" s="543" t="s">
        <v>673</v>
      </c>
      <c r="E42" s="543"/>
      <c r="F42" s="601" t="s">
        <v>25</v>
      </c>
      <c r="G42" s="511"/>
      <c r="H42" s="582" t="str">
        <f>VLOOKUP(F42,'RICON_RICON-S-EK_GIGANT_WALCO '!V7:Y18,4,FALSE)</f>
        <v>Glued laminated timber - homogeneous</v>
      </c>
      <c r="I42" s="543"/>
      <c r="J42" s="511"/>
      <c r="L42" s="656"/>
      <c r="M42" s="671"/>
      <c r="N42" s="671"/>
      <c r="O42" s="671"/>
      <c r="P42" s="671"/>
      <c r="Q42" s="671"/>
      <c r="R42" s="671"/>
      <c r="S42" s="671"/>
      <c r="T42" s="671"/>
      <c r="U42" s="656"/>
      <c r="V42" s="656"/>
    </row>
    <row r="43" spans="1:22" s="559" customFormat="1" ht="21">
      <c r="D43" s="580" t="s">
        <v>672</v>
      </c>
      <c r="E43" s="580"/>
      <c r="F43" s="601">
        <v>1</v>
      </c>
      <c r="G43" s="511"/>
      <c r="H43" s="581" t="str">
        <f>VLOOKUP('Load bearing values_RICON_EN'!F43,'RICON_RICON-S-EK_GIGANT_WALCO '!V21:X23,3,FALSE)</f>
        <v>Indoor</v>
      </c>
      <c r="I43" s="511"/>
      <c r="J43" s="511"/>
      <c r="K43" s="511"/>
      <c r="L43" s="657"/>
      <c r="M43" s="656"/>
      <c r="N43" s="656"/>
      <c r="O43" s="656"/>
      <c r="P43" s="656"/>
      <c r="Q43" s="656"/>
      <c r="R43" s="656"/>
      <c r="S43" s="656"/>
      <c r="T43" s="656"/>
      <c r="U43" s="656"/>
      <c r="V43" s="656"/>
    </row>
    <row r="44" spans="1:22" ht="21" customHeight="1">
      <c r="A44" s="507"/>
      <c r="B44" s="507"/>
      <c r="H44" s="617" t="str">
        <f>IF(AND('Load bearing values_RICON_EN'!F42='RICON_RICON-S-EK_GIGANT_WALCO '!V18,F43=3),"BauBuche is not suitable for outdoor (service class 3)!","")</f>
        <v/>
      </c>
      <c r="L44" s="3"/>
      <c r="M44" s="507"/>
      <c r="N44" s="3"/>
      <c r="O44" s="3"/>
      <c r="P44" s="3"/>
      <c r="Q44" s="3"/>
      <c r="R44" s="3"/>
      <c r="S44" s="3"/>
      <c r="T44" s="3"/>
      <c r="U44" s="3"/>
      <c r="V44" s="3"/>
    </row>
    <row r="45" spans="1:22" s="562" customFormat="1" ht="12.75" customHeight="1">
      <c r="A45" s="561" t="s">
        <v>2</v>
      </c>
      <c r="B45" s="584" t="s">
        <v>613</v>
      </c>
      <c r="C45" s="766" t="s">
        <v>450</v>
      </c>
      <c r="D45" s="766"/>
      <c r="E45" s="808" t="s">
        <v>849</v>
      </c>
      <c r="F45" s="810" t="str">
        <f>"Design values F2,Rd for "&amp;F42&amp;" [kN]"</f>
        <v>Design values F2,Rd for GL24h [kN]</v>
      </c>
      <c r="G45" s="811"/>
      <c r="H45" s="811"/>
      <c r="I45" s="811"/>
      <c r="J45" s="811"/>
      <c r="K45" s="605" t="s">
        <v>692</v>
      </c>
      <c r="L45" s="663"/>
      <c r="M45" s="658"/>
      <c r="N45" s="798"/>
      <c r="O45" s="798"/>
      <c r="P45" s="798"/>
      <c r="Q45" s="798"/>
      <c r="R45" s="798"/>
      <c r="S45" s="798"/>
      <c r="T45" s="798"/>
      <c r="U45" s="658"/>
      <c r="V45" s="658"/>
    </row>
    <row r="46" spans="1:22" s="562" customFormat="1" ht="18">
      <c r="A46" s="563" t="s">
        <v>337</v>
      </c>
      <c r="B46" s="588" t="s">
        <v>612</v>
      </c>
      <c r="C46" s="612" t="s">
        <v>794</v>
      </c>
      <c r="D46" s="612" t="s">
        <v>795</v>
      </c>
      <c r="E46" s="809"/>
      <c r="F46" s="564">
        <f>IF(OR($F$43=1,$F$43=2),0.6,0.5)</f>
        <v>0.6</v>
      </c>
      <c r="G46" s="564">
        <f>IF(OR($F$43=1,$F$43=2),0.7,0.55)</f>
        <v>0.7</v>
      </c>
      <c r="H46" s="564">
        <f>IF(OR($F$43=1,$F$43=2),0.8,0.65)</f>
        <v>0.8</v>
      </c>
      <c r="I46" s="564">
        <f>IF(OR($F$43=1,$F$43=2),0.9,0.7)</f>
        <v>0.9</v>
      </c>
      <c r="J46" s="564">
        <f>IF(OR($F$43=1,$F$43=2),1,0.8)</f>
        <v>1</v>
      </c>
      <c r="K46" s="564">
        <f>IF(OR($F$43=1,$F$43=2),1.1,0.9)</f>
        <v>1.1000000000000001</v>
      </c>
      <c r="L46" s="664"/>
      <c r="M46" s="658"/>
      <c r="N46" s="658"/>
      <c r="O46" s="658"/>
      <c r="P46" s="672"/>
      <c r="Q46" s="672"/>
      <c r="R46" s="672"/>
      <c r="S46" s="672"/>
      <c r="T46" s="672"/>
      <c r="U46" s="658"/>
      <c r="V46" s="658"/>
    </row>
    <row r="47" spans="1:22" s="562" customFormat="1" ht="38.25" hidden="1">
      <c r="A47" s="566" t="s">
        <v>535</v>
      </c>
      <c r="B47" s="567" t="s">
        <v>491</v>
      </c>
      <c r="C47" s="568">
        <f>RICON_Edelstahl!C111</f>
        <v>4.5</v>
      </c>
      <c r="D47" s="568">
        <f>RICON_Edelstahl!F111</f>
        <v>5.1804296195027444</v>
      </c>
      <c r="F47" s="569">
        <f t="shared" ref="F47:K70" si="3">MIN($C47/1,$D47*F$46/1.3)</f>
        <v>2.3909675166935744</v>
      </c>
      <c r="G47" s="569">
        <f t="shared" si="3"/>
        <v>2.7894621028091695</v>
      </c>
      <c r="H47" s="569">
        <f t="shared" si="3"/>
        <v>3.1879566889247655</v>
      </c>
      <c r="I47" s="569">
        <f t="shared" si="3"/>
        <v>3.5864512750403614</v>
      </c>
      <c r="J47" s="569">
        <f t="shared" si="3"/>
        <v>3.9849458611559569</v>
      </c>
      <c r="L47" s="658"/>
      <c r="M47" s="673"/>
      <c r="N47" s="674"/>
      <c r="O47" s="674"/>
      <c r="P47" s="674"/>
      <c r="Q47" s="674"/>
      <c r="R47" s="674"/>
      <c r="S47" s="674"/>
      <c r="T47" s="674"/>
      <c r="U47" s="658"/>
      <c r="V47" s="658"/>
    </row>
    <row r="48" spans="1:22" s="562" customFormat="1" ht="38.25">
      <c r="A48" s="566" t="s">
        <v>763</v>
      </c>
      <c r="B48" s="567" t="s">
        <v>494</v>
      </c>
      <c r="C48" s="568">
        <f>RICON_Edelstahl!C112</f>
        <v>8.1999999999999993</v>
      </c>
      <c r="D48" s="568">
        <f>IF(AND($F$42='RICON_RICON-S-EK_GIGANT_WALCO '!$V$18,'Load bearing values_RICON_EN'!$F$43=3),0,RICON_Edelstahl!F112)</f>
        <v>7.5161100233272613</v>
      </c>
      <c r="E48" s="630">
        <f>C48/1</f>
        <v>8.1999999999999993</v>
      </c>
      <c r="F48" s="569">
        <f t="shared" si="3"/>
        <v>3.4689738569202739</v>
      </c>
      <c r="G48" s="569">
        <f t="shared" si="3"/>
        <v>4.0471361664069869</v>
      </c>
      <c r="H48" s="569">
        <f t="shared" si="3"/>
        <v>4.6252984758936995</v>
      </c>
      <c r="I48" s="569">
        <f t="shared" si="3"/>
        <v>5.203460785380412</v>
      </c>
      <c r="J48" s="569">
        <f t="shared" si="3"/>
        <v>5.7816230948671237</v>
      </c>
      <c r="K48" s="569">
        <f t="shared" si="3"/>
        <v>6.3597854043538362</v>
      </c>
      <c r="L48" s="665"/>
      <c r="M48" s="673"/>
      <c r="N48" s="674"/>
      <c r="O48" s="674"/>
      <c r="P48" s="674"/>
      <c r="Q48" s="674"/>
      <c r="R48" s="674"/>
      <c r="S48" s="674"/>
      <c r="T48" s="674"/>
      <c r="U48" s="658"/>
      <c r="V48" s="658"/>
    </row>
    <row r="49" spans="1:22" s="562" customFormat="1" ht="38.25" hidden="1">
      <c r="A49" s="566" t="s">
        <v>539</v>
      </c>
      <c r="B49" s="567" t="s">
        <v>495</v>
      </c>
      <c r="C49" s="568">
        <f>RICON_Edelstahl!C113</f>
        <v>10.4</v>
      </c>
      <c r="D49" s="568">
        <f>IF(AND($F$42='RICON_RICON-S-EK_GIGANT_WALCO '!$V$18,'Load bearing values_RICON_EN'!$F$43=3),0,RICON_Edelstahl!F113)</f>
        <v>10.360859239005489</v>
      </c>
      <c r="E49" s="630">
        <f t="shared" ref="E49:E70" si="4">C49/1</f>
        <v>10.4</v>
      </c>
      <c r="F49" s="569">
        <f t="shared" si="3"/>
        <v>4.7819350333871489</v>
      </c>
      <c r="G49" s="569">
        <f t="shared" si="3"/>
        <v>5.578924205618339</v>
      </c>
      <c r="H49" s="569">
        <f t="shared" si="3"/>
        <v>6.3759133778495309</v>
      </c>
      <c r="I49" s="569">
        <f t="shared" si="3"/>
        <v>7.1729025500807229</v>
      </c>
      <c r="J49" s="569">
        <f t="shared" si="3"/>
        <v>7.9698917223119139</v>
      </c>
      <c r="K49" s="569">
        <f t="shared" si="3"/>
        <v>8.7668808945431067</v>
      </c>
      <c r="L49" s="665"/>
      <c r="M49" s="673"/>
      <c r="N49" s="674"/>
      <c r="O49" s="674"/>
      <c r="P49" s="674"/>
      <c r="Q49" s="674"/>
      <c r="R49" s="674"/>
      <c r="S49" s="674"/>
      <c r="T49" s="674"/>
      <c r="U49" s="658"/>
      <c r="V49" s="658"/>
    </row>
    <row r="50" spans="1:22" s="562" customFormat="1" ht="38.25" hidden="1">
      <c r="A50" s="566" t="s">
        <v>541</v>
      </c>
      <c r="B50" s="567" t="s">
        <v>496</v>
      </c>
      <c r="C50" s="568">
        <f>RICON_Edelstahl!C114</f>
        <v>13.4</v>
      </c>
      <c r="D50" s="568">
        <f>IF(AND($F$42='RICON_RICON-S-EK_GIGANT_WALCO '!$V$18,'Load bearing values_RICON_EN'!$F$43=3),0,RICON_Edelstahl!F114)</f>
        <v>13.205608454683714</v>
      </c>
      <c r="E50" s="630">
        <f t="shared" si="4"/>
        <v>13.4</v>
      </c>
      <c r="F50" s="569">
        <f t="shared" si="3"/>
        <v>6.0948962098540216</v>
      </c>
      <c r="G50" s="569">
        <f t="shared" si="3"/>
        <v>7.1107122448296911</v>
      </c>
      <c r="H50" s="569">
        <f t="shared" si="3"/>
        <v>8.1265282798053633</v>
      </c>
      <c r="I50" s="569">
        <f t="shared" si="3"/>
        <v>9.1423443147810328</v>
      </c>
      <c r="J50" s="569">
        <f t="shared" si="3"/>
        <v>10.158160349756702</v>
      </c>
      <c r="K50" s="569">
        <f t="shared" si="3"/>
        <v>11.173976384732375</v>
      </c>
      <c r="L50" s="665"/>
      <c r="M50" s="673"/>
      <c r="N50" s="674"/>
      <c r="O50" s="674"/>
      <c r="P50" s="674"/>
      <c r="Q50" s="674"/>
      <c r="R50" s="674"/>
      <c r="S50" s="674"/>
      <c r="T50" s="674"/>
      <c r="U50" s="658"/>
      <c r="V50" s="658"/>
    </row>
    <row r="51" spans="1:22" s="562" customFormat="1" ht="38.25" hidden="1">
      <c r="A51" s="566" t="s">
        <v>543</v>
      </c>
      <c r="B51" s="567" t="s">
        <v>497</v>
      </c>
      <c r="C51" s="568">
        <f>RICON_Edelstahl!C115</f>
        <v>13.4</v>
      </c>
      <c r="D51" s="568">
        <f>IF(AND($F$42='RICON_RICON-S-EK_GIGANT_WALCO '!$V$18,'Load bearing values_RICON_EN'!$F$43=3),0,RICON_Edelstahl!F115)</f>
        <v>16.05035767036194</v>
      </c>
      <c r="E51" s="630">
        <f t="shared" si="4"/>
        <v>13.4</v>
      </c>
      <c r="F51" s="569">
        <f t="shared" si="3"/>
        <v>7.4078573863208952</v>
      </c>
      <c r="G51" s="569">
        <f t="shared" si="3"/>
        <v>8.6425002840410432</v>
      </c>
      <c r="H51" s="569">
        <f t="shared" si="3"/>
        <v>9.8771431817611948</v>
      </c>
      <c r="I51" s="569">
        <f t="shared" si="3"/>
        <v>11.111786079481343</v>
      </c>
      <c r="J51" s="569">
        <f t="shared" si="3"/>
        <v>12.346428977201493</v>
      </c>
      <c r="K51" s="569">
        <f t="shared" si="3"/>
        <v>13.4</v>
      </c>
      <c r="L51" s="665"/>
      <c r="M51" s="673"/>
      <c r="N51" s="674"/>
      <c r="O51" s="674"/>
      <c r="P51" s="674"/>
      <c r="Q51" s="674"/>
      <c r="R51" s="674"/>
      <c r="S51" s="674"/>
      <c r="T51" s="674"/>
      <c r="U51" s="658"/>
      <c r="V51" s="658"/>
    </row>
    <row r="52" spans="1:22" s="562" customFormat="1" ht="39" thickBot="1">
      <c r="A52" s="570" t="s">
        <v>764</v>
      </c>
      <c r="B52" s="571" t="s">
        <v>482</v>
      </c>
      <c r="C52" s="572">
        <f>RICON_Edelstahl!C116</f>
        <v>13.4</v>
      </c>
      <c r="D52" s="572">
        <f>IF(AND($F$42='RICON_RICON-S-EK_GIGANT_WALCO '!$V$18,'Load bearing values_RICON_EN'!$F$43=3),0,RICON_Edelstahl!F116)</f>
        <v>18.895106886040168</v>
      </c>
      <c r="E52" s="631">
        <f t="shared" si="4"/>
        <v>13.4</v>
      </c>
      <c r="F52" s="573">
        <f t="shared" si="3"/>
        <v>8.7208185627877697</v>
      </c>
      <c r="G52" s="573">
        <f t="shared" si="3"/>
        <v>10.174288323252396</v>
      </c>
      <c r="H52" s="573">
        <f t="shared" si="3"/>
        <v>11.627758083717026</v>
      </c>
      <c r="I52" s="573">
        <f t="shared" si="3"/>
        <v>13.081227844181655</v>
      </c>
      <c r="J52" s="573">
        <f t="shared" si="3"/>
        <v>13.4</v>
      </c>
      <c r="K52" s="573">
        <f t="shared" si="3"/>
        <v>13.4</v>
      </c>
      <c r="L52" s="665"/>
      <c r="M52" s="673"/>
      <c r="N52" s="674"/>
      <c r="O52" s="674"/>
      <c r="P52" s="674"/>
      <c r="Q52" s="674"/>
      <c r="R52" s="674"/>
      <c r="S52" s="674"/>
      <c r="T52" s="674"/>
      <c r="U52" s="658"/>
      <c r="V52" s="658"/>
    </row>
    <row r="53" spans="1:22" s="562" customFormat="1" ht="39" thickTop="1">
      <c r="A53" s="574" t="s">
        <v>765</v>
      </c>
      <c r="B53" s="577" t="s">
        <v>482</v>
      </c>
      <c r="C53" s="575">
        <f>RICON_Edelstahl!C117</f>
        <v>8.1999999999999993</v>
      </c>
      <c r="D53" s="575">
        <f>IF(AND($F$42='RICON_RICON-S-EK_GIGANT_WALCO '!$V$18,'Load bearing values_RICON_EN'!$F$43=3),0,RICON_Edelstahl!F117)</f>
        <v>12.696539642830006</v>
      </c>
      <c r="E53" s="632">
        <f t="shared" si="4"/>
        <v>8.1999999999999993</v>
      </c>
      <c r="F53" s="576">
        <f t="shared" si="3"/>
        <v>5.8599413736138484</v>
      </c>
      <c r="G53" s="576">
        <f t="shared" si="3"/>
        <v>6.8365982692161564</v>
      </c>
      <c r="H53" s="576">
        <f t="shared" si="3"/>
        <v>7.8132551648184654</v>
      </c>
      <c r="I53" s="576">
        <f t="shared" si="3"/>
        <v>8.1999999999999993</v>
      </c>
      <c r="J53" s="576">
        <f t="shared" si="3"/>
        <v>8.1999999999999993</v>
      </c>
      <c r="K53" s="576">
        <f t="shared" si="3"/>
        <v>8.1999999999999993</v>
      </c>
      <c r="L53" s="665"/>
      <c r="M53" s="673"/>
      <c r="N53" s="674"/>
      <c r="O53" s="674"/>
      <c r="P53" s="674"/>
      <c r="Q53" s="674"/>
      <c r="R53" s="674"/>
      <c r="S53" s="674"/>
      <c r="T53" s="674"/>
      <c r="U53" s="658"/>
      <c r="V53" s="658"/>
    </row>
    <row r="54" spans="1:22" s="562" customFormat="1" ht="38.25" hidden="1">
      <c r="A54" s="566" t="s">
        <v>549</v>
      </c>
      <c r="B54" s="567" t="s">
        <v>483</v>
      </c>
      <c r="C54" s="568">
        <f>RICON_Edelstahl!C118</f>
        <v>10.4</v>
      </c>
      <c r="D54" s="568">
        <f>IF(AND($F$42='RICON_RICON-S-EK_GIGANT_WALCO '!$V$18,'Load bearing values_RICON_EN'!$F$43=3),0,RICON_Edelstahl!F118)</f>
        <v>18.386038074186459</v>
      </c>
      <c r="E54" s="630">
        <f t="shared" si="4"/>
        <v>10.4</v>
      </c>
      <c r="F54" s="569">
        <f t="shared" si="3"/>
        <v>8.4858637265475956</v>
      </c>
      <c r="G54" s="569">
        <f t="shared" si="3"/>
        <v>9.9001743476388615</v>
      </c>
      <c r="H54" s="569">
        <f t="shared" si="3"/>
        <v>10.4</v>
      </c>
      <c r="I54" s="569">
        <f t="shared" si="3"/>
        <v>10.4</v>
      </c>
      <c r="J54" s="569">
        <f t="shared" si="3"/>
        <v>10.4</v>
      </c>
      <c r="K54" s="569">
        <f t="shared" si="3"/>
        <v>10.4</v>
      </c>
      <c r="L54" s="665"/>
      <c r="M54" s="673"/>
      <c r="N54" s="674"/>
      <c r="O54" s="674"/>
      <c r="P54" s="674"/>
      <c r="Q54" s="674"/>
      <c r="R54" s="674"/>
      <c r="S54" s="674"/>
      <c r="T54" s="674"/>
      <c r="U54" s="658"/>
      <c r="V54" s="658"/>
    </row>
    <row r="55" spans="1:22" s="562" customFormat="1" ht="38.25" hidden="1">
      <c r="A55" s="566" t="s">
        <v>551</v>
      </c>
      <c r="B55" s="567" t="s">
        <v>484</v>
      </c>
      <c r="C55" s="568">
        <f>RICON_Edelstahl!C119</f>
        <v>13.4</v>
      </c>
      <c r="D55" s="568">
        <f>IF(AND($F$42='RICON_RICON-S-EK_GIGANT_WALCO '!$V$18,'Load bearing values_RICON_EN'!$F$43=3),0,RICON_Edelstahl!F119)</f>
        <v>24.07553650554291</v>
      </c>
      <c r="E55" s="630">
        <f t="shared" si="4"/>
        <v>13.4</v>
      </c>
      <c r="F55" s="569">
        <f t="shared" si="3"/>
        <v>11.111786079481341</v>
      </c>
      <c r="G55" s="569">
        <f t="shared" si="3"/>
        <v>12.963750426061566</v>
      </c>
      <c r="H55" s="569">
        <f t="shared" si="3"/>
        <v>13.4</v>
      </c>
      <c r="I55" s="569">
        <f t="shared" si="3"/>
        <v>13.4</v>
      </c>
      <c r="J55" s="569">
        <f t="shared" si="3"/>
        <v>13.4</v>
      </c>
      <c r="K55" s="569">
        <f t="shared" si="3"/>
        <v>13.4</v>
      </c>
      <c r="L55" s="665"/>
      <c r="M55" s="673"/>
      <c r="N55" s="674"/>
      <c r="O55" s="674"/>
      <c r="P55" s="674"/>
      <c r="Q55" s="674"/>
      <c r="R55" s="674"/>
      <c r="S55" s="674"/>
      <c r="T55" s="674"/>
      <c r="U55" s="658"/>
      <c r="V55" s="658"/>
    </row>
    <row r="56" spans="1:22" s="562" customFormat="1" ht="38.25" hidden="1">
      <c r="A56" s="566" t="s">
        <v>553</v>
      </c>
      <c r="B56" s="567" t="s">
        <v>485</v>
      </c>
      <c r="C56" s="568">
        <f>RICON_Edelstahl!C120</f>
        <v>13.4</v>
      </c>
      <c r="D56" s="568">
        <f>IF(AND($F$42='RICON_RICON-S-EK_GIGANT_WALCO '!$V$18,'Load bearing values_RICON_EN'!$F$43=3),0,RICON_Edelstahl!F120)</f>
        <v>29.765034936899362</v>
      </c>
      <c r="E56" s="630">
        <f t="shared" si="4"/>
        <v>13.4</v>
      </c>
      <c r="F56" s="569">
        <f t="shared" si="3"/>
        <v>13.4</v>
      </c>
      <c r="G56" s="569">
        <f t="shared" si="3"/>
        <v>13.4</v>
      </c>
      <c r="H56" s="569">
        <f t="shared" si="3"/>
        <v>13.4</v>
      </c>
      <c r="I56" s="569">
        <f t="shared" si="3"/>
        <v>13.4</v>
      </c>
      <c r="J56" s="569">
        <f t="shared" si="3"/>
        <v>13.4</v>
      </c>
      <c r="K56" s="569">
        <f t="shared" si="3"/>
        <v>13.4</v>
      </c>
      <c r="L56" s="665"/>
      <c r="M56" s="673"/>
      <c r="N56" s="674"/>
      <c r="O56" s="674"/>
      <c r="P56" s="674"/>
      <c r="Q56" s="674"/>
      <c r="R56" s="674"/>
      <c r="S56" s="674"/>
      <c r="T56" s="674"/>
      <c r="U56" s="658"/>
      <c r="V56" s="658"/>
    </row>
    <row r="57" spans="1:22" s="562" customFormat="1" ht="39" thickBot="1">
      <c r="A57" s="618" t="s">
        <v>766</v>
      </c>
      <c r="B57" s="619" t="s">
        <v>486</v>
      </c>
      <c r="C57" s="620">
        <f>RICON_Edelstahl!C121</f>
        <v>13.4</v>
      </c>
      <c r="D57" s="620">
        <f>IF(AND($F$42='RICON_RICON-S-EK_GIGANT_WALCO '!$V$18,'Load bearing values_RICON_EN'!$F$43=3),0,RICON_Edelstahl!F121)</f>
        <v>35.454533368255817</v>
      </c>
      <c r="E57" s="636">
        <f t="shared" si="4"/>
        <v>13.4</v>
      </c>
      <c r="F57" s="621">
        <f t="shared" si="3"/>
        <v>13.4</v>
      </c>
      <c r="G57" s="621">
        <f t="shared" si="3"/>
        <v>13.4</v>
      </c>
      <c r="H57" s="621">
        <f t="shared" si="3"/>
        <v>13.4</v>
      </c>
      <c r="I57" s="621">
        <f t="shared" si="3"/>
        <v>13.4</v>
      </c>
      <c r="J57" s="621">
        <f t="shared" si="3"/>
        <v>13.4</v>
      </c>
      <c r="K57" s="621">
        <f t="shared" si="3"/>
        <v>13.4</v>
      </c>
      <c r="L57" s="665"/>
      <c r="M57" s="673"/>
      <c r="N57" s="674"/>
      <c r="O57" s="674"/>
      <c r="P57" s="674"/>
      <c r="Q57" s="674"/>
      <c r="R57" s="674"/>
      <c r="S57" s="674"/>
      <c r="T57" s="674"/>
      <c r="U57" s="658"/>
      <c r="V57" s="658"/>
    </row>
    <row r="58" spans="1:22" s="562" customFormat="1" ht="38.25">
      <c r="A58" s="574" t="s">
        <v>767</v>
      </c>
      <c r="B58" s="577" t="s">
        <v>491</v>
      </c>
      <c r="C58" s="575">
        <f>RICON_Edelstahl!C122</f>
        <v>4.5</v>
      </c>
      <c r="D58" s="575">
        <f>IF(AND($F$42='RICON_RICON-S-EK_GIGANT_WALCO '!$V$18,'Load bearing values_RICON_EN'!$F$43=3),0,RICON_Edelstahl!F122)</f>
        <v>5.1804296195027444</v>
      </c>
      <c r="E58" s="632">
        <f t="shared" si="4"/>
        <v>4.5</v>
      </c>
      <c r="F58" s="576">
        <f t="shared" si="3"/>
        <v>2.3909675166935744</v>
      </c>
      <c r="G58" s="576">
        <f t="shared" si="3"/>
        <v>2.7894621028091695</v>
      </c>
      <c r="H58" s="576">
        <f t="shared" si="3"/>
        <v>3.1879566889247655</v>
      </c>
      <c r="I58" s="576">
        <f t="shared" si="3"/>
        <v>3.5864512750403614</v>
      </c>
      <c r="J58" s="576">
        <f t="shared" si="3"/>
        <v>3.9849458611559569</v>
      </c>
      <c r="K58" s="576">
        <f t="shared" si="3"/>
        <v>4.3834404472715534</v>
      </c>
      <c r="L58" s="665"/>
      <c r="M58" s="673"/>
      <c r="N58" s="674"/>
      <c r="O58" s="674"/>
      <c r="P58" s="674"/>
      <c r="Q58" s="674"/>
      <c r="R58" s="674"/>
      <c r="S58" s="674"/>
      <c r="T58" s="674"/>
      <c r="U58" s="658"/>
      <c r="V58" s="658"/>
    </row>
    <row r="59" spans="1:22" s="562" customFormat="1" ht="38.25">
      <c r="A59" s="566" t="s">
        <v>768</v>
      </c>
      <c r="B59" s="567" t="s">
        <v>494</v>
      </c>
      <c r="C59" s="568">
        <f>RICON_Edelstahl!C123</f>
        <v>8.1999999999999993</v>
      </c>
      <c r="D59" s="568">
        <f>IF(AND($F$42='RICON_RICON-S-EK_GIGANT_WALCO '!$V$18,'Load bearing values_RICON_EN'!$F$43=3),0,RICON_Edelstahl!F123)</f>
        <v>7.5161100233272613</v>
      </c>
      <c r="E59" s="630">
        <f t="shared" si="4"/>
        <v>8.1999999999999993</v>
      </c>
      <c r="F59" s="569">
        <f t="shared" si="3"/>
        <v>3.4689738569202739</v>
      </c>
      <c r="G59" s="569">
        <f t="shared" si="3"/>
        <v>4.0471361664069869</v>
      </c>
      <c r="H59" s="569">
        <f t="shared" si="3"/>
        <v>4.6252984758936995</v>
      </c>
      <c r="I59" s="569">
        <f t="shared" si="3"/>
        <v>5.203460785380412</v>
      </c>
      <c r="J59" s="569">
        <f t="shared" si="3"/>
        <v>5.7816230948671237</v>
      </c>
      <c r="K59" s="569">
        <f t="shared" si="3"/>
        <v>6.3597854043538362</v>
      </c>
      <c r="L59" s="665"/>
      <c r="M59" s="673"/>
      <c r="N59" s="674"/>
      <c r="O59" s="674"/>
      <c r="P59" s="674"/>
      <c r="Q59" s="674"/>
      <c r="R59" s="674"/>
      <c r="S59" s="674"/>
      <c r="T59" s="674"/>
      <c r="U59" s="658"/>
      <c r="V59" s="658"/>
    </row>
    <row r="60" spans="1:22" s="562" customFormat="1" ht="38.25">
      <c r="A60" s="566" t="s">
        <v>769</v>
      </c>
      <c r="B60" s="567" t="s">
        <v>495</v>
      </c>
      <c r="C60" s="568">
        <f>RICON_Edelstahl!C124</f>
        <v>10.4</v>
      </c>
      <c r="D60" s="568">
        <f>IF(AND($F$42='RICON_RICON-S-EK_GIGANT_WALCO '!$V$18,'Load bearing values_RICON_EN'!$F$43=3),0,RICON_Edelstahl!F124)</f>
        <v>10.360859239005489</v>
      </c>
      <c r="E60" s="630">
        <f t="shared" si="4"/>
        <v>10.4</v>
      </c>
      <c r="F60" s="569">
        <f t="shared" si="3"/>
        <v>4.7819350333871489</v>
      </c>
      <c r="G60" s="569">
        <f t="shared" si="3"/>
        <v>5.578924205618339</v>
      </c>
      <c r="H60" s="569">
        <f t="shared" si="3"/>
        <v>6.3759133778495309</v>
      </c>
      <c r="I60" s="569">
        <f t="shared" si="3"/>
        <v>7.1729025500807229</v>
      </c>
      <c r="J60" s="569">
        <f t="shared" si="3"/>
        <v>7.9698917223119139</v>
      </c>
      <c r="K60" s="569">
        <f t="shared" si="3"/>
        <v>8.7668808945431067</v>
      </c>
      <c r="L60" s="665"/>
      <c r="M60" s="673"/>
      <c r="N60" s="674"/>
      <c r="O60" s="674"/>
      <c r="P60" s="674"/>
      <c r="Q60" s="674"/>
      <c r="R60" s="674"/>
      <c r="S60" s="674"/>
      <c r="T60" s="674"/>
      <c r="U60" s="658"/>
      <c r="V60" s="658"/>
    </row>
    <row r="61" spans="1:22" s="562" customFormat="1" ht="38.25">
      <c r="A61" s="566" t="s">
        <v>770</v>
      </c>
      <c r="B61" s="567" t="s">
        <v>496</v>
      </c>
      <c r="C61" s="568">
        <f>RICON_Edelstahl!C125</f>
        <v>13.4</v>
      </c>
      <c r="D61" s="568">
        <f>IF(AND($F$42='RICON_RICON-S-EK_GIGANT_WALCO '!$V$18,'Load bearing values_RICON_EN'!$F$43=3),0,RICON_Edelstahl!F125)</f>
        <v>13.205608454683714</v>
      </c>
      <c r="E61" s="630">
        <f t="shared" si="4"/>
        <v>13.4</v>
      </c>
      <c r="F61" s="569">
        <f t="shared" si="3"/>
        <v>6.0948962098540216</v>
      </c>
      <c r="G61" s="569">
        <f t="shared" si="3"/>
        <v>7.1107122448296911</v>
      </c>
      <c r="H61" s="569">
        <f t="shared" si="3"/>
        <v>8.1265282798053633</v>
      </c>
      <c r="I61" s="569">
        <f t="shared" si="3"/>
        <v>9.1423443147810328</v>
      </c>
      <c r="J61" s="569">
        <f t="shared" si="3"/>
        <v>10.158160349756702</v>
      </c>
      <c r="K61" s="569">
        <f t="shared" si="3"/>
        <v>11.173976384732375</v>
      </c>
      <c r="L61" s="665"/>
      <c r="M61" s="673"/>
      <c r="N61" s="674"/>
      <c r="O61" s="674"/>
      <c r="P61" s="674"/>
      <c r="Q61" s="674"/>
      <c r="R61" s="674"/>
      <c r="S61" s="674"/>
      <c r="T61" s="674"/>
      <c r="U61" s="658"/>
      <c r="V61" s="658"/>
    </row>
    <row r="62" spans="1:22" s="562" customFormat="1" ht="38.25">
      <c r="A62" s="566" t="s">
        <v>771</v>
      </c>
      <c r="B62" s="567" t="s">
        <v>497</v>
      </c>
      <c r="C62" s="568">
        <f>RICON_Edelstahl!C126</f>
        <v>13.4</v>
      </c>
      <c r="D62" s="568">
        <f>IF(AND($F$42='RICON_RICON-S-EK_GIGANT_WALCO '!$V$18,'Load bearing values_RICON_EN'!$F$43=3),0,RICON_Edelstahl!F126)</f>
        <v>16.05035767036194</v>
      </c>
      <c r="E62" s="630">
        <f t="shared" si="4"/>
        <v>13.4</v>
      </c>
      <c r="F62" s="569">
        <f t="shared" si="3"/>
        <v>7.4078573863208952</v>
      </c>
      <c r="G62" s="569">
        <f t="shared" si="3"/>
        <v>8.6425002840410432</v>
      </c>
      <c r="H62" s="569">
        <f t="shared" si="3"/>
        <v>9.8771431817611948</v>
      </c>
      <c r="I62" s="569">
        <f t="shared" si="3"/>
        <v>11.111786079481343</v>
      </c>
      <c r="J62" s="569">
        <f t="shared" si="3"/>
        <v>12.346428977201493</v>
      </c>
      <c r="K62" s="569">
        <f t="shared" si="3"/>
        <v>13.4</v>
      </c>
      <c r="L62" s="665"/>
      <c r="M62" s="673"/>
      <c r="N62" s="674"/>
      <c r="O62" s="674"/>
      <c r="P62" s="674"/>
      <c r="Q62" s="674"/>
      <c r="R62" s="674"/>
      <c r="S62" s="674"/>
      <c r="T62" s="674"/>
      <c r="U62" s="658"/>
      <c r="V62" s="658"/>
    </row>
    <row r="63" spans="1:22" s="562" customFormat="1" ht="39" thickBot="1">
      <c r="A63" s="570" t="s">
        <v>772</v>
      </c>
      <c r="B63" s="571" t="s">
        <v>482</v>
      </c>
      <c r="C63" s="572">
        <f>RICON_Edelstahl!C127</f>
        <v>13.4</v>
      </c>
      <c r="D63" s="572">
        <f>IF(AND($F$42='RICON_RICON-S-EK_GIGANT_WALCO '!$V$18,'Load bearing values_RICON_EN'!$F$43=3),0,RICON_Edelstahl!F127)</f>
        <v>18.895106886040168</v>
      </c>
      <c r="E63" s="631">
        <f t="shared" si="4"/>
        <v>13.4</v>
      </c>
      <c r="F63" s="573">
        <f t="shared" si="3"/>
        <v>8.7208185627877697</v>
      </c>
      <c r="G63" s="573">
        <f t="shared" si="3"/>
        <v>10.174288323252396</v>
      </c>
      <c r="H63" s="573">
        <f t="shared" si="3"/>
        <v>11.627758083717026</v>
      </c>
      <c r="I63" s="573">
        <f t="shared" si="3"/>
        <v>13.081227844181655</v>
      </c>
      <c r="J63" s="573">
        <f t="shared" si="3"/>
        <v>13.4</v>
      </c>
      <c r="K63" s="573">
        <f t="shared" si="3"/>
        <v>13.4</v>
      </c>
      <c r="L63" s="665"/>
      <c r="M63" s="673"/>
      <c r="N63" s="674"/>
      <c r="O63" s="674"/>
      <c r="P63" s="674"/>
      <c r="Q63" s="674"/>
      <c r="R63" s="674"/>
      <c r="S63" s="674"/>
      <c r="T63" s="674"/>
      <c r="U63" s="658"/>
      <c r="V63" s="658"/>
    </row>
    <row r="64" spans="1:22" s="562" customFormat="1" ht="39" thickTop="1">
      <c r="A64" s="574" t="s">
        <v>773</v>
      </c>
      <c r="B64" s="577" t="s">
        <v>482</v>
      </c>
      <c r="C64" s="575">
        <f>RICON_Edelstahl!C128</f>
        <v>8.1999999999999993</v>
      </c>
      <c r="D64" s="575">
        <f>IF(AND($F$42='RICON_RICON-S-EK_GIGANT_WALCO '!$V$18,'Load bearing values_RICON_EN'!$F$43=3),0,RICON_Edelstahl!F128)</f>
        <v>12.696539642830006</v>
      </c>
      <c r="E64" s="632">
        <f t="shared" si="4"/>
        <v>8.1999999999999993</v>
      </c>
      <c r="F64" s="576">
        <f t="shared" si="3"/>
        <v>5.8599413736138484</v>
      </c>
      <c r="G64" s="576">
        <f t="shared" si="3"/>
        <v>6.8365982692161564</v>
      </c>
      <c r="H64" s="576">
        <f t="shared" si="3"/>
        <v>7.8132551648184654</v>
      </c>
      <c r="I64" s="576">
        <f t="shared" si="3"/>
        <v>8.1999999999999993</v>
      </c>
      <c r="J64" s="576">
        <f t="shared" si="3"/>
        <v>8.1999999999999993</v>
      </c>
      <c r="K64" s="576">
        <f t="shared" si="3"/>
        <v>8.1999999999999993</v>
      </c>
      <c r="L64" s="665"/>
      <c r="M64" s="673"/>
      <c r="N64" s="674"/>
      <c r="O64" s="674"/>
      <c r="P64" s="674"/>
      <c r="Q64" s="674"/>
      <c r="R64" s="674"/>
      <c r="S64" s="674"/>
      <c r="T64" s="674"/>
      <c r="U64" s="658"/>
      <c r="V64" s="658"/>
    </row>
    <row r="65" spans="1:22" s="562" customFormat="1" ht="38.25">
      <c r="A65" s="566" t="s">
        <v>774</v>
      </c>
      <c r="B65" s="567" t="s">
        <v>483</v>
      </c>
      <c r="C65" s="568">
        <f>RICON_Edelstahl!C129</f>
        <v>10.4</v>
      </c>
      <c r="D65" s="568">
        <f>IF(AND($F$42='RICON_RICON-S-EK_GIGANT_WALCO '!$V$18,'Load bearing values_RICON_EN'!$F$43=3),0,RICON_Edelstahl!F129)</f>
        <v>18.386038074186459</v>
      </c>
      <c r="E65" s="630">
        <f t="shared" si="4"/>
        <v>10.4</v>
      </c>
      <c r="F65" s="569">
        <f t="shared" si="3"/>
        <v>8.4858637265475956</v>
      </c>
      <c r="G65" s="569">
        <f t="shared" si="3"/>
        <v>9.9001743476388615</v>
      </c>
      <c r="H65" s="569">
        <f t="shared" si="3"/>
        <v>10.4</v>
      </c>
      <c r="I65" s="569">
        <f t="shared" si="3"/>
        <v>10.4</v>
      </c>
      <c r="J65" s="569">
        <f t="shared" si="3"/>
        <v>10.4</v>
      </c>
      <c r="K65" s="569">
        <f t="shared" si="3"/>
        <v>10.4</v>
      </c>
      <c r="L65" s="665"/>
      <c r="M65" s="673"/>
      <c r="N65" s="674"/>
      <c r="O65" s="674"/>
      <c r="P65" s="674"/>
      <c r="Q65" s="674"/>
      <c r="R65" s="674"/>
      <c r="S65" s="674"/>
      <c r="T65" s="674"/>
      <c r="U65" s="658"/>
      <c r="V65" s="658"/>
    </row>
    <row r="66" spans="1:22" s="562" customFormat="1" ht="38.25">
      <c r="A66" s="566" t="s">
        <v>775</v>
      </c>
      <c r="B66" s="567" t="s">
        <v>484</v>
      </c>
      <c r="C66" s="568">
        <f>RICON_Edelstahl!C130</f>
        <v>13.4</v>
      </c>
      <c r="D66" s="568">
        <f>IF(AND($F$42='RICON_RICON-S-EK_GIGANT_WALCO '!$V$18,'Load bearing values_RICON_EN'!$F$43=3),0,RICON_Edelstahl!F130)</f>
        <v>24.07553650554291</v>
      </c>
      <c r="E66" s="630">
        <f t="shared" si="4"/>
        <v>13.4</v>
      </c>
      <c r="F66" s="569">
        <f t="shared" si="3"/>
        <v>11.111786079481341</v>
      </c>
      <c r="G66" s="569">
        <f t="shared" si="3"/>
        <v>12.963750426061566</v>
      </c>
      <c r="H66" s="569">
        <f t="shared" si="3"/>
        <v>13.4</v>
      </c>
      <c r="I66" s="569">
        <f t="shared" si="3"/>
        <v>13.4</v>
      </c>
      <c r="J66" s="569">
        <f t="shared" si="3"/>
        <v>13.4</v>
      </c>
      <c r="K66" s="569">
        <f t="shared" si="3"/>
        <v>13.4</v>
      </c>
      <c r="L66" s="665"/>
      <c r="M66" s="673"/>
      <c r="N66" s="674"/>
      <c r="O66" s="674"/>
      <c r="P66" s="674"/>
      <c r="Q66" s="674"/>
      <c r="R66" s="674"/>
      <c r="S66" s="674"/>
      <c r="T66" s="674"/>
      <c r="U66" s="658"/>
      <c r="V66" s="658"/>
    </row>
    <row r="67" spans="1:22" s="562" customFormat="1" ht="38.25">
      <c r="A67" s="566" t="s">
        <v>776</v>
      </c>
      <c r="B67" s="567" t="s">
        <v>485</v>
      </c>
      <c r="C67" s="568">
        <f>RICON_Edelstahl!C131</f>
        <v>13.4</v>
      </c>
      <c r="D67" s="568">
        <f>IF(AND($F$42='RICON_RICON-S-EK_GIGANT_WALCO '!$V$18,'Load bearing values_RICON_EN'!$F$43=3),0,RICON_Edelstahl!F131)</f>
        <v>29.765034936899362</v>
      </c>
      <c r="E67" s="630">
        <f t="shared" si="4"/>
        <v>13.4</v>
      </c>
      <c r="F67" s="569">
        <f t="shared" si="3"/>
        <v>13.4</v>
      </c>
      <c r="G67" s="569">
        <f t="shared" si="3"/>
        <v>13.4</v>
      </c>
      <c r="H67" s="569">
        <f t="shared" si="3"/>
        <v>13.4</v>
      </c>
      <c r="I67" s="569">
        <f t="shared" si="3"/>
        <v>13.4</v>
      </c>
      <c r="J67" s="569">
        <f t="shared" si="3"/>
        <v>13.4</v>
      </c>
      <c r="K67" s="569">
        <f t="shared" si="3"/>
        <v>13.4</v>
      </c>
      <c r="L67" s="665"/>
      <c r="M67" s="673"/>
      <c r="N67" s="674"/>
      <c r="O67" s="674"/>
      <c r="P67" s="674"/>
      <c r="Q67" s="674"/>
      <c r="R67" s="674"/>
      <c r="S67" s="674"/>
      <c r="T67" s="674"/>
      <c r="U67" s="658"/>
      <c r="V67" s="658"/>
    </row>
    <row r="68" spans="1:22" s="562" customFormat="1" ht="39" thickBot="1">
      <c r="A68" s="618" t="s">
        <v>777</v>
      </c>
      <c r="B68" s="619" t="s">
        <v>486</v>
      </c>
      <c r="C68" s="620">
        <f>RICON_Edelstahl!C132</f>
        <v>13.4</v>
      </c>
      <c r="D68" s="620">
        <f>IF(AND($F$42='RICON_RICON-S-EK_GIGANT_WALCO '!$V$18,'Load bearing values_RICON_EN'!$F$43=3),0,RICON_Edelstahl!F132)</f>
        <v>35.454533368255817</v>
      </c>
      <c r="E68" s="636">
        <f t="shared" si="4"/>
        <v>13.4</v>
      </c>
      <c r="F68" s="621">
        <f t="shared" si="3"/>
        <v>13.4</v>
      </c>
      <c r="G68" s="621">
        <f t="shared" si="3"/>
        <v>13.4</v>
      </c>
      <c r="H68" s="621">
        <f t="shared" si="3"/>
        <v>13.4</v>
      </c>
      <c r="I68" s="621">
        <f t="shared" si="3"/>
        <v>13.4</v>
      </c>
      <c r="J68" s="621">
        <f t="shared" si="3"/>
        <v>13.4</v>
      </c>
      <c r="K68" s="621">
        <f t="shared" si="3"/>
        <v>13.4</v>
      </c>
      <c r="L68" s="665"/>
      <c r="M68" s="673"/>
      <c r="N68" s="674"/>
      <c r="O68" s="674"/>
      <c r="P68" s="674"/>
      <c r="Q68" s="674"/>
      <c r="R68" s="674"/>
      <c r="S68" s="674"/>
      <c r="T68" s="674"/>
      <c r="U68" s="658"/>
      <c r="V68" s="658"/>
    </row>
    <row r="69" spans="1:22" s="562" customFormat="1" ht="38.25">
      <c r="A69" s="574" t="s">
        <v>778</v>
      </c>
      <c r="B69" s="577" t="s">
        <v>616</v>
      </c>
      <c r="C69" s="575">
        <f>RICON_Edelstahl!C133</f>
        <v>3.7</v>
      </c>
      <c r="D69" s="575">
        <f>IF(AND($F$42='RICON_RICON-S-EK_GIGANT_WALCO '!$V$18,'Load bearing values_RICON_EN'!$F$43=3),0,RICON_Edelstahl!F133)</f>
        <v>5.0646478158177981</v>
      </c>
      <c r="E69" s="632">
        <f t="shared" si="4"/>
        <v>3.7</v>
      </c>
      <c r="F69" s="576">
        <f t="shared" si="3"/>
        <v>2.3375297611466759</v>
      </c>
      <c r="G69" s="576">
        <f t="shared" si="3"/>
        <v>2.7271180546711218</v>
      </c>
      <c r="H69" s="576">
        <f t="shared" si="3"/>
        <v>3.1167063481955686</v>
      </c>
      <c r="I69" s="576">
        <f t="shared" si="3"/>
        <v>3.5062946417200136</v>
      </c>
      <c r="J69" s="576">
        <f t="shared" si="3"/>
        <v>3.7</v>
      </c>
      <c r="K69" s="576">
        <f t="shared" si="3"/>
        <v>3.7</v>
      </c>
      <c r="L69" s="665"/>
      <c r="M69" s="673"/>
      <c r="N69" s="674"/>
      <c r="O69" s="674"/>
      <c r="P69" s="674"/>
      <c r="Q69" s="674"/>
      <c r="R69" s="674"/>
      <c r="S69" s="674"/>
      <c r="T69" s="674"/>
      <c r="U69" s="658"/>
      <c r="V69" s="658"/>
    </row>
    <row r="70" spans="1:22" s="562" customFormat="1" ht="38.25">
      <c r="A70" s="574" t="s">
        <v>779</v>
      </c>
      <c r="B70" s="567" t="s">
        <v>615</v>
      </c>
      <c r="C70" s="568">
        <f>RICON_Edelstahl!C134</f>
        <v>3.7</v>
      </c>
      <c r="D70" s="568">
        <f>IF(AND($F$42='RICON_RICON-S-EK_GIGANT_WALCO '!$V$18,'Load bearing values_RICON_EN'!$F$43=3),0,RICON_Edelstahl!F134)</f>
        <v>5.0646478158177981</v>
      </c>
      <c r="E70" s="630">
        <f t="shared" si="4"/>
        <v>3.7</v>
      </c>
      <c r="F70" s="569">
        <f t="shared" si="3"/>
        <v>2.3375297611466759</v>
      </c>
      <c r="G70" s="569">
        <f t="shared" si="3"/>
        <v>2.7271180546711218</v>
      </c>
      <c r="H70" s="569">
        <f t="shared" si="3"/>
        <v>3.1167063481955686</v>
      </c>
      <c r="I70" s="569">
        <f t="shared" si="3"/>
        <v>3.5062946417200136</v>
      </c>
      <c r="J70" s="569">
        <f t="shared" si="3"/>
        <v>3.7</v>
      </c>
      <c r="K70" s="569">
        <f t="shared" si="3"/>
        <v>3.7</v>
      </c>
      <c r="L70" s="665"/>
      <c r="M70" s="673"/>
      <c r="N70" s="674"/>
      <c r="O70" s="674"/>
      <c r="P70" s="674"/>
      <c r="Q70" s="674"/>
      <c r="R70" s="674"/>
      <c r="S70" s="674"/>
      <c r="T70" s="674"/>
      <c r="U70" s="658"/>
      <c r="V70" s="658"/>
    </row>
    <row r="71" spans="1:22" ht="33.75">
      <c r="A71" s="797" t="s">
        <v>748</v>
      </c>
      <c r="B71" s="797"/>
      <c r="C71" s="786" t="s">
        <v>459</v>
      </c>
      <c r="D71" s="786"/>
      <c r="E71" s="786"/>
      <c r="F71" s="786"/>
      <c r="G71" s="786"/>
      <c r="H71" s="786"/>
      <c r="I71" s="786"/>
      <c r="J71" s="786"/>
      <c r="K71" s="786"/>
      <c r="L71" s="662"/>
      <c r="M71" s="799"/>
      <c r="N71" s="799"/>
      <c r="O71" s="799"/>
      <c r="P71" s="799"/>
      <c r="Q71" s="799"/>
      <c r="R71" s="799"/>
      <c r="S71" s="799"/>
      <c r="T71" s="799"/>
      <c r="U71" s="3"/>
      <c r="V71" s="3"/>
    </row>
    <row r="72" spans="1:22" ht="21">
      <c r="A72" s="558" t="s">
        <v>674</v>
      </c>
      <c r="B72" s="543"/>
      <c r="C72" s="543"/>
      <c r="D72" s="543" t="s">
        <v>673</v>
      </c>
      <c r="E72" s="543"/>
      <c r="F72" s="601" t="s">
        <v>25</v>
      </c>
      <c r="H72" s="582" t="str">
        <f>VLOOKUP(F72,'RICON_RICON-S-EK_GIGANT_WALCO '!P620:S627,4,FALSE)</f>
        <v>Glued laminated timber - homogenous</v>
      </c>
      <c r="I72" s="543"/>
      <c r="L72" s="3"/>
      <c r="M72" s="799"/>
      <c r="N72" s="799"/>
      <c r="O72" s="799"/>
      <c r="P72" s="799"/>
      <c r="Q72" s="799"/>
      <c r="R72" s="799"/>
      <c r="S72" s="799"/>
      <c r="T72" s="799"/>
      <c r="U72" s="3"/>
      <c r="V72" s="3"/>
    </row>
    <row r="73" spans="1:22" ht="21">
      <c r="A73" s="558" t="s">
        <v>675</v>
      </c>
      <c r="D73" s="580" t="s">
        <v>672</v>
      </c>
      <c r="E73" s="580"/>
      <c r="F73" s="601">
        <v>1</v>
      </c>
      <c r="H73" s="581" t="str">
        <f>'RICON_RICON-S-EK_GIGANT_WALCO '!X21</f>
        <v>Indoor</v>
      </c>
      <c r="L73" s="3"/>
      <c r="M73" s="657"/>
      <c r="N73" s="3"/>
      <c r="O73" s="3"/>
      <c r="P73" s="3"/>
      <c r="Q73" s="3"/>
      <c r="R73" s="3"/>
      <c r="S73" s="3"/>
      <c r="T73" s="3"/>
      <c r="U73" s="3"/>
      <c r="V73" s="3"/>
    </row>
    <row r="74" spans="1:22" ht="18.75">
      <c r="B74" s="543"/>
      <c r="C74" s="543"/>
      <c r="D74" s="543"/>
      <c r="E74" s="543"/>
      <c r="F74" s="543"/>
      <c r="G74" s="543"/>
      <c r="H74" s="543"/>
      <c r="I74" s="543"/>
      <c r="J74" s="543"/>
      <c r="L74" s="3"/>
      <c r="M74" s="657"/>
      <c r="N74" s="3"/>
      <c r="O74" s="3"/>
      <c r="P74" s="3"/>
      <c r="Q74" s="3"/>
      <c r="R74" s="3"/>
      <c r="S74" s="3"/>
      <c r="T74" s="3"/>
      <c r="U74" s="3"/>
      <c r="V74" s="3"/>
    </row>
    <row r="75" spans="1:22" ht="18.75">
      <c r="A75" s="511"/>
      <c r="B75" s="511"/>
      <c r="L75" s="3"/>
      <c r="M75" s="657"/>
      <c r="N75" s="3"/>
      <c r="O75" s="3"/>
      <c r="P75" s="3"/>
      <c r="Q75" s="3"/>
      <c r="R75" s="3"/>
      <c r="S75" s="3"/>
      <c r="T75" s="3"/>
      <c r="U75" s="3"/>
      <c r="V75" s="3"/>
    </row>
    <row r="76" spans="1:22" ht="18.75">
      <c r="A76" s="511"/>
      <c r="B76" s="511"/>
      <c r="L76" s="3"/>
      <c r="M76" s="657"/>
      <c r="N76" s="3"/>
      <c r="O76" s="3"/>
      <c r="P76" s="3"/>
      <c r="Q76" s="3"/>
      <c r="R76" s="3"/>
      <c r="S76" s="3"/>
      <c r="T76" s="3"/>
      <c r="U76" s="3"/>
      <c r="V76" s="3"/>
    </row>
    <row r="77" spans="1:22" ht="18.75">
      <c r="A77" s="511"/>
      <c r="B77" s="511"/>
      <c r="L77" s="3"/>
      <c r="M77" s="657"/>
      <c r="N77" s="3"/>
      <c r="O77" s="3"/>
      <c r="P77" s="3"/>
      <c r="Q77" s="3"/>
      <c r="R77" s="3"/>
      <c r="S77" s="3"/>
      <c r="T77" s="3"/>
      <c r="U77" s="3"/>
      <c r="V77" s="3"/>
    </row>
    <row r="78" spans="1:22" ht="18.75">
      <c r="A78" s="511"/>
      <c r="B78" s="511"/>
      <c r="L78" s="3"/>
      <c r="M78" s="657"/>
      <c r="N78" s="3"/>
      <c r="O78" s="3"/>
      <c r="P78" s="3"/>
      <c r="Q78" s="3"/>
      <c r="R78" s="3"/>
      <c r="S78" s="3"/>
      <c r="T78" s="3"/>
      <c r="U78" s="3"/>
      <c r="V78" s="3"/>
    </row>
    <row r="79" spans="1:22" ht="18.75">
      <c r="A79" s="511"/>
      <c r="B79" s="511"/>
      <c r="L79" s="3"/>
      <c r="M79" s="657"/>
      <c r="N79" s="3"/>
      <c r="O79" s="3"/>
      <c r="P79" s="3"/>
      <c r="Q79" s="3"/>
      <c r="R79" s="3"/>
      <c r="S79" s="3"/>
      <c r="T79" s="3"/>
      <c r="U79" s="3"/>
      <c r="V79" s="3"/>
    </row>
    <row r="80" spans="1:22" ht="18.75">
      <c r="A80" s="511"/>
      <c r="B80" s="511"/>
      <c r="L80" s="3"/>
      <c r="M80" s="657"/>
      <c r="N80" s="3"/>
      <c r="O80" s="3"/>
      <c r="P80" s="3"/>
      <c r="Q80" s="3"/>
      <c r="R80" s="3"/>
      <c r="S80" s="3"/>
      <c r="T80" s="3"/>
      <c r="U80" s="3"/>
      <c r="V80" s="3"/>
    </row>
    <row r="81" spans="1:22" ht="18.75">
      <c r="A81" s="511"/>
      <c r="B81" s="511"/>
      <c r="L81" s="3"/>
      <c r="M81" s="657"/>
      <c r="N81" s="3"/>
      <c r="O81" s="3"/>
      <c r="P81" s="3"/>
      <c r="Q81" s="3"/>
      <c r="R81" s="3"/>
      <c r="S81" s="3"/>
      <c r="T81" s="3"/>
      <c r="U81" s="3"/>
      <c r="V81" s="3"/>
    </row>
    <row r="82" spans="1:22" ht="18.75">
      <c r="A82" s="511"/>
      <c r="B82" s="511"/>
      <c r="L82" s="3"/>
      <c r="M82" s="657"/>
      <c r="N82" s="3"/>
      <c r="O82" s="3"/>
      <c r="P82" s="3"/>
      <c r="Q82" s="3"/>
      <c r="R82" s="3"/>
      <c r="S82" s="3"/>
      <c r="T82" s="3"/>
      <c r="U82" s="3"/>
      <c r="V82" s="3"/>
    </row>
    <row r="83" spans="1:22" ht="18.75">
      <c r="A83" s="511"/>
      <c r="B83" s="511"/>
      <c r="L83" s="3"/>
      <c r="M83" s="657"/>
      <c r="N83" s="3"/>
      <c r="O83" s="3"/>
      <c r="P83" s="3"/>
      <c r="Q83" s="3"/>
      <c r="R83" s="3"/>
      <c r="S83" s="3"/>
      <c r="T83" s="3"/>
      <c r="U83" s="3"/>
      <c r="V83" s="3"/>
    </row>
    <row r="84" spans="1:22" ht="18.75">
      <c r="A84" s="511"/>
      <c r="B84" s="511"/>
      <c r="L84" s="3"/>
      <c r="M84" s="657"/>
      <c r="N84" s="3"/>
      <c r="O84" s="3"/>
      <c r="P84" s="3"/>
      <c r="Q84" s="3"/>
      <c r="R84" s="3"/>
      <c r="S84" s="3"/>
      <c r="T84" s="3"/>
      <c r="U84" s="3"/>
      <c r="V84" s="3"/>
    </row>
    <row r="85" spans="1:22" ht="18.75">
      <c r="A85" s="511"/>
      <c r="B85" s="511"/>
      <c r="L85" s="3"/>
      <c r="M85" s="657"/>
      <c r="N85" s="3"/>
      <c r="O85" s="3"/>
      <c r="P85" s="3"/>
      <c r="Q85" s="3"/>
      <c r="R85" s="3"/>
      <c r="S85" s="3"/>
      <c r="T85" s="3"/>
      <c r="U85" s="3"/>
      <c r="V85" s="3"/>
    </row>
    <row r="86" spans="1:22" ht="21">
      <c r="A86" s="508"/>
      <c r="B86" s="508"/>
      <c r="L86" s="3"/>
      <c r="M86" s="668"/>
      <c r="N86" s="3"/>
      <c r="O86" s="3"/>
      <c r="P86" s="3"/>
      <c r="Q86" s="3"/>
      <c r="R86" s="3"/>
      <c r="S86" s="3"/>
      <c r="T86" s="3"/>
      <c r="U86" s="3"/>
      <c r="V86" s="3"/>
    </row>
    <row r="87" spans="1:22" ht="18">
      <c r="A87" s="4" t="s">
        <v>2</v>
      </c>
      <c r="B87" s="771" t="s">
        <v>614</v>
      </c>
      <c r="C87" s="800" t="s">
        <v>450</v>
      </c>
      <c r="D87" s="800"/>
      <c r="E87" s="794" t="str">
        <f>"Design values F2,Rd for "&amp;F72&amp;" [kN]"</f>
        <v>Design values F2,Rd for GL24h [kN]</v>
      </c>
      <c r="F87" s="795"/>
      <c r="G87" s="795"/>
      <c r="H87" s="604" t="s">
        <v>691</v>
      </c>
      <c r="I87" s="801" t="s">
        <v>850</v>
      </c>
      <c r="J87" s="802"/>
      <c r="L87" s="3"/>
      <c r="M87" s="3"/>
      <c r="N87" s="798"/>
      <c r="O87" s="798"/>
      <c r="P87" s="693"/>
      <c r="Q87" s="693"/>
      <c r="R87" s="693"/>
      <c r="S87" s="388"/>
      <c r="T87" s="803"/>
      <c r="U87" s="803"/>
      <c r="V87" s="3"/>
    </row>
    <row r="88" spans="1:22" ht="15" customHeight="1">
      <c r="A88" s="513" t="s">
        <v>730</v>
      </c>
      <c r="B88" s="772"/>
      <c r="C88" s="589" t="s">
        <v>456</v>
      </c>
      <c r="D88" s="589" t="s">
        <v>457</v>
      </c>
      <c r="E88" s="705" t="s">
        <v>456</v>
      </c>
      <c r="F88" s="707"/>
      <c r="G88" s="706" t="s">
        <v>457</v>
      </c>
      <c r="H88" s="707"/>
      <c r="I88" s="804" t="s">
        <v>454</v>
      </c>
      <c r="J88" s="804" t="s">
        <v>455</v>
      </c>
      <c r="L88" s="3"/>
      <c r="M88" s="3"/>
      <c r="N88" s="622"/>
      <c r="O88" s="622"/>
      <c r="P88" s="693"/>
      <c r="Q88" s="693"/>
      <c r="R88" s="693"/>
      <c r="S88" s="693"/>
      <c r="T88" s="803"/>
      <c r="U88" s="803"/>
      <c r="V88" s="3"/>
    </row>
    <row r="89" spans="1:22" ht="18">
      <c r="A89" s="8"/>
      <c r="B89" s="773"/>
      <c r="C89" s="589" t="s">
        <v>796</v>
      </c>
      <c r="D89" s="589" t="s">
        <v>796</v>
      </c>
      <c r="E89" s="590">
        <v>0.6</v>
      </c>
      <c r="F89" s="590">
        <v>0.9</v>
      </c>
      <c r="G89" s="590">
        <v>0.6</v>
      </c>
      <c r="H89" s="590">
        <v>0.9</v>
      </c>
      <c r="I89" s="804"/>
      <c r="J89" s="804"/>
      <c r="L89" s="3"/>
      <c r="M89" s="3"/>
      <c r="N89" s="3"/>
      <c r="O89" s="3"/>
      <c r="P89" s="669"/>
      <c r="Q89" s="669"/>
      <c r="R89" s="669"/>
      <c r="S89" s="669"/>
      <c r="T89" s="803"/>
      <c r="U89" s="803"/>
      <c r="V89" s="3"/>
    </row>
    <row r="90" spans="1:22" ht="45">
      <c r="A90" s="396" t="s">
        <v>749</v>
      </c>
      <c r="B90" s="525" t="s">
        <v>492</v>
      </c>
      <c r="C90" s="551">
        <f>'RICON_RICON-S-EK_GIGANT_WALCO '!H705</f>
        <v>0.68556196386955359</v>
      </c>
      <c r="D90" s="551">
        <f>'RICON_RICON-S-EK_GIGANT_WALCO '!I705</f>
        <v>4.6855619638695538</v>
      </c>
      <c r="E90" s="500">
        <f t="shared" ref="E90:F104" si="5">$C90*E$89/1.3</f>
        <v>0.31641321409364009</v>
      </c>
      <c r="F90" s="500">
        <f t="shared" si="5"/>
        <v>0.4746198211404602</v>
      </c>
      <c r="G90" s="500">
        <f t="shared" ref="G90:H104" si="6">$D90*G$89/1.3</f>
        <v>2.1625670602474862</v>
      </c>
      <c r="H90" s="500">
        <f t="shared" si="6"/>
        <v>3.2438505903712298</v>
      </c>
      <c r="I90" s="610">
        <f>E90*200/1.35</f>
        <v>46.876031717576311</v>
      </c>
      <c r="J90" s="610">
        <f t="shared" ref="J90:J104" si="7">G90*200/1.35</f>
        <v>320.38030522184977</v>
      </c>
      <c r="L90" s="3"/>
      <c r="M90" s="418"/>
      <c r="N90" s="510"/>
      <c r="O90" s="510"/>
      <c r="P90" s="510"/>
      <c r="Q90" s="510"/>
      <c r="R90" s="510"/>
      <c r="S90" s="510"/>
      <c r="T90" s="675"/>
      <c r="U90" s="675"/>
      <c r="V90" s="3"/>
    </row>
    <row r="91" spans="1:22" ht="45">
      <c r="A91" s="396" t="s">
        <v>750</v>
      </c>
      <c r="B91" s="525" t="s">
        <v>493</v>
      </c>
      <c r="C91" s="551">
        <f>'RICON_RICON-S-EK_GIGANT_WALCO '!H706</f>
        <v>0.93004458531057144</v>
      </c>
      <c r="D91" s="551">
        <f>'RICON_RICON-S-EK_GIGANT_WALCO '!I706</f>
        <v>4.9300445853105712</v>
      </c>
      <c r="E91" s="500">
        <f t="shared" si="5"/>
        <v>0.42925134706641754</v>
      </c>
      <c r="F91" s="500">
        <f t="shared" si="5"/>
        <v>0.64387702059962637</v>
      </c>
      <c r="G91" s="500">
        <f t="shared" si="6"/>
        <v>2.2754051932202635</v>
      </c>
      <c r="H91" s="500">
        <f t="shared" si="6"/>
        <v>3.4131077898303959</v>
      </c>
      <c r="I91" s="610">
        <f t="shared" ref="I91:I104" si="8">E91*200/1.35</f>
        <v>63.59279215798778</v>
      </c>
      <c r="J91" s="610">
        <f t="shared" si="7"/>
        <v>337.09706566226123</v>
      </c>
      <c r="L91" s="3"/>
      <c r="M91" s="418"/>
      <c r="N91" s="510"/>
      <c r="O91" s="510"/>
      <c r="P91" s="510"/>
      <c r="Q91" s="510"/>
      <c r="R91" s="510"/>
      <c r="S91" s="510"/>
      <c r="T91" s="675"/>
      <c r="U91" s="675"/>
      <c r="V91" s="3"/>
    </row>
    <row r="92" spans="1:22" ht="45">
      <c r="A92" s="396" t="s">
        <v>751</v>
      </c>
      <c r="B92" s="525" t="s">
        <v>503</v>
      </c>
      <c r="C92" s="551">
        <f>'RICON_RICON-S-EK_GIGANT_WALCO '!H707</f>
        <v>1.4937800644343464</v>
      </c>
      <c r="D92" s="551">
        <f>'RICON_RICON-S-EK_GIGANT_WALCO '!I707</f>
        <v>5.4937800644343469</v>
      </c>
      <c r="E92" s="500">
        <f t="shared" si="5"/>
        <v>0.68943695281585216</v>
      </c>
      <c r="F92" s="500">
        <f t="shared" si="5"/>
        <v>1.0341554292237782</v>
      </c>
      <c r="G92" s="500">
        <f t="shared" si="6"/>
        <v>2.5355907989696984</v>
      </c>
      <c r="H92" s="500">
        <f t="shared" si="6"/>
        <v>3.8033861984545481</v>
      </c>
      <c r="I92" s="610">
        <f t="shared" si="8"/>
        <v>102.13880782457069</v>
      </c>
      <c r="J92" s="610">
        <f t="shared" si="7"/>
        <v>375.64308132884418</v>
      </c>
      <c r="L92" s="3"/>
      <c r="M92" s="418"/>
      <c r="N92" s="510"/>
      <c r="O92" s="510"/>
      <c r="P92" s="510"/>
      <c r="Q92" s="510"/>
      <c r="R92" s="510"/>
      <c r="S92" s="510"/>
      <c r="T92" s="675"/>
      <c r="U92" s="675"/>
      <c r="V92" s="3"/>
    </row>
    <row r="93" spans="1:22" ht="45">
      <c r="A93" s="396" t="s">
        <v>752</v>
      </c>
      <c r="B93" s="525" t="s">
        <v>504</v>
      </c>
      <c r="C93" s="551">
        <f>'RICON_RICON-S-EK_GIGANT_WALCO '!H708</f>
        <v>2.0699476121956257</v>
      </c>
      <c r="D93" s="551">
        <f>'RICON_RICON-S-EK_GIGANT_WALCO '!I708</f>
        <v>6.0699476121956257</v>
      </c>
      <c r="E93" s="500">
        <f t="shared" si="5"/>
        <v>0.95536043639798107</v>
      </c>
      <c r="F93" s="500">
        <f t="shared" si="5"/>
        <v>1.4330406545969716</v>
      </c>
      <c r="G93" s="500">
        <f t="shared" si="6"/>
        <v>2.8015142825518269</v>
      </c>
      <c r="H93" s="500">
        <f t="shared" si="6"/>
        <v>4.2022714238277405</v>
      </c>
      <c r="I93" s="610">
        <f t="shared" si="8"/>
        <v>141.53487946636756</v>
      </c>
      <c r="J93" s="610">
        <f t="shared" si="7"/>
        <v>415.039152970641</v>
      </c>
      <c r="L93" s="3"/>
      <c r="M93" s="418"/>
      <c r="N93" s="510"/>
      <c r="O93" s="510"/>
      <c r="P93" s="510"/>
      <c r="Q93" s="510"/>
      <c r="R93" s="510"/>
      <c r="S93" s="510"/>
      <c r="T93" s="675"/>
      <c r="U93" s="675"/>
      <c r="V93" s="3"/>
    </row>
    <row r="94" spans="1:22" ht="45">
      <c r="A94" s="396" t="s">
        <v>753</v>
      </c>
      <c r="B94" s="525" t="s">
        <v>505</v>
      </c>
      <c r="C94" s="551">
        <f>'RICON_RICON-S-EK_GIGANT_WALCO '!H709</f>
        <v>2.6785451403230303</v>
      </c>
      <c r="D94" s="551">
        <f>'RICON_RICON-S-EK_GIGANT_WALCO '!I709</f>
        <v>6.6785451403230303</v>
      </c>
      <c r="E94" s="500">
        <f t="shared" si="5"/>
        <v>1.2362516032260138</v>
      </c>
      <c r="F94" s="500">
        <f t="shared" si="5"/>
        <v>1.8543774048390211</v>
      </c>
      <c r="G94" s="500">
        <f t="shared" si="6"/>
        <v>3.0824054493798596</v>
      </c>
      <c r="H94" s="500">
        <f t="shared" si="6"/>
        <v>4.6236081740697896</v>
      </c>
      <c r="I94" s="610">
        <f t="shared" si="8"/>
        <v>183.14838566311315</v>
      </c>
      <c r="J94" s="610">
        <f t="shared" si="7"/>
        <v>456.65265916738662</v>
      </c>
      <c r="L94" s="3"/>
      <c r="M94" s="418"/>
      <c r="N94" s="510"/>
      <c r="O94" s="510"/>
      <c r="P94" s="510"/>
      <c r="Q94" s="510"/>
      <c r="R94" s="510"/>
      <c r="S94" s="510"/>
      <c r="T94" s="675"/>
      <c r="U94" s="675"/>
      <c r="V94" s="3"/>
    </row>
    <row r="95" spans="1:22" ht="45.75" thickBot="1">
      <c r="A95" s="438" t="s">
        <v>754</v>
      </c>
      <c r="B95" s="537" t="s">
        <v>506</v>
      </c>
      <c r="C95" s="614">
        <f>'RICON_RICON-S-EK_GIGANT_WALCO '!H710</f>
        <v>3.3245358298367984</v>
      </c>
      <c r="D95" s="614">
        <f>'RICON_RICON-S-EK_GIGANT_WALCO '!I710</f>
        <v>7.3245358298367984</v>
      </c>
      <c r="E95" s="502">
        <f t="shared" si="5"/>
        <v>1.5344011522323684</v>
      </c>
      <c r="F95" s="502">
        <f t="shared" si="5"/>
        <v>2.3016017283485528</v>
      </c>
      <c r="G95" s="502">
        <f t="shared" si="6"/>
        <v>3.3805549983862146</v>
      </c>
      <c r="H95" s="502">
        <f t="shared" si="6"/>
        <v>5.070832497579322</v>
      </c>
      <c r="I95" s="616">
        <f t="shared" si="8"/>
        <v>227.31868921961009</v>
      </c>
      <c r="J95" s="616">
        <f t="shared" si="7"/>
        <v>500.82296272388362</v>
      </c>
      <c r="L95" s="3"/>
      <c r="M95" s="418"/>
      <c r="N95" s="510"/>
      <c r="O95" s="510"/>
      <c r="P95" s="510"/>
      <c r="Q95" s="510"/>
      <c r="R95" s="510"/>
      <c r="S95" s="510"/>
      <c r="T95" s="675"/>
      <c r="U95" s="675"/>
      <c r="V95" s="3"/>
    </row>
    <row r="96" spans="1:22" ht="45.75" thickTop="1">
      <c r="A96" s="411" t="s">
        <v>859</v>
      </c>
      <c r="B96" s="536" t="s">
        <v>503</v>
      </c>
      <c r="C96" s="613">
        <f>'RICON_RICON-S-EK_GIGANT_WALCO '!H711</f>
        <v>2.2940224981557469</v>
      </c>
      <c r="D96" s="613">
        <f>'RICON_RICON-S-EK_GIGANT_WALCO '!I711</f>
        <v>6.2940224981557469</v>
      </c>
      <c r="E96" s="501">
        <f t="shared" si="5"/>
        <v>1.0587796145334214</v>
      </c>
      <c r="F96" s="501">
        <f t="shared" si="5"/>
        <v>1.5881694218001323</v>
      </c>
      <c r="G96" s="501">
        <f t="shared" si="6"/>
        <v>2.9049334606872677</v>
      </c>
      <c r="H96" s="501">
        <f t="shared" si="6"/>
        <v>4.3574001910309015</v>
      </c>
      <c r="I96" s="615">
        <f t="shared" si="8"/>
        <v>156.85623919013648</v>
      </c>
      <c r="J96" s="615">
        <f t="shared" si="7"/>
        <v>430.36051269440998</v>
      </c>
      <c r="L96" s="3"/>
      <c r="M96" s="418"/>
      <c r="N96" s="510"/>
      <c r="O96" s="510"/>
      <c r="P96" s="510"/>
      <c r="Q96" s="510"/>
      <c r="R96" s="510"/>
      <c r="S96" s="510"/>
      <c r="T96" s="675"/>
      <c r="U96" s="675"/>
      <c r="V96" s="3"/>
    </row>
    <row r="97" spans="1:22" ht="45">
      <c r="A97" s="411" t="s">
        <v>797</v>
      </c>
      <c r="B97" s="536" t="s">
        <v>504</v>
      </c>
      <c r="C97" s="613">
        <f>'RICON_RICON-S-EK_GIGANT_WALCO '!H712</f>
        <v>3.1789097314502079</v>
      </c>
      <c r="D97" s="613">
        <f>'RICON_RICON-S-EK_GIGANT_WALCO '!I712</f>
        <v>7.1789097314502079</v>
      </c>
      <c r="E97" s="501">
        <f t="shared" si="5"/>
        <v>1.4671891068231728</v>
      </c>
      <c r="F97" s="501">
        <f t="shared" si="5"/>
        <v>2.2007836602347592</v>
      </c>
      <c r="G97" s="501">
        <f t="shared" si="6"/>
        <v>3.3133429529770186</v>
      </c>
      <c r="H97" s="501">
        <f t="shared" si="6"/>
        <v>4.9700144294655288</v>
      </c>
      <c r="I97" s="615">
        <f t="shared" ref="I97" si="9">E97*200/1.35</f>
        <v>217.36134915898853</v>
      </c>
      <c r="J97" s="615">
        <f t="shared" ref="J97" si="10">G97*200/1.35</f>
        <v>490.865622663262</v>
      </c>
      <c r="L97" s="3"/>
      <c r="M97" s="418"/>
      <c r="N97" s="510"/>
      <c r="O97" s="510"/>
      <c r="P97" s="510"/>
      <c r="Q97" s="510"/>
      <c r="R97" s="510"/>
      <c r="S97" s="510"/>
      <c r="T97" s="675"/>
      <c r="U97" s="675"/>
      <c r="V97" s="3"/>
    </row>
    <row r="98" spans="1:22" ht="45">
      <c r="A98" s="396" t="s">
        <v>780</v>
      </c>
      <c r="B98" s="525" t="s">
        <v>505</v>
      </c>
      <c r="C98" s="551">
        <f>'RICON_RICON-S-EK_GIGANT_WALCO '!H713</f>
        <v>4.1135329443476287</v>
      </c>
      <c r="D98" s="551">
        <f>'RICON_RICON-S-EK_GIGANT_WALCO '!I713</f>
        <v>8.1135329443476287</v>
      </c>
      <c r="E98" s="500">
        <f t="shared" si="5"/>
        <v>1.8985536666219824</v>
      </c>
      <c r="F98" s="500">
        <f t="shared" si="5"/>
        <v>2.8478304999329738</v>
      </c>
      <c r="G98" s="500">
        <f t="shared" si="6"/>
        <v>3.744707512775828</v>
      </c>
      <c r="H98" s="500">
        <f t="shared" si="6"/>
        <v>5.6170612691637434</v>
      </c>
      <c r="I98" s="610">
        <f t="shared" si="8"/>
        <v>281.26720986992331</v>
      </c>
      <c r="J98" s="610">
        <f t="shared" si="7"/>
        <v>554.77148337419669</v>
      </c>
      <c r="L98" s="3"/>
      <c r="M98" s="670"/>
      <c r="N98" s="510"/>
      <c r="O98" s="510"/>
      <c r="P98" s="510"/>
      <c r="Q98" s="510"/>
      <c r="R98" s="510"/>
      <c r="S98" s="510"/>
      <c r="T98" s="675"/>
      <c r="U98" s="675"/>
      <c r="V98" s="3"/>
    </row>
    <row r="99" spans="1:22" ht="45.75" thickBot="1">
      <c r="A99" s="438" t="s">
        <v>781</v>
      </c>
      <c r="B99" s="537" t="s">
        <v>506</v>
      </c>
      <c r="C99" s="614">
        <f>'RICON_RICON-S-EK_GIGANT_WALCO '!H714</f>
        <v>5.1055236549138909</v>
      </c>
      <c r="D99" s="614">
        <f>'RICON_RICON-S-EK_GIGANT_WALCO '!I714</f>
        <v>9.1055236549138918</v>
      </c>
      <c r="E99" s="502">
        <f t="shared" si="5"/>
        <v>2.3563955330371802</v>
      </c>
      <c r="F99" s="502">
        <f t="shared" si="5"/>
        <v>3.5345932995557705</v>
      </c>
      <c r="G99" s="502">
        <f t="shared" si="6"/>
        <v>4.2025493791910264</v>
      </c>
      <c r="H99" s="502">
        <f t="shared" si="6"/>
        <v>6.3038240687865406</v>
      </c>
      <c r="I99" s="616">
        <f t="shared" si="8"/>
        <v>349.09563452402671</v>
      </c>
      <c r="J99" s="616">
        <f t="shared" si="7"/>
        <v>622.59990802830021</v>
      </c>
      <c r="L99" s="3"/>
      <c r="M99" s="670"/>
      <c r="N99" s="510"/>
      <c r="O99" s="510"/>
      <c r="P99" s="510"/>
      <c r="Q99" s="510"/>
      <c r="R99" s="510"/>
      <c r="S99" s="510"/>
      <c r="T99" s="675"/>
      <c r="U99" s="675"/>
      <c r="V99" s="3"/>
    </row>
    <row r="100" spans="1:22" ht="45.75" thickTop="1">
      <c r="A100" s="411" t="s">
        <v>757</v>
      </c>
      <c r="B100" s="536" t="s">
        <v>625</v>
      </c>
      <c r="C100" s="613">
        <f>'RICON_RICON-S-EK_GIGANT_WALCO '!H715</f>
        <v>2.8454065427374902</v>
      </c>
      <c r="D100" s="613">
        <f>'RICON_RICON-S-EK_GIGANT_WALCO '!I715</f>
        <v>6.8454065427374902</v>
      </c>
      <c r="E100" s="501">
        <f t="shared" si="5"/>
        <v>1.3132645581865339</v>
      </c>
      <c r="F100" s="501">
        <f t="shared" si="5"/>
        <v>1.9698968372798009</v>
      </c>
      <c r="G100" s="501">
        <f t="shared" si="6"/>
        <v>3.1594184043403799</v>
      </c>
      <c r="H100" s="501">
        <f t="shared" si="6"/>
        <v>4.7391276065105696</v>
      </c>
      <c r="I100" s="615">
        <f t="shared" si="8"/>
        <v>194.55771232393093</v>
      </c>
      <c r="J100" s="615">
        <f t="shared" si="7"/>
        <v>468.0619858282044</v>
      </c>
      <c r="L100" s="3"/>
      <c r="M100" s="418"/>
      <c r="N100" s="510"/>
      <c r="O100" s="510"/>
      <c r="P100" s="510"/>
      <c r="Q100" s="510"/>
      <c r="R100" s="510"/>
      <c r="S100" s="510"/>
      <c r="T100" s="675"/>
      <c r="U100" s="675"/>
      <c r="V100" s="3"/>
    </row>
    <row r="101" spans="1:22" ht="45">
      <c r="A101" s="396" t="s">
        <v>758</v>
      </c>
      <c r="B101" s="525" t="s">
        <v>626</v>
      </c>
      <c r="C101" s="551">
        <f>'RICON_RICON-S-EK_GIGANT_WALCO '!H716</f>
        <v>4.2725432285353833</v>
      </c>
      <c r="D101" s="551">
        <f>'RICON_RICON-S-EK_GIGANT_WALCO '!I716</f>
        <v>8.2725432285353833</v>
      </c>
      <c r="E101" s="500">
        <f t="shared" si="5"/>
        <v>1.9719430285547921</v>
      </c>
      <c r="F101" s="500">
        <f t="shared" si="5"/>
        <v>2.9579145428321882</v>
      </c>
      <c r="G101" s="500">
        <f t="shared" si="6"/>
        <v>3.8180968747086386</v>
      </c>
      <c r="H101" s="500">
        <f t="shared" si="6"/>
        <v>5.727145312062957</v>
      </c>
      <c r="I101" s="610">
        <f t="shared" si="8"/>
        <v>292.13970793404326</v>
      </c>
      <c r="J101" s="610">
        <f t="shared" si="7"/>
        <v>565.64398143831681</v>
      </c>
      <c r="L101" s="3"/>
      <c r="M101" s="418"/>
      <c r="N101" s="510"/>
      <c r="O101" s="510"/>
      <c r="P101" s="510"/>
      <c r="Q101" s="510"/>
      <c r="R101" s="510"/>
      <c r="S101" s="510"/>
      <c r="T101" s="675"/>
      <c r="U101" s="675"/>
      <c r="V101" s="3"/>
    </row>
    <row r="102" spans="1:22" ht="45">
      <c r="A102" s="396" t="s">
        <v>759</v>
      </c>
      <c r="B102" s="525" t="s">
        <v>627</v>
      </c>
      <c r="C102" s="551">
        <f>'RICON_RICON-S-EK_GIGANT_WALCO '!H717</f>
        <v>5.6346405643713657</v>
      </c>
      <c r="D102" s="551">
        <f>'RICON_RICON-S-EK_GIGANT_WALCO '!I717</f>
        <v>9.6346405643713666</v>
      </c>
      <c r="E102" s="500">
        <f t="shared" si="5"/>
        <v>2.6006033374021684</v>
      </c>
      <c r="F102" s="500">
        <f t="shared" si="5"/>
        <v>3.9009050061032533</v>
      </c>
      <c r="G102" s="500">
        <f t="shared" si="6"/>
        <v>4.4467571835560156</v>
      </c>
      <c r="H102" s="500">
        <f t="shared" si="6"/>
        <v>6.6701357753340238</v>
      </c>
      <c r="I102" s="610">
        <f t="shared" si="8"/>
        <v>385.2745685040249</v>
      </c>
      <c r="J102" s="610">
        <f t="shared" si="7"/>
        <v>658.77884200829851</v>
      </c>
      <c r="L102" s="3"/>
      <c r="M102" s="418"/>
      <c r="N102" s="510"/>
      <c r="O102" s="510"/>
      <c r="P102" s="510"/>
      <c r="Q102" s="510"/>
      <c r="R102" s="510"/>
      <c r="S102" s="510"/>
      <c r="T102" s="675"/>
      <c r="U102" s="675"/>
      <c r="V102" s="3"/>
    </row>
    <row r="103" spans="1:22" ht="45">
      <c r="A103" s="396" t="s">
        <v>760</v>
      </c>
      <c r="B103" s="525" t="s">
        <v>628</v>
      </c>
      <c r="C103" s="551">
        <f>'RICON_RICON-S-EK_GIGANT_WALCO '!H718</f>
        <v>5.1169638723882258</v>
      </c>
      <c r="D103" s="551">
        <f>'RICON_RICON-S-EK_GIGANT_WALCO '!I718</f>
        <v>9.1169638723882258</v>
      </c>
      <c r="E103" s="500">
        <f t="shared" si="5"/>
        <v>2.3616756334099502</v>
      </c>
      <c r="F103" s="500">
        <f t="shared" si="5"/>
        <v>3.5425134501149258</v>
      </c>
      <c r="G103" s="500">
        <f t="shared" si="6"/>
        <v>4.207829479563796</v>
      </c>
      <c r="H103" s="500">
        <f t="shared" si="6"/>
        <v>6.3117442193456954</v>
      </c>
      <c r="I103" s="610">
        <f t="shared" si="8"/>
        <v>349.87787161628893</v>
      </c>
      <c r="J103" s="610">
        <f t="shared" si="7"/>
        <v>623.38214512056231</v>
      </c>
      <c r="L103" s="3"/>
      <c r="M103" s="418"/>
      <c r="N103" s="510"/>
      <c r="O103" s="510"/>
      <c r="P103" s="510"/>
      <c r="Q103" s="510"/>
      <c r="R103" s="510"/>
      <c r="S103" s="510"/>
      <c r="T103" s="675"/>
      <c r="U103" s="675"/>
      <c r="V103" s="3"/>
    </row>
    <row r="104" spans="1:22" ht="45">
      <c r="A104" s="396" t="s">
        <v>782</v>
      </c>
      <c r="B104" s="525" t="s">
        <v>629</v>
      </c>
      <c r="C104" s="551">
        <f>'RICON_RICON-S-EK_GIGANT_WALCO '!H719</f>
        <v>4.6863960027681477</v>
      </c>
      <c r="D104" s="551">
        <f>'RICON_RICON-S-EK_GIGANT_WALCO '!I719</f>
        <v>8.6863960027681486</v>
      </c>
      <c r="E104" s="500">
        <f t="shared" si="5"/>
        <v>2.1629520012776062</v>
      </c>
      <c r="F104" s="500">
        <f t="shared" si="5"/>
        <v>3.2444280019164102</v>
      </c>
      <c r="G104" s="500">
        <f t="shared" si="6"/>
        <v>4.0091058474314529</v>
      </c>
      <c r="H104" s="500">
        <f t="shared" si="6"/>
        <v>6.0136587711471794</v>
      </c>
      <c r="I104" s="610">
        <f t="shared" si="8"/>
        <v>320.4373335226083</v>
      </c>
      <c r="J104" s="610">
        <f t="shared" si="7"/>
        <v>593.94160702688191</v>
      </c>
      <c r="L104" s="3"/>
      <c r="M104" s="418"/>
      <c r="N104" s="510"/>
      <c r="O104" s="510"/>
      <c r="P104" s="510"/>
      <c r="Q104" s="510"/>
      <c r="R104" s="510"/>
      <c r="S104" s="510"/>
      <c r="T104" s="675"/>
      <c r="U104" s="675"/>
      <c r="V104" s="3"/>
    </row>
    <row r="105" spans="1:22">
      <c r="L105" s="3"/>
    </row>
    <row r="106" spans="1:22">
      <c r="L106" s="3"/>
    </row>
    <row r="107" spans="1:22">
      <c r="L107" s="3"/>
    </row>
    <row r="108" spans="1:22">
      <c r="L108" s="3"/>
    </row>
    <row r="109" spans="1:22">
      <c r="L109" s="3"/>
    </row>
    <row r="110" spans="1:22">
      <c r="L110" s="3"/>
    </row>
    <row r="111" spans="1:22">
      <c r="L111" s="3"/>
    </row>
    <row r="112" spans="1:22">
      <c r="L112" s="3"/>
    </row>
    <row r="113" spans="12:12">
      <c r="L113" s="3"/>
    </row>
    <row r="114" spans="12:12">
      <c r="L114" s="3"/>
    </row>
    <row r="115" spans="12:12">
      <c r="L115" s="3"/>
    </row>
    <row r="116" spans="12:12">
      <c r="L116" s="3"/>
    </row>
    <row r="117" spans="12:12">
      <c r="L117" s="3"/>
    </row>
    <row r="118" spans="12:12">
      <c r="L118" s="3"/>
    </row>
    <row r="119" spans="12:12">
      <c r="L119" s="3"/>
    </row>
    <row r="120" spans="12:12">
      <c r="L120" s="3"/>
    </row>
    <row r="121" spans="12:12">
      <c r="L121" s="3"/>
    </row>
    <row r="122" spans="12:12">
      <c r="L122" s="3"/>
    </row>
    <row r="123" spans="12:12">
      <c r="L123" s="3"/>
    </row>
    <row r="124" spans="12:12">
      <c r="L124" s="3"/>
    </row>
    <row r="125" spans="12:12">
      <c r="L125" s="3"/>
    </row>
    <row r="126" spans="12:12">
      <c r="L126" s="3"/>
    </row>
  </sheetData>
  <sheetProtection algorithmName="SHA-512" hashValue="zJ5ro3XbgHgHwMgLkcMI8zDpVsRMC/MObk+eyDLSprAgf6elC1tK7s/LphBoTNmujD3ydF2Y04MpD6EwCGNFxg==" saltValue="MwnDckhnT59JgPaBHDkMMQ==" spinCount="100000" sheet="1" objects="1" scenarios="1" selectLockedCells="1"/>
  <mergeCells count="36">
    <mergeCell ref="R88:S88"/>
    <mergeCell ref="E88:F88"/>
    <mergeCell ref="G88:H88"/>
    <mergeCell ref="E17:E18"/>
    <mergeCell ref="F17:J17"/>
    <mergeCell ref="F45:J45"/>
    <mergeCell ref="E45:E46"/>
    <mergeCell ref="A1:K2"/>
    <mergeCell ref="M1:T2"/>
    <mergeCell ref="M5:T5"/>
    <mergeCell ref="C17:D17"/>
    <mergeCell ref="N17:O17"/>
    <mergeCell ref="P17:T17"/>
    <mergeCell ref="H3:I3"/>
    <mergeCell ref="J3:K3"/>
    <mergeCell ref="A41:B41"/>
    <mergeCell ref="M41:T41"/>
    <mergeCell ref="C45:D45"/>
    <mergeCell ref="N45:O45"/>
    <mergeCell ref="P45:T45"/>
    <mergeCell ref="A71:B71"/>
    <mergeCell ref="C71:K71"/>
    <mergeCell ref="E87:G87"/>
    <mergeCell ref="N87:O87"/>
    <mergeCell ref="P87:R87"/>
    <mergeCell ref="M71:T71"/>
    <mergeCell ref="M72:T72"/>
    <mergeCell ref="B87:B89"/>
    <mergeCell ref="C87:D87"/>
    <mergeCell ref="I87:J87"/>
    <mergeCell ref="T87:U87"/>
    <mergeCell ref="T88:T89"/>
    <mergeCell ref="U88:U89"/>
    <mergeCell ref="I88:I89"/>
    <mergeCell ref="J88:J89"/>
    <mergeCell ref="P88:Q88"/>
  </mergeCells>
  <printOptions horizontalCentered="1"/>
  <pageMargins left="0.19685039370078741" right="0.19685039370078741" top="1.1811023622047245" bottom="0.74803149606299213" header="0.31496062992125984" footer="0.31496062992125984"/>
  <pageSetup paperSize="9" scale="57" orientation="portrait" r:id="rId1"/>
  <headerFooter scaleWithDoc="0">
    <oddHeader>&amp;L&amp;G</oddHeader>
    <oddFooter>&amp;L&amp;G</oddFooter>
  </headerFooter>
  <rowBreaks count="2" manualBreakCount="2">
    <brk id="40" max="16383" man="1"/>
    <brk id="70" max="16383" man="1"/>
  </rowBreaks>
  <colBreaks count="1" manualBreakCount="1">
    <brk id="11" max="1048575" man="1"/>
  </colBreak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700-000000000000}">
          <x14:formula1>
            <xm:f>'RICON_RICON-S-EK_GIGANT_WALCO '!$P$620:$P$627</xm:f>
          </x14:formula1>
          <xm:sqref>F72</xm:sqref>
        </x14:dataValidation>
        <x14:dataValidation type="list" allowBlank="1" showInputMessage="1" showErrorMessage="1" xr:uid="{00000000-0002-0000-0700-000001000000}">
          <x14:formula1>
            <xm:f>'RICON_RICON-S-EK_GIGANT_WALCO '!$V$7:$V$18</xm:f>
          </x14:formula1>
          <xm:sqref>F42 F5</xm:sqref>
        </x14:dataValidation>
        <x14:dataValidation type="list" allowBlank="1" showInputMessage="1" showErrorMessage="1" xr:uid="{00000000-0002-0000-0700-000002000000}">
          <x14:formula1>
            <xm:f>'RICON_RICON-S-EK_GIGANT_WALCO '!$V$21:$V$23</xm:f>
          </x14:formula1>
          <xm:sqref>F43</xm:sqref>
        </x14:dataValidation>
        <x14:dataValidation type="list" allowBlank="1" showInputMessage="1" showErrorMessage="1" xr:uid="{00000000-0002-0000-0700-000003000000}">
          <x14:formula1>
            <xm:f>'RICON_RICON-S-EK_GIGANT_WALCO '!$V$21:$V$22</xm:f>
          </x14:formula1>
          <xm:sqref>F6</xm:sqref>
        </x14:dataValidation>
        <x14:dataValidation type="list" allowBlank="1" showInputMessage="1" showErrorMessage="1" xr:uid="{00000000-0002-0000-0700-000004000000}">
          <x14:formula1>
            <xm:f>'RICON_RICON-S-EK_GIGANT_WALCO '!$V$21</xm:f>
          </x14:formula1>
          <xm:sqref>F73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29"/>
  <sheetViews>
    <sheetView showGridLines="0" showRowColHeaders="0" zoomScaleNormal="100" workbookViewId="0">
      <selection activeCell="E5" sqref="E5"/>
    </sheetView>
  </sheetViews>
  <sheetFormatPr baseColWidth="10" defaultRowHeight="15"/>
  <cols>
    <col min="1" max="1" width="27.42578125" customWidth="1"/>
    <col min="2" max="2" width="24.85546875" bestFit="1" customWidth="1"/>
    <col min="4" max="4" width="25" customWidth="1"/>
    <col min="10" max="10" width="13.140625" customWidth="1"/>
    <col min="12" max="12" width="27.42578125" hidden="1" customWidth="1"/>
    <col min="13" max="13" width="0" hidden="1" customWidth="1"/>
    <col min="14" max="14" width="13.7109375" hidden="1" customWidth="1"/>
    <col min="15" max="20" width="0" hidden="1" customWidth="1"/>
  </cols>
  <sheetData>
    <row r="1" spans="1:19" ht="21" customHeight="1">
      <c r="A1" s="787" t="s">
        <v>852</v>
      </c>
      <c r="B1" s="787"/>
      <c r="C1" s="787"/>
      <c r="D1" s="787"/>
      <c r="E1" s="787"/>
      <c r="F1" s="787"/>
      <c r="G1" s="787"/>
      <c r="H1" s="787"/>
      <c r="I1" s="787"/>
      <c r="J1" s="787"/>
      <c r="K1" s="787"/>
      <c r="L1" s="765" t="s">
        <v>444</v>
      </c>
      <c r="M1" s="765"/>
      <c r="N1" s="765"/>
      <c r="O1" s="765"/>
      <c r="P1" s="765"/>
      <c r="Q1" s="765"/>
      <c r="R1" s="765"/>
      <c r="S1" s="765"/>
    </row>
    <row r="2" spans="1:19" ht="21.6" customHeight="1" thickBot="1">
      <c r="A2" s="788"/>
      <c r="B2" s="788"/>
      <c r="C2" s="788"/>
      <c r="D2" s="788"/>
      <c r="E2" s="788"/>
      <c r="F2" s="788"/>
      <c r="G2" s="788"/>
      <c r="H2" s="788"/>
      <c r="I2" s="788"/>
      <c r="J2" s="788"/>
      <c r="K2" s="788"/>
      <c r="L2" s="765"/>
      <c r="M2" s="765"/>
      <c r="N2" s="765"/>
      <c r="O2" s="765"/>
      <c r="P2" s="765"/>
      <c r="Q2" s="765"/>
      <c r="R2" s="765"/>
      <c r="S2" s="765"/>
    </row>
    <row r="3" spans="1:19" ht="21.6" customHeight="1">
      <c r="A3" s="587"/>
      <c r="B3" s="587"/>
      <c r="C3" s="587"/>
      <c r="D3" s="587"/>
      <c r="E3" s="587"/>
      <c r="F3" s="587"/>
      <c r="H3" s="814" t="s">
        <v>855</v>
      </c>
      <c r="I3" s="814"/>
      <c r="J3" s="813">
        <v>43789</v>
      </c>
      <c r="K3" s="813"/>
      <c r="L3" s="587"/>
      <c r="M3" s="587"/>
      <c r="N3" s="587"/>
      <c r="O3" s="587"/>
      <c r="P3" s="587"/>
      <c r="Q3" s="587"/>
      <c r="R3" s="587"/>
      <c r="S3" s="587"/>
    </row>
    <row r="4" spans="1:19" ht="33.75">
      <c r="A4" s="556" t="s">
        <v>415</v>
      </c>
      <c r="B4" s="557"/>
      <c r="C4" s="557"/>
      <c r="D4" s="557"/>
      <c r="E4" s="557"/>
      <c r="F4" s="557"/>
      <c r="G4" s="557"/>
      <c r="H4" s="557"/>
      <c r="I4" s="557"/>
      <c r="J4" s="555"/>
      <c r="K4" s="555"/>
      <c r="L4" s="587"/>
      <c r="M4" s="587"/>
      <c r="N4" s="587"/>
      <c r="O4" s="587"/>
      <c r="P4" s="587"/>
      <c r="Q4" s="587"/>
      <c r="R4" s="587"/>
      <c r="S4" s="587"/>
    </row>
    <row r="5" spans="1:19" ht="21">
      <c r="A5" s="558" t="s">
        <v>671</v>
      </c>
      <c r="B5" s="543"/>
      <c r="C5" s="543"/>
      <c r="D5" s="543" t="s">
        <v>673</v>
      </c>
      <c r="E5" s="601" t="s">
        <v>25</v>
      </c>
      <c r="G5" s="582" t="str">
        <f>VLOOKUP(E5,'RICON_RICON-S-EK_GIGANT_WALCO '!V7:Y16,4,FALSE)</f>
        <v>Glued laminated timber - homogeneous</v>
      </c>
      <c r="H5" s="582"/>
      <c r="L5" s="767" t="s">
        <v>473</v>
      </c>
      <c r="M5" s="767"/>
      <c r="N5" s="767"/>
      <c r="O5" s="767"/>
      <c r="P5" s="767"/>
      <c r="Q5" s="767"/>
      <c r="R5" s="767"/>
      <c r="S5" s="767"/>
    </row>
    <row r="6" spans="1:19" ht="18.75">
      <c r="D6" s="580" t="s">
        <v>672</v>
      </c>
      <c r="E6" s="601">
        <v>1</v>
      </c>
      <c r="G6" s="581" t="str">
        <f>VLOOKUP(E6,'RICON_RICON-S-EK_GIGANT_WALCO '!V21:X22,3,FALSE)</f>
        <v>Indoor</v>
      </c>
      <c r="H6" s="583"/>
      <c r="L6" s="511" t="s">
        <v>445</v>
      </c>
    </row>
    <row r="7" spans="1:19" ht="21.6" customHeight="1">
      <c r="A7" s="587"/>
      <c r="B7" s="587"/>
      <c r="C7" s="587"/>
      <c r="I7" s="587"/>
      <c r="L7" s="587"/>
      <c r="M7" s="587"/>
      <c r="N7" s="587"/>
      <c r="O7" s="587"/>
      <c r="P7" s="587"/>
      <c r="Q7" s="587"/>
      <c r="R7" s="587"/>
      <c r="S7" s="587"/>
    </row>
    <row r="8" spans="1:19" ht="18.75">
      <c r="A8" s="511"/>
      <c r="B8" s="511"/>
      <c r="L8" s="511"/>
    </row>
    <row r="9" spans="1:19" ht="18.75">
      <c r="A9" s="511"/>
      <c r="B9" s="511"/>
      <c r="L9" s="511"/>
    </row>
    <row r="10" spans="1:19" ht="18.75">
      <c r="A10" s="511"/>
      <c r="B10" s="511"/>
      <c r="L10" s="511"/>
    </row>
    <row r="11" spans="1:19" ht="18.75">
      <c r="A11" s="511"/>
      <c r="B11" s="511"/>
      <c r="L11" s="511"/>
    </row>
    <row r="12" spans="1:19" ht="18.75">
      <c r="A12" s="511"/>
      <c r="B12" s="511"/>
      <c r="L12" s="511"/>
    </row>
    <row r="13" spans="1:19" ht="18.75">
      <c r="A13" s="511"/>
      <c r="B13" s="511"/>
      <c r="L13" s="511"/>
    </row>
    <row r="14" spans="1:19" ht="18.75">
      <c r="A14" s="511"/>
      <c r="B14" s="511"/>
      <c r="L14" s="511"/>
    </row>
    <row r="15" spans="1:19" ht="21">
      <c r="A15" s="507"/>
      <c r="B15" s="507"/>
      <c r="L15" s="507" t="s">
        <v>471</v>
      </c>
    </row>
    <row r="16" spans="1:19" ht="15" customHeight="1">
      <c r="A16" s="592" t="s">
        <v>2</v>
      </c>
      <c r="B16" s="593" t="s">
        <v>613</v>
      </c>
      <c r="C16" s="800" t="s">
        <v>450</v>
      </c>
      <c r="D16" s="800"/>
      <c r="E16" s="808" t="s">
        <v>849</v>
      </c>
      <c r="F16" s="812" t="str">
        <f>"Design values F2,Rd for "&amp;E5&amp;" [kN]"</f>
        <v>Design values F2,Rd for GL24h [kN]</v>
      </c>
      <c r="G16" s="795"/>
      <c r="H16" s="795"/>
      <c r="I16" s="795"/>
      <c r="J16" s="795"/>
      <c r="K16" s="604" t="s">
        <v>691</v>
      </c>
      <c r="L16" s="4" t="s">
        <v>413</v>
      </c>
      <c r="M16" s="766" t="s">
        <v>450</v>
      </c>
      <c r="N16" s="766"/>
      <c r="O16" s="682" t="s">
        <v>448</v>
      </c>
      <c r="P16" s="683"/>
      <c r="Q16" s="683"/>
      <c r="R16" s="683"/>
      <c r="S16" s="684"/>
    </row>
    <row r="17" spans="1:19" ht="18">
      <c r="A17" s="594"/>
      <c r="B17" s="595" t="s">
        <v>612</v>
      </c>
      <c r="C17" s="591" t="s">
        <v>794</v>
      </c>
      <c r="D17" s="591" t="s">
        <v>795</v>
      </c>
      <c r="E17" s="809"/>
      <c r="F17" s="599">
        <v>0.6</v>
      </c>
      <c r="G17" s="599">
        <v>0.7</v>
      </c>
      <c r="H17" s="599">
        <v>0.8</v>
      </c>
      <c r="I17" s="599">
        <v>0.9</v>
      </c>
      <c r="J17" s="599">
        <v>1</v>
      </c>
      <c r="K17" s="599">
        <v>1.1000000000000001</v>
      </c>
      <c r="L17" s="8"/>
      <c r="M17" s="44" t="s">
        <v>411</v>
      </c>
      <c r="N17" s="44" t="s">
        <v>412</v>
      </c>
      <c r="O17" s="95">
        <v>0.6</v>
      </c>
      <c r="P17" s="95">
        <v>0.7</v>
      </c>
      <c r="Q17" s="95">
        <v>0.8</v>
      </c>
      <c r="R17" s="95">
        <v>0.9</v>
      </c>
      <c r="S17" s="95">
        <v>1</v>
      </c>
    </row>
    <row r="18" spans="1:19" ht="45">
      <c r="A18" s="68" t="s">
        <v>854</v>
      </c>
      <c r="B18" s="527" t="s">
        <v>617</v>
      </c>
      <c r="C18" s="551">
        <f>'RICON_RICON-S-EK_GIGANT_WALCO '!C101</f>
        <v>17</v>
      </c>
      <c r="D18" s="551">
        <f>'RICON_RICON-S-EK_GIGANT_WALCO '!F101</f>
        <v>12.49450681193213</v>
      </c>
      <c r="E18" s="637">
        <f>C18/1</f>
        <v>17</v>
      </c>
      <c r="F18" s="500">
        <f t="shared" ref="F18:K24" si="0">MIN($C18/1,$D18*F$17/1.3)</f>
        <v>5.7666954516609827</v>
      </c>
      <c r="G18" s="500">
        <f t="shared" si="0"/>
        <v>6.7278113602711462</v>
      </c>
      <c r="H18" s="500">
        <f t="shared" si="0"/>
        <v>7.6889272688813115</v>
      </c>
      <c r="I18" s="500">
        <f t="shared" si="0"/>
        <v>8.6500431774914741</v>
      </c>
      <c r="J18" s="500">
        <f t="shared" si="0"/>
        <v>9.6111590861016385</v>
      </c>
      <c r="K18" s="500">
        <f t="shared" si="0"/>
        <v>10.572274994711803</v>
      </c>
      <c r="L18" s="68" t="s">
        <v>372</v>
      </c>
      <c r="M18" s="500">
        <f>'RICON_RICON-S-EK_GIGANT_WALCO '!C101</f>
        <v>17</v>
      </c>
      <c r="N18" s="500">
        <f>'RICON_RICON-S-EK_GIGANT_WALCO '!F101</f>
        <v>12.49450681193213</v>
      </c>
      <c r="O18" s="500">
        <f>MIN($C18/1,$D18*O$17/1.3)</f>
        <v>5.7666954516609827</v>
      </c>
      <c r="P18" s="500">
        <f t="shared" ref="P18:S24" si="1">MIN($C18/1,$D18*P$17/1.3)</f>
        <v>6.7278113602711462</v>
      </c>
      <c r="Q18" s="500">
        <f t="shared" si="1"/>
        <v>7.6889272688813115</v>
      </c>
      <c r="R18" s="500">
        <f t="shared" si="1"/>
        <v>8.6500431774914741</v>
      </c>
      <c r="S18" s="500">
        <f t="shared" si="1"/>
        <v>9.6111590861016385</v>
      </c>
    </row>
    <row r="19" spans="1:19" ht="60">
      <c r="A19" s="67" t="s">
        <v>586</v>
      </c>
      <c r="B19" s="527" t="s">
        <v>631</v>
      </c>
      <c r="C19" s="551">
        <f>'RICON_RICON-S-EK_GIGANT_WALCO '!C103</f>
        <v>24</v>
      </c>
      <c r="D19" s="551">
        <f>'RICON_RICON-S-EK_GIGANT_WALCO '!F103</f>
        <v>16.659342415909506</v>
      </c>
      <c r="E19" s="637">
        <f t="shared" ref="E19:E24" si="2">C19/1</f>
        <v>24</v>
      </c>
      <c r="F19" s="500">
        <f t="shared" si="0"/>
        <v>7.6889272688813097</v>
      </c>
      <c r="G19" s="500">
        <f t="shared" si="0"/>
        <v>8.970415147028195</v>
      </c>
      <c r="H19" s="500">
        <f t="shared" si="0"/>
        <v>10.251903025175082</v>
      </c>
      <c r="I19" s="500">
        <f t="shared" si="0"/>
        <v>11.533390903321965</v>
      </c>
      <c r="J19" s="500">
        <f t="shared" si="0"/>
        <v>12.814878781468851</v>
      </c>
      <c r="K19" s="500">
        <f t="shared" si="0"/>
        <v>14.096366659615738</v>
      </c>
      <c r="L19" s="67" t="s">
        <v>476</v>
      </c>
      <c r="M19" s="500">
        <f>'RICON_RICON-S-EK_GIGANT_WALCO '!C103</f>
        <v>24</v>
      </c>
      <c r="N19" s="500">
        <f>'RICON_RICON-S-EK_GIGANT_WALCO '!F103</f>
        <v>16.659342415909506</v>
      </c>
      <c r="O19" s="500">
        <f>MIN($C19/1,$D19*O$17/1.3)</f>
        <v>7.6889272688813097</v>
      </c>
      <c r="P19" s="500">
        <f t="shared" si="1"/>
        <v>8.970415147028195</v>
      </c>
      <c r="Q19" s="500">
        <f t="shared" si="1"/>
        <v>10.251903025175082</v>
      </c>
      <c r="R19" s="500">
        <f t="shared" si="1"/>
        <v>11.533390903321965</v>
      </c>
      <c r="S19" s="500">
        <f t="shared" si="1"/>
        <v>12.814878781468851</v>
      </c>
    </row>
    <row r="20" spans="1:19" ht="60">
      <c r="A20" s="67" t="s">
        <v>798</v>
      </c>
      <c r="B20" s="527" t="s">
        <v>631</v>
      </c>
      <c r="C20" s="551">
        <f>'RICON_RICON-S-EK_GIGANT_WALCO '!C104</f>
        <v>24</v>
      </c>
      <c r="D20" s="551">
        <f>'RICON_RICON-S-EK_GIGANT_WALCO '!F104</f>
        <v>19.193549266365359</v>
      </c>
      <c r="E20" s="637">
        <f t="shared" si="2"/>
        <v>24</v>
      </c>
      <c r="F20" s="500">
        <f t="shared" si="0"/>
        <v>8.858561199860933</v>
      </c>
      <c r="G20" s="500">
        <f t="shared" si="0"/>
        <v>10.334988066504424</v>
      </c>
      <c r="H20" s="500">
        <f t="shared" si="0"/>
        <v>11.811414933147914</v>
      </c>
      <c r="I20" s="500">
        <f t="shared" si="0"/>
        <v>13.287841799791401</v>
      </c>
      <c r="J20" s="500">
        <f t="shared" si="0"/>
        <v>14.764268666434891</v>
      </c>
      <c r="K20" s="500">
        <f t="shared" si="0"/>
        <v>16.24069553307838</v>
      </c>
      <c r="L20" s="67"/>
      <c r="M20" s="500"/>
      <c r="N20" s="500"/>
      <c r="O20" s="500"/>
      <c r="P20" s="500"/>
      <c r="Q20" s="500"/>
      <c r="R20" s="500"/>
      <c r="S20" s="500"/>
    </row>
    <row r="21" spans="1:19" ht="60">
      <c r="A21" s="67" t="s">
        <v>588</v>
      </c>
      <c r="B21" s="527" t="s">
        <v>630</v>
      </c>
      <c r="C21" s="551">
        <f>'RICON_RICON-S-EK_GIGANT_WALCO '!C105</f>
        <v>24</v>
      </c>
      <c r="D21" s="551">
        <f>'RICON_RICON-S-EK_GIGANT_WALCO '!F105</f>
        <v>16.659342415909506</v>
      </c>
      <c r="E21" s="637">
        <f t="shared" si="2"/>
        <v>24</v>
      </c>
      <c r="F21" s="500">
        <f t="shared" si="0"/>
        <v>7.6889272688813097</v>
      </c>
      <c r="G21" s="500">
        <f t="shared" si="0"/>
        <v>8.970415147028195</v>
      </c>
      <c r="H21" s="500">
        <f t="shared" si="0"/>
        <v>10.251903025175082</v>
      </c>
      <c r="I21" s="500">
        <f t="shared" si="0"/>
        <v>11.533390903321965</v>
      </c>
      <c r="J21" s="500">
        <f t="shared" si="0"/>
        <v>12.814878781468851</v>
      </c>
      <c r="K21" s="500">
        <f t="shared" si="0"/>
        <v>14.096366659615738</v>
      </c>
      <c r="L21" s="67" t="s">
        <v>374</v>
      </c>
      <c r="M21" s="500">
        <f>'RICON_RICON-S-EK_GIGANT_WALCO '!C105</f>
        <v>24</v>
      </c>
      <c r="N21" s="500">
        <f>'RICON_RICON-S-EK_GIGANT_WALCO '!F105</f>
        <v>16.659342415909506</v>
      </c>
      <c r="O21" s="500">
        <f>MIN($C21/1,$D21*O$17/1.3)</f>
        <v>7.6889272688813097</v>
      </c>
      <c r="P21" s="500">
        <f t="shared" si="1"/>
        <v>8.970415147028195</v>
      </c>
      <c r="Q21" s="500">
        <f t="shared" si="1"/>
        <v>10.251903025175082</v>
      </c>
      <c r="R21" s="500">
        <f t="shared" si="1"/>
        <v>11.533390903321965</v>
      </c>
      <c r="S21" s="500">
        <f t="shared" si="1"/>
        <v>12.814878781468851</v>
      </c>
    </row>
    <row r="22" spans="1:19" ht="60">
      <c r="A22" s="67" t="s">
        <v>590</v>
      </c>
      <c r="B22" s="527" t="s">
        <v>633</v>
      </c>
      <c r="C22" s="551">
        <f>'RICON_RICON-S-EK_GIGANT_WALCO '!C106</f>
        <v>33</v>
      </c>
      <c r="D22" s="551">
        <f>'RICON_RICON-S-EK_GIGANT_WALCO '!F106</f>
        <v>24.98901362386426</v>
      </c>
      <c r="E22" s="637">
        <f t="shared" si="2"/>
        <v>33</v>
      </c>
      <c r="F22" s="500">
        <f t="shared" si="0"/>
        <v>11.533390903321965</v>
      </c>
      <c r="G22" s="500">
        <f t="shared" si="0"/>
        <v>13.455622720542292</v>
      </c>
      <c r="H22" s="500">
        <f t="shared" si="0"/>
        <v>15.377854537762623</v>
      </c>
      <c r="I22" s="500">
        <f t="shared" si="0"/>
        <v>17.300086354982948</v>
      </c>
      <c r="J22" s="500">
        <f t="shared" si="0"/>
        <v>19.222318172203277</v>
      </c>
      <c r="K22" s="500">
        <f t="shared" si="0"/>
        <v>21.144549989423606</v>
      </c>
      <c r="L22" s="67" t="s">
        <v>477</v>
      </c>
      <c r="M22" s="500">
        <f>'RICON_RICON-S-EK_GIGANT_WALCO '!C106</f>
        <v>33</v>
      </c>
      <c r="N22" s="500">
        <f>'RICON_RICON-S-EK_GIGANT_WALCO '!F106</f>
        <v>24.98901362386426</v>
      </c>
      <c r="O22" s="500">
        <f>MIN($C22/1,$D22*O$17/1.3)</f>
        <v>11.533390903321965</v>
      </c>
      <c r="P22" s="500">
        <f t="shared" si="1"/>
        <v>13.455622720542292</v>
      </c>
      <c r="Q22" s="500">
        <f t="shared" si="1"/>
        <v>15.377854537762623</v>
      </c>
      <c r="R22" s="500">
        <f t="shared" si="1"/>
        <v>17.300086354982948</v>
      </c>
      <c r="S22" s="500">
        <f t="shared" si="1"/>
        <v>19.222318172203277</v>
      </c>
    </row>
    <row r="23" spans="1:19" ht="60">
      <c r="A23" s="67" t="s">
        <v>799</v>
      </c>
      <c r="B23" s="527" t="s">
        <v>633</v>
      </c>
      <c r="C23" s="551">
        <f>'RICON_RICON-S-EK_GIGANT_WALCO '!C107</f>
        <v>33</v>
      </c>
      <c r="D23" s="551">
        <f>'RICON_RICON-S-EK_GIGANT_WALCO '!F107</f>
        <v>30.673435303237074</v>
      </c>
      <c r="E23" s="637">
        <f t="shared" si="2"/>
        <v>33</v>
      </c>
      <c r="F23" s="500">
        <f t="shared" si="0"/>
        <v>14.156970139955572</v>
      </c>
      <c r="G23" s="500">
        <f t="shared" si="0"/>
        <v>16.516465163281499</v>
      </c>
      <c r="H23" s="500">
        <f t="shared" si="0"/>
        <v>18.875960186607433</v>
      </c>
      <c r="I23" s="500">
        <f t="shared" si="0"/>
        <v>21.23545520993336</v>
      </c>
      <c r="J23" s="500">
        <f t="shared" si="0"/>
        <v>23.594950233259286</v>
      </c>
      <c r="K23" s="500">
        <f t="shared" si="0"/>
        <v>25.954445256585217</v>
      </c>
      <c r="L23" s="67"/>
      <c r="M23" s="500"/>
      <c r="N23" s="500"/>
      <c r="O23" s="500"/>
      <c r="P23" s="500"/>
      <c r="Q23" s="500"/>
      <c r="R23" s="500"/>
      <c r="S23" s="500"/>
    </row>
    <row r="24" spans="1:19" ht="60">
      <c r="A24" s="67" t="s">
        <v>714</v>
      </c>
      <c r="B24" s="527" t="s">
        <v>632</v>
      </c>
      <c r="C24" s="551">
        <f>'RICON_RICON-S-EK_GIGANT_WALCO '!C108</f>
        <v>33</v>
      </c>
      <c r="D24" s="551">
        <f>'RICON_RICON-S-EK_GIGANT_WALCO '!F108</f>
        <v>20.824178019886883</v>
      </c>
      <c r="E24" s="637">
        <f t="shared" si="2"/>
        <v>33</v>
      </c>
      <c r="F24" s="500">
        <f t="shared" si="0"/>
        <v>9.6111590861016385</v>
      </c>
      <c r="G24" s="500">
        <f t="shared" si="0"/>
        <v>11.213018933785243</v>
      </c>
      <c r="H24" s="500">
        <f t="shared" si="0"/>
        <v>12.814878781468851</v>
      </c>
      <c r="I24" s="500">
        <f t="shared" si="0"/>
        <v>14.416738629152459</v>
      </c>
      <c r="J24" s="500">
        <f t="shared" si="0"/>
        <v>16.018598476836065</v>
      </c>
      <c r="K24" s="500">
        <f t="shared" si="0"/>
        <v>17.620458324519671</v>
      </c>
      <c r="L24" s="67" t="s">
        <v>376</v>
      </c>
      <c r="M24" s="500">
        <f>'RICON_RICON-S-EK_GIGANT_WALCO '!C108</f>
        <v>33</v>
      </c>
      <c r="N24" s="500">
        <f>'RICON_RICON-S-EK_GIGANT_WALCO '!F108</f>
        <v>20.824178019886883</v>
      </c>
      <c r="O24" s="500">
        <f>MIN($C24/1,$D24*O$17/1.3)</f>
        <v>9.6111590861016385</v>
      </c>
      <c r="P24" s="500">
        <f t="shared" si="1"/>
        <v>11.213018933785243</v>
      </c>
      <c r="Q24" s="500">
        <f t="shared" si="1"/>
        <v>12.814878781468851</v>
      </c>
      <c r="R24" s="500">
        <f t="shared" si="1"/>
        <v>14.416738629152459</v>
      </c>
      <c r="S24" s="500">
        <f t="shared" si="1"/>
        <v>16.018598476836065</v>
      </c>
    </row>
    <row r="25" spans="1:19">
      <c r="A25" s="503"/>
      <c r="B25" s="528"/>
      <c r="C25" s="510"/>
      <c r="D25" s="510"/>
      <c r="E25" s="510"/>
      <c r="F25" s="510"/>
      <c r="G25" s="510"/>
      <c r="H25" s="510"/>
      <c r="I25" s="510"/>
      <c r="L25" s="503"/>
      <c r="M25" s="510"/>
      <c r="N25" s="510"/>
      <c r="O25" s="510"/>
      <c r="P25" s="510"/>
      <c r="Q25" s="510"/>
      <c r="R25" s="510"/>
      <c r="S25" s="510"/>
    </row>
    <row r="26" spans="1:19">
      <c r="A26" s="503"/>
      <c r="B26" s="528"/>
      <c r="C26" s="510"/>
      <c r="D26" s="510"/>
      <c r="E26" s="510"/>
      <c r="F26" s="510"/>
      <c r="G26" s="510"/>
      <c r="H26" s="510"/>
      <c r="I26" s="510"/>
      <c r="L26" s="503"/>
      <c r="M26" s="510"/>
      <c r="N26" s="510"/>
      <c r="O26" s="510"/>
      <c r="P26" s="510"/>
      <c r="Q26" s="510"/>
      <c r="R26" s="510"/>
      <c r="S26" s="510"/>
    </row>
    <row r="27" spans="1:19">
      <c r="A27" s="503"/>
      <c r="B27" s="528"/>
      <c r="C27" s="510"/>
      <c r="D27" s="510"/>
      <c r="E27" s="510"/>
      <c r="F27" s="510"/>
      <c r="G27" s="510"/>
      <c r="H27" s="510"/>
      <c r="I27" s="510"/>
      <c r="L27" s="503"/>
      <c r="M27" s="510"/>
      <c r="N27" s="510"/>
      <c r="O27" s="510"/>
      <c r="P27" s="510"/>
      <c r="Q27" s="510"/>
      <c r="R27" s="510"/>
      <c r="S27" s="510"/>
    </row>
    <row r="28" spans="1:19">
      <c r="A28" s="503"/>
      <c r="B28" s="528"/>
      <c r="C28" s="510"/>
      <c r="D28" s="510"/>
      <c r="E28" s="510"/>
      <c r="F28" s="510"/>
      <c r="G28" s="510"/>
      <c r="H28" s="510"/>
      <c r="I28" s="510"/>
      <c r="L28" s="503"/>
      <c r="M28" s="510"/>
      <c r="N28" s="510"/>
      <c r="O28" s="510"/>
      <c r="P28" s="510"/>
      <c r="Q28" s="510"/>
      <c r="R28" s="510"/>
      <c r="S28" s="510"/>
    </row>
    <row r="29" spans="1:19">
      <c r="A29" s="503"/>
      <c r="B29" s="503"/>
      <c r="C29" s="510"/>
      <c r="D29" s="510"/>
      <c r="E29" s="510"/>
      <c r="F29" s="510"/>
      <c r="G29" s="510"/>
      <c r="H29" s="510"/>
      <c r="I29" s="510"/>
      <c r="L29" s="503"/>
      <c r="M29" s="510"/>
      <c r="N29" s="510"/>
      <c r="O29" s="510"/>
      <c r="P29" s="510"/>
      <c r="Q29" s="510"/>
      <c r="R29" s="510"/>
      <c r="S29" s="510"/>
    </row>
  </sheetData>
  <sheetProtection algorithmName="SHA-512" hashValue="8E2GCdYWN2CKV6bxP1GoG6ER6idQS8kdeUgFnhz9lYOes29HnF/pAwB4yYdzCPYmHYRGNJg7C6EeBcW3KIdH3g==" saltValue="4lfZ+ZVu18Q/2BkJnjRzXw==" spinCount="100000" sheet="1" objects="1" scenarios="1" selectLockedCells="1"/>
  <mergeCells count="10">
    <mergeCell ref="L1:S2"/>
    <mergeCell ref="L5:S5"/>
    <mergeCell ref="C16:D16"/>
    <mergeCell ref="M16:N16"/>
    <mergeCell ref="O16:S16"/>
    <mergeCell ref="E16:E17"/>
    <mergeCell ref="F16:J16"/>
    <mergeCell ref="J3:K3"/>
    <mergeCell ref="H3:I3"/>
    <mergeCell ref="A1:K2"/>
  </mergeCells>
  <printOptions horizontalCentered="1"/>
  <pageMargins left="0.19685039370078741" right="0.19685039370078741" top="1.1811023622047245" bottom="0.74803149606299213" header="0.31496062992125984" footer="0.31496062992125984"/>
  <pageSetup paperSize="9" scale="58" orientation="portrait" r:id="rId1"/>
  <headerFooter scaleWithDoc="0">
    <oddHeader>&amp;L&amp;G</oddHeader>
    <oddFooter>&amp;L&amp;G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0000000}">
          <x14:formula1>
            <xm:f>'RICON_RICON-S-EK_GIGANT_WALCO '!$V$7:$V$16</xm:f>
          </x14:formula1>
          <xm:sqref>E5</xm:sqref>
        </x14:dataValidation>
        <x14:dataValidation type="list" allowBlank="1" showInputMessage="1" showErrorMessage="1" xr:uid="{00000000-0002-0000-0800-000001000000}">
          <x14:formula1>
            <xm:f>'RICON_RICON-S-EK_GIGANT_WALCO '!$V$21:$V$22</xm:f>
          </x14:formula1>
          <xm:sqref>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6</vt:i4>
      </vt:variant>
    </vt:vector>
  </HeadingPairs>
  <TitlesOfParts>
    <vt:vector size="16" baseType="lpstr">
      <vt:lpstr>RICON_RICON-S-EK_GIGANT_WALCO </vt:lpstr>
      <vt:lpstr>RICON-S-VS</vt:lpstr>
      <vt:lpstr>RICON_Edelstahl</vt:lpstr>
      <vt:lpstr>Belastungsblatt_ETA_neu_EN</vt:lpstr>
      <vt:lpstr>Belastungsblatt_RICON_DE</vt:lpstr>
      <vt:lpstr>Belastungsblatt_GIGANT_DE</vt:lpstr>
      <vt:lpstr>Belastungsblatt_RICON-S_DE</vt:lpstr>
      <vt:lpstr>Load bearing values_RICON_EN</vt:lpstr>
      <vt:lpstr>Load bearing values_GIGANT_EN</vt:lpstr>
      <vt:lpstr>Load bearing values_RICON-S_EN</vt:lpstr>
      <vt:lpstr>Belastungsblatt_ETA_neu_EN!Druckbereich</vt:lpstr>
      <vt:lpstr>'Load bearing values_RICON_EN'!Druckbereich</vt:lpstr>
      <vt:lpstr>'Load bearing values_RICON-S_EN'!Druckbereich</vt:lpstr>
      <vt:lpstr>Belastungsblatt_ETA_neu_EN!Print_Area</vt:lpstr>
      <vt:lpstr>Belastungsblatt_RICON_DE!Print_Area</vt:lpstr>
      <vt:lpstr>'Load bearing values_RICON_EN'!Print_Area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Load bearing values tables</dc:title>
  <dc:creator>Torsten Langejürgen</dc:creator>
  <cp:keywords>RICON, RICON S GIGANT</cp:keywords>
  <cp:lastModifiedBy>Torsten Langejürgen</cp:lastModifiedBy>
  <cp:lastPrinted>2019-10-07T11:53:45Z</cp:lastPrinted>
  <dcterms:created xsi:type="dcterms:W3CDTF">2018-08-22T14:09:04Z</dcterms:created>
  <dcterms:modified xsi:type="dcterms:W3CDTF">2019-11-28T16:14:13Z</dcterms:modified>
  <cp:category>Version 2 (11.10.2019)</cp:category>
</cp:coreProperties>
</file>